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6.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5.xml" ContentType="application/vnd.openxmlformats-officedocument.drawing+xml"/>
  <Override PartName="/xl/pivotTables/pivotTable12.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pivotTables/pivotTable19.xml" ContentType="application/vnd.openxmlformats-officedocument.spreadsheetml.pivotTable+xml"/>
  <Override PartName="/xl/tables/table11.xml" ContentType="application/vnd.openxmlformats-officedocument.spreadsheetml.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2.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Information Management\Cluster Analysis Report\Kachin&amp;NSS\2018\Oct\"/>
    </mc:Choice>
  </mc:AlternateContent>
  <bookViews>
    <workbookView xWindow="0" yWindow="0" windowWidth="23235" windowHeight="8985"/>
  </bookViews>
  <sheets>
    <sheet name="IDP locations" sheetId="14" r:id="rId1"/>
    <sheet name="DistanceToCamp" sheetId="90" state="hidden" r:id="rId2"/>
    <sheet name="Definition" sheetId="49" state="hidden" r:id="rId3"/>
    <sheet name="Graphs" sheetId="92" state="hidden" r:id="rId4"/>
    <sheet name="IDP location Analysis" sheetId="33" r:id="rId5"/>
    <sheet name="CCCM Dashboard" sheetId="94" r:id="rId6"/>
    <sheet name="Map" sheetId="66" state="hidden" r:id="rId7"/>
    <sheet name="ForGIS" sheetId="87" state="hidden" r:id="rId8"/>
    <sheet name="Shelter Cross Check" sheetId="88" state="hidden" r:id="rId9"/>
    <sheet name="IDP locations (printable)" sheetId="91" r:id="rId10"/>
    <sheet name="Relocation" sheetId="98" r:id="rId11"/>
    <sheet name="Shelter Gap Analysis" sheetId="19" r:id="rId12"/>
    <sheet name="Define_TCL" sheetId="69" state="hidden" r:id="rId13"/>
    <sheet name="Shelter Coverage Camp" sheetId="84" state="hidden" r:id="rId14"/>
    <sheet name="Shelter Progress" sheetId="97" r:id="rId15"/>
    <sheet name="Shelter overview" sheetId="62" r:id="rId16"/>
    <sheet name="NFI Stock and Pipeline" sheetId="95" r:id="rId17"/>
    <sheet name="NFI Distributions" sheetId="20" r:id="rId18"/>
    <sheet name="Winter Item" sheetId="86" state="hidden" r:id="rId19"/>
    <sheet name="NFI Summary" sheetId="43" r:id="rId20"/>
    <sheet name="data" sheetId="96" state="hidden" r:id="rId21"/>
  </sheets>
  <externalReferences>
    <externalReference r:id="rId22"/>
    <externalReference r:id="rId23"/>
    <externalReference r:id="rId24"/>
    <externalReference r:id="rId25"/>
  </externalReferences>
  <definedNames>
    <definedName name="_xlnm._FilterDatabase" localSheetId="0" hidden="1">'IDP locations'!$AH$4:$AI$4</definedName>
    <definedName name="_xlnm._FilterDatabase" localSheetId="17" hidden="1">'NFI Distributions'!#REF!</definedName>
    <definedName name="_xlnm._FilterDatabase" localSheetId="16" hidden="1">'NFI Stock and Pipeline'!$B$1:$BO$3</definedName>
    <definedName name="_xlnm._FilterDatabase" localSheetId="11" hidden="1">'Shelter Gap Analysis'!$A$4:$Z$184</definedName>
    <definedName name="_xlnm._FilterDatabase" localSheetId="14" hidden="1">'Shelter Progress'!$A$4:$U$183</definedName>
    <definedName name="AllData_Camplist" localSheetId="6">CampList[#All]</definedName>
    <definedName name="AllData_Camplist" localSheetId="15">CampList[#All]</definedName>
    <definedName name="AllData_Camplist" localSheetId="14">CampList[#All]</definedName>
    <definedName name="AllData_Camplist">CampList[#All]</definedName>
    <definedName name="Camp_Accessibility">Definition!$Q$2:$Q$4</definedName>
    <definedName name="Camp_List" localSheetId="14">CampList[#All]</definedName>
    <definedName name="Camp_List">CampList[#All]</definedName>
    <definedName name="Camp_Status">"Open, Close"</definedName>
    <definedName name="Camplist_HH">'IDP locations'!$R:$R</definedName>
    <definedName name="Camplist_Popl">'IDP locations'!$S:$S</definedName>
    <definedName name="CampList_Status">'IDP locations'!$B:$B</definedName>
    <definedName name="Camplist_Township">'IDP locations'!$G:$G</definedName>
    <definedName name="Camplist_Type_Of_Acc">'IDP locations'!$W:$W</definedName>
    <definedName name="CL">Define_TCL!$G$4:$K$1000</definedName>
    <definedName name="Kachin">Definition!$L$2:$L$24</definedName>
    <definedName name="Kashin" localSheetId="14">CampList[#All]</definedName>
    <definedName name="Kashin">CampList[#All]</definedName>
    <definedName name="Kyauk_Phyu_G" localSheetId="6">Map!$P$46</definedName>
    <definedName name="Location">"Camp_G,Cluster_G"</definedName>
    <definedName name="NameTSPOP">Define_TCL!$M$4:$Q$2320</definedName>
    <definedName name="NFI">Definition!$A$2:$F$16</definedName>
    <definedName name="NFI_Blanket_Track">'NFI Distributions'!$AH:$AH</definedName>
    <definedName name="NFI_Clothes_Track">'NFI Distributions'!$AJ:$AJ</definedName>
    <definedName name="NFI_Core_Track">'NFI Distributions'!$AD:$AD</definedName>
    <definedName name="NFI_Expiration" localSheetId="14">'NFI Distributions'!#REF!</definedName>
    <definedName name="NFI_Expiration">'NFI Distributions'!#REF!</definedName>
    <definedName name="NFI_Hygiene_Track">'NFI Distributions'!$AC:$AC</definedName>
    <definedName name="NFI_Kitchen_Track">'NFI Distributions'!$AI:$AI</definedName>
    <definedName name="NFI_Monitor_Date">Definition!$B$24</definedName>
    <definedName name="NFI_Month">'NFI Distributions'!$B:$B</definedName>
    <definedName name="NFI_Mosquito_Track">'NFI Distributions'!$AF:$AF</definedName>
    <definedName name="NFI_Org">'NFI Distributions'!$E:$E</definedName>
    <definedName name="NFI_Plastic_Bucket_Track">'NFI Distributions'!$AK:$AK</definedName>
    <definedName name="NFI_Plastic_Mat_Track">'NFI Distributions'!$AL:$AL</definedName>
    <definedName name="NFI_Sanitary_Track">'NFI Distributions'!$AE:$AE</definedName>
    <definedName name="NFI_State">'NFI Distributions'!$G:$G</definedName>
    <definedName name="NFI_Tarpaulin_Track">'NFI Distributions'!$AG:$AG</definedName>
    <definedName name="NFI_Township">'NFI Distributions'!$H:$H</definedName>
    <definedName name="NFI_Winter_Blanket_Track">'NFI Distributions'!$AP:$AP</definedName>
    <definedName name="NFI_Winter_Clothes_Adult_Track">'NFI Distributions'!$AM:$AM</definedName>
    <definedName name="NFI_Winter_Clothes_Children_Track">'NFI Distributions'!$AN:$AN</definedName>
    <definedName name="NFI_Winter_Items_Other_Track">'NFI Distributions'!$AO:$AO</definedName>
    <definedName name="Pcode_Priority" localSheetId="14">Table10[[Pcode]:[Priority]]</definedName>
    <definedName name="Pcode_Priority">Table10[[Pcode]:[Priority]]</definedName>
    <definedName name="_xlnm.Print_Area" localSheetId="5">'CCCM Dashboard'!$A$2:$S$51</definedName>
    <definedName name="_xlnm.Print_Area" localSheetId="4">'IDP location Analysis'!$B$2:$L$80</definedName>
    <definedName name="_xlnm.Print_Area" localSheetId="0">'IDP locations'!$M$4:$S$105</definedName>
    <definedName name="_xlnm.Print_Area" localSheetId="6">Map!$A:$O</definedName>
    <definedName name="_xlnm.Print_Area" localSheetId="17">'NFI Distributions'!$B$5:$R$5</definedName>
    <definedName name="_xlnm.Print_Area" localSheetId="19">'NFI Summary'!$B$2:$T$58</definedName>
    <definedName name="_xlnm.Print_Area" localSheetId="15">'Shelter overview'!$A$2:$O$45</definedName>
    <definedName name="_xlnm.Print_Titles" localSheetId="9">'IDP locations (printable)'!$8:$8</definedName>
    <definedName name="_xlnm.Print_Titles" localSheetId="8">'Shelter Cross Check'!$3:$3</definedName>
    <definedName name="PriorityCampWin" localSheetId="14">Table10[[Pcode]:[Priority]]</definedName>
    <definedName name="PriorityCampWin">Table10[[Pcode]:[Priority]]</definedName>
    <definedName name="Rakhine_DB" localSheetId="6">Map!$T$2:$AD$25</definedName>
    <definedName name="Report_Date">Definition!$B$23</definedName>
    <definedName name="Shan_North">Definition!$N$2:$N$7</definedName>
    <definedName name="Shelter_Draw_Ratio" localSheetId="14">'Shelter overview'!#REF!</definedName>
    <definedName name="Shelter_Draw_Ratio">'Shelter overview'!#REF!</definedName>
    <definedName name="Shelter_Gap" localSheetId="14">'IDP locations'!#REF!</definedName>
    <definedName name="Shelter_Gap">'IDP locations'!#REF!</definedName>
    <definedName name="Shelter_HH_Covered" localSheetId="14">'Shelter Progress'!#REF!</definedName>
    <definedName name="Shelter_HH_Covered">'Shelter Gap Analysis'!#REF!</definedName>
    <definedName name="Shelter_HH_Covered_1" localSheetId="14">'Shelter Progress'!#REF!</definedName>
    <definedName name="Shelter_HH_Covered_1">'Shelter Gap Analysis'!#REF!</definedName>
    <definedName name="Shelter_HH_Covered_old" localSheetId="14">'Shelter Progress'!#REF!</definedName>
    <definedName name="Shelter_HH_Covered_old">'Shelter Gap Analysis'!#REF!</definedName>
    <definedName name="Shelter_possible" localSheetId="14">'IDP locations'!#REF!</definedName>
    <definedName name="Shelter_possible">'IDP locations'!#REF!</definedName>
    <definedName name="Stat01">'IDP location Analysis'!$B$57</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6"/>
    <pivotCache cacheId="1" r:id="rId27"/>
    <pivotCache cacheId="2" r:id="rId28"/>
    <pivotCache cacheId="18" r:id="rId29"/>
    <pivotCache cacheId="24" r:id="rId30"/>
  </pivotCaches>
</workbook>
</file>

<file path=xl/calcChain.xml><?xml version="1.0" encoding="utf-8"?>
<calcChain xmlns="http://schemas.openxmlformats.org/spreadsheetml/2006/main">
  <c r="C361" i="20" l="1"/>
  <c r="C362" i="20"/>
  <c r="C363" i="20"/>
  <c r="C364" i="20"/>
  <c r="C365" i="20"/>
  <c r="C366" i="20"/>
  <c r="AC361" i="20"/>
  <c r="AC362" i="20"/>
  <c r="AC363" i="20"/>
  <c r="AC364" i="20"/>
  <c r="AC365" i="20"/>
  <c r="AC366" i="20"/>
  <c r="AD361" i="20"/>
  <c r="AD362" i="20"/>
  <c r="AD363" i="20"/>
  <c r="AD364" i="20"/>
  <c r="AD365" i="20"/>
  <c r="AD366" i="20"/>
  <c r="AE361" i="20"/>
  <c r="AE362" i="20"/>
  <c r="AE363" i="20"/>
  <c r="AE364" i="20"/>
  <c r="AE365" i="20"/>
  <c r="AE366" i="20"/>
  <c r="AF361" i="20"/>
  <c r="AF362" i="20"/>
  <c r="AF363" i="20"/>
  <c r="AF364" i="20"/>
  <c r="AF365" i="20"/>
  <c r="AF366" i="20"/>
  <c r="AG361" i="20"/>
  <c r="AG362" i="20"/>
  <c r="AG363" i="20"/>
  <c r="AG364" i="20"/>
  <c r="AG365" i="20"/>
  <c r="AG366" i="20"/>
  <c r="AH361" i="20"/>
  <c r="AH362" i="20"/>
  <c r="AH363" i="20"/>
  <c r="AH364" i="20"/>
  <c r="AH365" i="20"/>
  <c r="AH366" i="20"/>
  <c r="AI361" i="20"/>
  <c r="AI362" i="20"/>
  <c r="AI363" i="20"/>
  <c r="AI364" i="20"/>
  <c r="AI365" i="20"/>
  <c r="AI366" i="20"/>
  <c r="AJ361" i="20"/>
  <c r="AJ362" i="20"/>
  <c r="AJ363" i="20"/>
  <c r="AJ364" i="20"/>
  <c r="AJ365" i="20"/>
  <c r="AJ366" i="20"/>
  <c r="AK361" i="20"/>
  <c r="AK362" i="20"/>
  <c r="AK363" i="20"/>
  <c r="AK364" i="20"/>
  <c r="AK365" i="20"/>
  <c r="AK366" i="20"/>
  <c r="AL361" i="20"/>
  <c r="AL362" i="20"/>
  <c r="AL363" i="20"/>
  <c r="AL364" i="20"/>
  <c r="AL365" i="20"/>
  <c r="AL366" i="20"/>
  <c r="AP361" i="20"/>
  <c r="AP362" i="20"/>
  <c r="AP363" i="20"/>
  <c r="AP364" i="20"/>
  <c r="AP365" i="20"/>
  <c r="AP366" i="20"/>
  <c r="AT361" i="20"/>
  <c r="AT362" i="20"/>
  <c r="AT363" i="20"/>
  <c r="AT364" i="20"/>
  <c r="AT365" i="20"/>
  <c r="AT366" i="20"/>
  <c r="AJ25" i="66"/>
  <c r="AJ24" i="66"/>
  <c r="AJ23" i="66"/>
  <c r="AJ21" i="66"/>
  <c r="AJ19" i="66"/>
  <c r="AJ20" i="66"/>
  <c r="AJ17" i="66"/>
  <c r="AJ15" i="66"/>
  <c r="AJ14" i="66"/>
  <c r="AJ13" i="66"/>
  <c r="AJ12" i="66"/>
  <c r="AJ11" i="66"/>
  <c r="AJ10" i="66"/>
  <c r="AJ9" i="66"/>
  <c r="AJ8" i="66"/>
  <c r="AJ7" i="66"/>
  <c r="AJ6" i="66"/>
  <c r="AJ5" i="66"/>
  <c r="AJ4" i="66"/>
  <c r="AJ3" i="66"/>
  <c r="AJ16" i="66"/>
  <c r="AJ18" i="66"/>
  <c r="AJ22" i="66"/>
  <c r="T307" i="14" l="1"/>
  <c r="AD307" i="14"/>
  <c r="AE307" i="14"/>
  <c r="AF307" i="14" s="1"/>
  <c r="A3" i="98" l="1"/>
  <c r="B3" i="14"/>
  <c r="T61" i="19" l="1"/>
  <c r="S61" i="19"/>
  <c r="T42" i="19"/>
  <c r="S42" i="19"/>
  <c r="T39" i="19"/>
  <c r="S39" i="19"/>
  <c r="H20" i="19" l="1"/>
  <c r="H14" i="19"/>
  <c r="I183" i="97"/>
  <c r="J183" i="97"/>
  <c r="K183" i="97"/>
  <c r="L183" i="97"/>
  <c r="M183" i="97"/>
  <c r="O183" i="97"/>
  <c r="H183" i="97"/>
  <c r="W37" i="19"/>
  <c r="P20" i="19"/>
  <c r="P44" i="19" s="1"/>
  <c r="P46" i="19" s="1"/>
  <c r="P48" i="19" s="1"/>
  <c r="Y20" i="19"/>
  <c r="N14" i="19"/>
  <c r="O14" i="19"/>
  <c r="P14" i="19"/>
  <c r="Q14" i="19"/>
  <c r="R14" i="19"/>
  <c r="X14" i="19"/>
  <c r="Y14" i="19"/>
  <c r="M14" i="19"/>
  <c r="Y160" i="97"/>
  <c r="X160" i="97"/>
  <c r="W160" i="97"/>
  <c r="V160" i="97"/>
  <c r="U160" i="97"/>
  <c r="T160" i="97"/>
  <c r="S160" i="97"/>
  <c r="R160" i="97"/>
  <c r="Q160" i="97"/>
  <c r="P160" i="97"/>
  <c r="O160" i="97"/>
  <c r="N160" i="97"/>
  <c r="M160" i="97"/>
  <c r="L160" i="97"/>
  <c r="K160" i="97"/>
  <c r="J160" i="97"/>
  <c r="I160" i="97"/>
  <c r="H160" i="97"/>
  <c r="S129" i="19"/>
  <c r="S130" i="19"/>
  <c r="S131" i="19"/>
  <c r="S132" i="19"/>
  <c r="S133" i="19"/>
  <c r="S134" i="19"/>
  <c r="S135" i="19"/>
  <c r="S137" i="19"/>
  <c r="S122" i="19"/>
  <c r="S123" i="19"/>
  <c r="S124" i="19"/>
  <c r="S125" i="19"/>
  <c r="M20" i="19" l="1"/>
  <c r="Q20" i="19"/>
  <c r="Y44" i="19"/>
  <c r="Y46" i="19" s="1"/>
  <c r="Y48" i="19" s="1"/>
  <c r="X20" i="19"/>
  <c r="O20" i="19"/>
  <c r="O44" i="19" s="1"/>
  <c r="X44" i="19"/>
  <c r="X46" i="19" s="1"/>
  <c r="X48" i="19" s="1"/>
  <c r="P65" i="19"/>
  <c r="H44" i="19"/>
  <c r="H46" i="19" s="1"/>
  <c r="H48" i="19" s="1"/>
  <c r="R20" i="19"/>
  <c r="N20" i="19"/>
  <c r="T160" i="19"/>
  <c r="S160" i="19"/>
  <c r="O46" i="19" l="1"/>
  <c r="O48" i="19" s="1"/>
  <c r="R44" i="19"/>
  <c r="P75" i="19"/>
  <c r="X65" i="19"/>
  <c r="H65" i="19"/>
  <c r="Q44" i="19"/>
  <c r="M44" i="19"/>
  <c r="N44" i="19"/>
  <c r="N46" i="19" s="1"/>
  <c r="N48" i="19" s="1"/>
  <c r="Y65" i="19"/>
  <c r="Y75" i="19" s="1"/>
  <c r="T306" i="14"/>
  <c r="AD306" i="14"/>
  <c r="AE306" i="14"/>
  <c r="AF306" i="14" s="1"/>
  <c r="M46" i="19" l="1"/>
  <c r="M48" i="19" s="1"/>
  <c r="F12" i="62"/>
  <c r="O75" i="19"/>
  <c r="O88" i="19" s="1"/>
  <c r="R46" i="19"/>
  <c r="R48" i="19" s="1"/>
  <c r="R75" i="19" s="1"/>
  <c r="O79" i="19"/>
  <c r="Y88" i="19"/>
  <c r="Y79" i="19"/>
  <c r="Q46" i="19"/>
  <c r="N65" i="19"/>
  <c r="H75" i="19"/>
  <c r="X75" i="19"/>
  <c r="O65" i="19"/>
  <c r="R65" i="19"/>
  <c r="H79" i="19"/>
  <c r="H88" i="19" s="1"/>
  <c r="M65" i="19"/>
  <c r="P79" i="19"/>
  <c r="T269" i="14"/>
  <c r="AD269" i="14"/>
  <c r="AE269" i="14"/>
  <c r="AF269" i="14" s="1"/>
  <c r="X79" i="19" l="1"/>
  <c r="Q48" i="19"/>
  <c r="O91" i="19"/>
  <c r="O108" i="19" s="1"/>
  <c r="P88" i="19"/>
  <c r="O104" i="19"/>
  <c r="Y91" i="19"/>
  <c r="Y104" i="19" s="1"/>
  <c r="N75" i="19"/>
  <c r="M75" i="19"/>
  <c r="M79" i="19" s="1"/>
  <c r="R79" i="19"/>
  <c r="H91" i="19"/>
  <c r="H104" i="19" s="1"/>
  <c r="T159" i="19"/>
  <c r="T158" i="19"/>
  <c r="S159" i="19"/>
  <c r="S158" i="19"/>
  <c r="Y108" i="19" l="1"/>
  <c r="Y136" i="19" s="1"/>
  <c r="X91" i="19"/>
  <c r="X104" i="19" s="1"/>
  <c r="H108" i="19"/>
  <c r="Q75" i="19"/>
  <c r="Q79" i="19" s="1"/>
  <c r="N79" i="19"/>
  <c r="Q65" i="19"/>
  <c r="P91" i="19"/>
  <c r="M88" i="19"/>
  <c r="M91" i="19" s="1"/>
  <c r="P104" i="19"/>
  <c r="O136" i="19"/>
  <c r="X88" i="19"/>
  <c r="R88" i="19"/>
  <c r="C359" i="20"/>
  <c r="C360" i="20"/>
  <c r="AC359" i="20"/>
  <c r="AC360" i="20"/>
  <c r="AD359" i="20"/>
  <c r="AD360" i="20"/>
  <c r="AE359" i="20"/>
  <c r="AE360" i="20"/>
  <c r="AF359" i="20"/>
  <c r="AF360" i="20"/>
  <c r="AG359" i="20"/>
  <c r="AG360" i="20"/>
  <c r="AH359" i="20"/>
  <c r="AH360" i="20"/>
  <c r="AI359" i="20"/>
  <c r="AI360" i="20"/>
  <c r="AJ359" i="20"/>
  <c r="AJ360" i="20"/>
  <c r="AK359" i="20"/>
  <c r="AK360" i="20"/>
  <c r="AL359" i="20"/>
  <c r="AL360" i="20"/>
  <c r="AP359" i="20"/>
  <c r="AP360" i="20"/>
  <c r="AT359" i="20"/>
  <c r="AT360" i="20"/>
  <c r="H136" i="19" l="1"/>
  <c r="Q88" i="19"/>
  <c r="M104" i="19"/>
  <c r="O148" i="19"/>
  <c r="H143" i="19"/>
  <c r="Y148" i="19"/>
  <c r="O143" i="19"/>
  <c r="X108" i="19"/>
  <c r="X136" i="19" s="1"/>
  <c r="P108" i="19"/>
  <c r="P136" i="19" s="1"/>
  <c r="P143" i="19" s="1"/>
  <c r="R91" i="19"/>
  <c r="Y143" i="19"/>
  <c r="M108" i="19"/>
  <c r="M136" i="19" s="1"/>
  <c r="R104" i="19"/>
  <c r="N91" i="19"/>
  <c r="N104" i="19" s="1"/>
  <c r="N88" i="19"/>
  <c r="M143" i="19" l="1"/>
  <c r="F23" i="62" s="1"/>
  <c r="F22" i="62"/>
  <c r="R143" i="19"/>
  <c r="N108" i="19"/>
  <c r="N136" i="19" s="1"/>
  <c r="N143" i="19"/>
  <c r="Y151" i="19"/>
  <c r="R108" i="19"/>
  <c r="R136" i="19" s="1"/>
  <c r="M148" i="19"/>
  <c r="Q108" i="19"/>
  <c r="Q136" i="19" s="1"/>
  <c r="P148" i="19"/>
  <c r="X143" i="19"/>
  <c r="O151" i="19"/>
  <c r="H151" i="19"/>
  <c r="H148" i="19"/>
  <c r="X148" i="19"/>
  <c r="Q91" i="19"/>
  <c r="Q104" i="19" s="1"/>
  <c r="Y154" i="19"/>
  <c r="O154" i="19"/>
  <c r="I182" i="97"/>
  <c r="J182" i="97"/>
  <c r="K182" i="97"/>
  <c r="L182" i="97"/>
  <c r="M182" i="97"/>
  <c r="N182" i="97"/>
  <c r="O182" i="97"/>
  <c r="P182" i="97"/>
  <c r="Q182" i="97"/>
  <c r="H182" i="97"/>
  <c r="I147" i="97"/>
  <c r="J147" i="97"/>
  <c r="K147" i="97"/>
  <c r="L147" i="97"/>
  <c r="M147" i="97"/>
  <c r="N147" i="97"/>
  <c r="O147" i="97"/>
  <c r="P147" i="97"/>
  <c r="Q147" i="97"/>
  <c r="H147" i="97"/>
  <c r="I142" i="97"/>
  <c r="J142" i="97"/>
  <c r="K142" i="97"/>
  <c r="L142" i="97"/>
  <c r="M142" i="97"/>
  <c r="N142" i="97"/>
  <c r="O142" i="97"/>
  <c r="P142" i="97"/>
  <c r="Q142" i="97"/>
  <c r="H142" i="97"/>
  <c r="I135" i="97"/>
  <c r="J135" i="97"/>
  <c r="K135" i="97"/>
  <c r="L135" i="97"/>
  <c r="M135" i="97"/>
  <c r="N135" i="97"/>
  <c r="O135" i="97"/>
  <c r="P135" i="97"/>
  <c r="Q135" i="97"/>
  <c r="H135" i="97"/>
  <c r="I107" i="97"/>
  <c r="J107" i="97"/>
  <c r="K107" i="97"/>
  <c r="L107" i="97"/>
  <c r="M107" i="97"/>
  <c r="N107" i="97"/>
  <c r="O107" i="97"/>
  <c r="P107" i="97"/>
  <c r="Q107" i="97"/>
  <c r="H107" i="97"/>
  <c r="I103" i="97"/>
  <c r="J103" i="97"/>
  <c r="K103" i="97"/>
  <c r="L103" i="97"/>
  <c r="M103" i="97"/>
  <c r="N103" i="97"/>
  <c r="O103" i="97"/>
  <c r="P103" i="97"/>
  <c r="Q103" i="97"/>
  <c r="H103" i="97"/>
  <c r="I90" i="97"/>
  <c r="J90" i="97"/>
  <c r="K90" i="97"/>
  <c r="L90" i="97"/>
  <c r="M90" i="97"/>
  <c r="N90" i="97"/>
  <c r="O90" i="97"/>
  <c r="P90" i="97"/>
  <c r="Q90" i="97"/>
  <c r="H90" i="97"/>
  <c r="I87" i="97"/>
  <c r="J87" i="97"/>
  <c r="K87" i="97"/>
  <c r="L87" i="97"/>
  <c r="M87" i="97"/>
  <c r="N87" i="97"/>
  <c r="O87" i="97"/>
  <c r="P87" i="97"/>
  <c r="Q87" i="97"/>
  <c r="H87" i="97"/>
  <c r="I78" i="97"/>
  <c r="J78" i="97"/>
  <c r="K78" i="97"/>
  <c r="L78" i="97"/>
  <c r="M78" i="97"/>
  <c r="N78" i="97"/>
  <c r="O78" i="97"/>
  <c r="P78" i="97"/>
  <c r="Q78" i="97"/>
  <c r="H78" i="97"/>
  <c r="I74" i="97"/>
  <c r="J74" i="97"/>
  <c r="K74" i="97"/>
  <c r="L74" i="97"/>
  <c r="M74" i="97"/>
  <c r="N74" i="97"/>
  <c r="O74" i="97"/>
  <c r="P74" i="97"/>
  <c r="Q74" i="97"/>
  <c r="H74" i="97"/>
  <c r="I64" i="97"/>
  <c r="J64" i="97"/>
  <c r="K64" i="97"/>
  <c r="L64" i="97"/>
  <c r="M64" i="97"/>
  <c r="N64" i="97"/>
  <c r="O64" i="97"/>
  <c r="P64" i="97"/>
  <c r="Q64" i="97"/>
  <c r="H64" i="97"/>
  <c r="I44" i="97"/>
  <c r="J44" i="97"/>
  <c r="K44" i="97"/>
  <c r="L44" i="97"/>
  <c r="M44" i="97"/>
  <c r="N44" i="97"/>
  <c r="O44" i="97"/>
  <c r="P44" i="97"/>
  <c r="P183" i="97" s="1"/>
  <c r="Q44" i="97"/>
  <c r="Q183" i="97" s="1"/>
  <c r="H44" i="97"/>
  <c r="I20" i="97"/>
  <c r="J20" i="97"/>
  <c r="K20" i="97"/>
  <c r="L20" i="97"/>
  <c r="M20" i="97"/>
  <c r="N20" i="97"/>
  <c r="O20" i="97"/>
  <c r="P20" i="97"/>
  <c r="Q20" i="97"/>
  <c r="H20" i="97"/>
  <c r="I14" i="97"/>
  <c r="J14" i="97"/>
  <c r="K14" i="97"/>
  <c r="L14" i="97"/>
  <c r="M14" i="97"/>
  <c r="N14" i="97"/>
  <c r="O14" i="97"/>
  <c r="P14" i="97"/>
  <c r="Q14" i="97"/>
  <c r="H14" i="97"/>
  <c r="H154" i="19" l="1"/>
  <c r="Y161" i="19"/>
  <c r="Y183" i="19" s="1"/>
  <c r="Y157" i="19"/>
  <c r="R148" i="19"/>
  <c r="H161" i="19"/>
  <c r="H157" i="19"/>
  <c r="R151" i="19"/>
  <c r="O157" i="19"/>
  <c r="O161" i="19" s="1"/>
  <c r="O183" i="19" s="1"/>
  <c r="O184" i="19" s="1"/>
  <c r="M151" i="19"/>
  <c r="Q143" i="19"/>
  <c r="X151" i="19"/>
  <c r="N148" i="19"/>
  <c r="P151" i="19"/>
  <c r="N183" i="97"/>
  <c r="C358" i="20"/>
  <c r="AC358" i="20"/>
  <c r="AD358" i="20"/>
  <c r="AE358" i="20"/>
  <c r="AF358" i="20"/>
  <c r="AG358" i="20"/>
  <c r="AH358" i="20"/>
  <c r="AI358" i="20"/>
  <c r="AJ358" i="20"/>
  <c r="AK358" i="20"/>
  <c r="AL358" i="20"/>
  <c r="AP358" i="20"/>
  <c r="AT358" i="20"/>
  <c r="C357" i="20"/>
  <c r="AC357" i="20"/>
  <c r="AD357" i="20"/>
  <c r="AE357" i="20"/>
  <c r="AF357" i="20"/>
  <c r="AG357" i="20"/>
  <c r="AH357" i="20"/>
  <c r="AI357" i="20"/>
  <c r="AJ357" i="20"/>
  <c r="AK357" i="20"/>
  <c r="AL357" i="20"/>
  <c r="AP357" i="20"/>
  <c r="AT357" i="20"/>
  <c r="Y184" i="19" l="1"/>
  <c r="F25" i="62"/>
  <c r="H183" i="19"/>
  <c r="N154" i="19"/>
  <c r="N151" i="19"/>
  <c r="X157" i="19"/>
  <c r="X161" i="19" s="1"/>
  <c r="X183" i="19" s="1"/>
  <c r="X154" i="19"/>
  <c r="M154" i="19"/>
  <c r="Q148" i="19"/>
  <c r="R154" i="19"/>
  <c r="P154" i="19"/>
  <c r="P157" i="19" s="1"/>
  <c r="P161" i="19" s="1"/>
  <c r="P183" i="19" s="1"/>
  <c r="P184" i="19" s="1"/>
  <c r="H48" i="97"/>
  <c r="H150" i="97"/>
  <c r="H153" i="97"/>
  <c r="H156" i="97"/>
  <c r="X184" i="19" l="1"/>
  <c r="M157" i="19"/>
  <c r="F26" i="62"/>
  <c r="R157" i="19"/>
  <c r="R161" i="19" s="1"/>
  <c r="R183" i="19" s="1"/>
  <c r="R184" i="19" s="1"/>
  <c r="N161" i="19"/>
  <c r="N183" i="19" s="1"/>
  <c r="N157" i="19"/>
  <c r="Q154" i="19"/>
  <c r="Q151" i="19"/>
  <c r="V50" i="19"/>
  <c r="V51" i="19"/>
  <c r="V52" i="19"/>
  <c r="V53" i="19"/>
  <c r="V54" i="19"/>
  <c r="V55" i="19"/>
  <c r="V56" i="19"/>
  <c r="V57" i="19"/>
  <c r="V58" i="19"/>
  <c r="V59" i="19"/>
  <c r="V60" i="19"/>
  <c r="V61" i="19"/>
  <c r="V64" i="19"/>
  <c r="N184" i="19" l="1"/>
  <c r="M161" i="19"/>
  <c r="F27" i="62"/>
  <c r="Q157" i="19"/>
  <c r="Q161" i="19" s="1"/>
  <c r="Q183" i="19" s="1"/>
  <c r="Q184" i="19" s="1"/>
  <c r="W133" i="19"/>
  <c r="M183" i="19" l="1"/>
  <c r="M184" i="19" s="1"/>
  <c r="F28" i="62"/>
  <c r="C341" i="20"/>
  <c r="C342" i="20"/>
  <c r="C343" i="20"/>
  <c r="C344" i="20"/>
  <c r="C345" i="20"/>
  <c r="C346" i="20"/>
  <c r="C347" i="20"/>
  <c r="C348" i="20"/>
  <c r="C349" i="20"/>
  <c r="C350" i="20"/>
  <c r="C351" i="20"/>
  <c r="C352" i="20"/>
  <c r="C353" i="20"/>
  <c r="C354" i="20"/>
  <c r="C355" i="20"/>
  <c r="C356" i="20"/>
  <c r="AC341" i="20"/>
  <c r="AC342" i="20"/>
  <c r="AC343" i="20"/>
  <c r="AC344" i="20"/>
  <c r="AC345" i="20"/>
  <c r="AC346" i="20"/>
  <c r="AC347" i="20"/>
  <c r="AC348" i="20"/>
  <c r="AC349" i="20"/>
  <c r="AC350" i="20"/>
  <c r="AC351" i="20"/>
  <c r="AC352" i="20"/>
  <c r="AC353" i="20"/>
  <c r="AC354" i="20"/>
  <c r="AC355" i="20"/>
  <c r="AC356" i="20"/>
  <c r="AD341" i="20"/>
  <c r="AD342" i="20"/>
  <c r="AD343" i="20"/>
  <c r="AD344" i="20"/>
  <c r="AD345" i="20"/>
  <c r="AD346" i="20"/>
  <c r="AD347" i="20"/>
  <c r="AD348" i="20"/>
  <c r="AD349" i="20"/>
  <c r="AD350" i="20"/>
  <c r="AD351" i="20"/>
  <c r="AD352" i="20"/>
  <c r="AD353" i="20"/>
  <c r="AD354" i="20"/>
  <c r="AD355" i="20"/>
  <c r="AD356" i="20"/>
  <c r="AE341" i="20"/>
  <c r="AE342" i="20"/>
  <c r="AE343" i="20"/>
  <c r="AE344" i="20"/>
  <c r="AE345" i="20"/>
  <c r="AE346" i="20"/>
  <c r="AE347" i="20"/>
  <c r="AE348" i="20"/>
  <c r="AE349" i="20"/>
  <c r="AE350" i="20"/>
  <c r="AE351" i="20"/>
  <c r="AE352" i="20"/>
  <c r="AE353" i="20"/>
  <c r="AE354" i="20"/>
  <c r="AE355" i="20"/>
  <c r="AE356" i="20"/>
  <c r="AF341" i="20"/>
  <c r="AF342" i="20"/>
  <c r="AF343" i="20"/>
  <c r="AF344" i="20"/>
  <c r="AF345" i="20"/>
  <c r="AF346" i="20"/>
  <c r="AF347" i="20"/>
  <c r="AF348" i="20"/>
  <c r="AF349" i="20"/>
  <c r="AF350" i="20"/>
  <c r="AF351" i="20"/>
  <c r="AF352" i="20"/>
  <c r="AF353" i="20"/>
  <c r="AF354" i="20"/>
  <c r="AF355" i="20"/>
  <c r="AF356" i="20"/>
  <c r="AG341" i="20"/>
  <c r="AG342" i="20"/>
  <c r="AG343" i="20"/>
  <c r="AG344" i="20"/>
  <c r="AG345" i="20"/>
  <c r="AG346" i="20"/>
  <c r="AG347" i="20"/>
  <c r="AG348" i="20"/>
  <c r="AG349" i="20"/>
  <c r="AG350" i="20"/>
  <c r="AG351" i="20"/>
  <c r="AG352" i="20"/>
  <c r="AG353" i="20"/>
  <c r="AG354" i="20"/>
  <c r="AG355" i="20"/>
  <c r="AG356" i="20"/>
  <c r="AH341" i="20"/>
  <c r="AH342" i="20"/>
  <c r="AH343" i="20"/>
  <c r="AH344" i="20"/>
  <c r="AH345" i="20"/>
  <c r="AH346" i="20"/>
  <c r="AH347" i="20"/>
  <c r="AH348" i="20"/>
  <c r="AH349" i="20"/>
  <c r="AH350" i="20"/>
  <c r="AH351" i="20"/>
  <c r="AH352" i="20"/>
  <c r="AH353" i="20"/>
  <c r="AH354" i="20"/>
  <c r="AH355" i="20"/>
  <c r="AH356" i="20"/>
  <c r="AI341" i="20"/>
  <c r="AI342" i="20"/>
  <c r="AI343" i="20"/>
  <c r="AI344" i="20"/>
  <c r="AI345" i="20"/>
  <c r="AI346" i="20"/>
  <c r="AI347" i="20"/>
  <c r="AI348" i="20"/>
  <c r="AI349" i="20"/>
  <c r="AI350" i="20"/>
  <c r="AI351" i="20"/>
  <c r="AI352" i="20"/>
  <c r="AI353" i="20"/>
  <c r="AI354" i="20"/>
  <c r="AI355" i="20"/>
  <c r="AI356" i="20"/>
  <c r="AJ341" i="20"/>
  <c r="AJ342" i="20"/>
  <c r="AJ343" i="20"/>
  <c r="AJ344" i="20"/>
  <c r="AJ345" i="20"/>
  <c r="AJ346" i="20"/>
  <c r="AJ347" i="20"/>
  <c r="AJ348" i="20"/>
  <c r="AJ349" i="20"/>
  <c r="AJ350" i="20"/>
  <c r="AJ351" i="20"/>
  <c r="AJ352" i="20"/>
  <c r="AJ353" i="20"/>
  <c r="AJ354" i="20"/>
  <c r="AJ355" i="20"/>
  <c r="AJ356" i="20"/>
  <c r="AK341" i="20"/>
  <c r="AK342" i="20"/>
  <c r="AK343" i="20"/>
  <c r="AK344" i="20"/>
  <c r="AK345" i="20"/>
  <c r="AK346" i="20"/>
  <c r="AK347" i="20"/>
  <c r="AK348" i="20"/>
  <c r="AK349" i="20"/>
  <c r="AK350" i="20"/>
  <c r="AK351" i="20"/>
  <c r="AK352" i="20"/>
  <c r="AK353" i="20"/>
  <c r="AK354" i="20"/>
  <c r="AK355" i="20"/>
  <c r="AK356" i="20"/>
  <c r="AL341" i="20"/>
  <c r="AL342" i="20"/>
  <c r="AL343" i="20"/>
  <c r="AL344" i="20"/>
  <c r="AL345" i="20"/>
  <c r="AL346" i="20"/>
  <c r="AL347" i="20"/>
  <c r="AL348" i="20"/>
  <c r="AL349" i="20"/>
  <c r="AL350" i="20"/>
  <c r="AL351" i="20"/>
  <c r="AL352" i="20"/>
  <c r="AL353" i="20"/>
  <c r="AL354" i="20"/>
  <c r="AL355" i="20"/>
  <c r="AL356" i="20"/>
  <c r="AP341" i="20"/>
  <c r="AP342" i="20"/>
  <c r="AP343" i="20"/>
  <c r="AP344" i="20"/>
  <c r="AP345" i="20"/>
  <c r="AP346" i="20"/>
  <c r="AP347" i="20"/>
  <c r="AP348" i="20"/>
  <c r="AP349" i="20"/>
  <c r="AP350" i="20"/>
  <c r="AP351" i="20"/>
  <c r="AP352" i="20"/>
  <c r="AP353" i="20"/>
  <c r="AP354" i="20"/>
  <c r="AP355" i="20"/>
  <c r="AP356" i="20"/>
  <c r="AT341" i="20"/>
  <c r="AT342" i="20"/>
  <c r="AT343" i="20"/>
  <c r="AT344" i="20"/>
  <c r="AT345" i="20"/>
  <c r="AT346" i="20"/>
  <c r="AT347" i="20"/>
  <c r="AT348" i="20"/>
  <c r="AT349" i="20"/>
  <c r="AT350" i="20"/>
  <c r="AT351" i="20"/>
  <c r="AT352" i="20"/>
  <c r="AT353" i="20"/>
  <c r="AT354" i="20"/>
  <c r="AT355" i="20"/>
  <c r="AT356" i="20"/>
  <c r="C330" i="20" l="1"/>
  <c r="C331" i="20"/>
  <c r="C332" i="20"/>
  <c r="C333" i="20"/>
  <c r="C334" i="20"/>
  <c r="C335" i="20"/>
  <c r="C336" i="20"/>
  <c r="C337" i="20"/>
  <c r="C338" i="20"/>
  <c r="C339" i="20"/>
  <c r="C340" i="20"/>
  <c r="AC330" i="20"/>
  <c r="AC331" i="20"/>
  <c r="AC332" i="20"/>
  <c r="AC333" i="20"/>
  <c r="AC334" i="20"/>
  <c r="AC335" i="20"/>
  <c r="AC336" i="20"/>
  <c r="AC337" i="20"/>
  <c r="AC338" i="20"/>
  <c r="AC339" i="20"/>
  <c r="AC340" i="20"/>
  <c r="AD330" i="20"/>
  <c r="AD331" i="20"/>
  <c r="AD332" i="20"/>
  <c r="AD333" i="20"/>
  <c r="AD334" i="20"/>
  <c r="AD335" i="20"/>
  <c r="AD336" i="20"/>
  <c r="AD337" i="20"/>
  <c r="AD338" i="20"/>
  <c r="AD339" i="20"/>
  <c r="AD340" i="20"/>
  <c r="AE330" i="20"/>
  <c r="AE331" i="20"/>
  <c r="AE332" i="20"/>
  <c r="AE333" i="20"/>
  <c r="AE334" i="20"/>
  <c r="AE335" i="20"/>
  <c r="AE336" i="20"/>
  <c r="AE337" i="20"/>
  <c r="AE338" i="20"/>
  <c r="AE339" i="20"/>
  <c r="AE340" i="20"/>
  <c r="AF330" i="20"/>
  <c r="AF331" i="20"/>
  <c r="AF332" i="20"/>
  <c r="AF333" i="20"/>
  <c r="AF334" i="20"/>
  <c r="AF335" i="20"/>
  <c r="AF336" i="20"/>
  <c r="AF337" i="20"/>
  <c r="AF338" i="20"/>
  <c r="AF339" i="20"/>
  <c r="AF340" i="20"/>
  <c r="AG330" i="20"/>
  <c r="AG331" i="20"/>
  <c r="AG332" i="20"/>
  <c r="AG333" i="20"/>
  <c r="AG334" i="20"/>
  <c r="AG335" i="20"/>
  <c r="AG336" i="20"/>
  <c r="AG337" i="20"/>
  <c r="AG338" i="20"/>
  <c r="AG339" i="20"/>
  <c r="AG340" i="20"/>
  <c r="AH330" i="20"/>
  <c r="AH331" i="20"/>
  <c r="AH332" i="20"/>
  <c r="AH333" i="20"/>
  <c r="AH334" i="20"/>
  <c r="AH335" i="20"/>
  <c r="AH336" i="20"/>
  <c r="AH337" i="20"/>
  <c r="AH338" i="20"/>
  <c r="AH339" i="20"/>
  <c r="AH340" i="20"/>
  <c r="AI330" i="20"/>
  <c r="AI331" i="20"/>
  <c r="AI332" i="20"/>
  <c r="AI333" i="20"/>
  <c r="AI334" i="20"/>
  <c r="AI335" i="20"/>
  <c r="AI336" i="20"/>
  <c r="AI337" i="20"/>
  <c r="AI338" i="20"/>
  <c r="AI339" i="20"/>
  <c r="AI340" i="20"/>
  <c r="AJ330" i="20"/>
  <c r="AJ331" i="20"/>
  <c r="AJ332" i="20"/>
  <c r="AJ333" i="20"/>
  <c r="AJ334" i="20"/>
  <c r="AJ335" i="20"/>
  <c r="AJ336" i="20"/>
  <c r="AJ337" i="20"/>
  <c r="AJ338" i="20"/>
  <c r="AJ339" i="20"/>
  <c r="AJ340" i="20"/>
  <c r="AK330" i="20"/>
  <c r="AK331" i="20"/>
  <c r="AK332" i="20"/>
  <c r="AK333" i="20"/>
  <c r="AK334" i="20"/>
  <c r="AK335" i="20"/>
  <c r="AK336" i="20"/>
  <c r="AK337" i="20"/>
  <c r="AK338" i="20"/>
  <c r="AK339" i="20"/>
  <c r="AK340" i="20"/>
  <c r="AL330" i="20"/>
  <c r="AL331" i="20"/>
  <c r="AL332" i="20"/>
  <c r="AL333" i="20"/>
  <c r="AL334" i="20"/>
  <c r="AL335" i="20"/>
  <c r="AL336" i="20"/>
  <c r="AL337" i="20"/>
  <c r="AL338" i="20"/>
  <c r="AL339" i="20"/>
  <c r="AL340" i="20"/>
  <c r="AP330" i="20"/>
  <c r="AP331" i="20"/>
  <c r="AP332" i="20"/>
  <c r="AP333" i="20"/>
  <c r="AP334" i="20"/>
  <c r="AP335" i="20"/>
  <c r="AP336" i="20"/>
  <c r="AP337" i="20"/>
  <c r="AP338" i="20"/>
  <c r="AP339" i="20"/>
  <c r="AP340" i="20"/>
  <c r="AT330" i="20"/>
  <c r="AT331" i="20"/>
  <c r="AT332" i="20"/>
  <c r="AT333" i="20"/>
  <c r="AT334" i="20"/>
  <c r="AT335" i="20"/>
  <c r="AT336" i="20"/>
  <c r="AT337" i="20"/>
  <c r="AT338" i="20"/>
  <c r="AT339" i="20"/>
  <c r="AT340" i="20"/>
  <c r="C329" i="20"/>
  <c r="AC329" i="20"/>
  <c r="AD329" i="20"/>
  <c r="AE329" i="20"/>
  <c r="AF329" i="20"/>
  <c r="AG329" i="20"/>
  <c r="AH329" i="20"/>
  <c r="AI329" i="20"/>
  <c r="AJ329" i="20"/>
  <c r="AK329" i="20"/>
  <c r="AL329" i="20"/>
  <c r="AP329" i="20"/>
  <c r="AT329" i="20"/>
  <c r="AE5" i="14" l="1"/>
  <c r="AF5" i="14" l="1"/>
  <c r="B21" i="92"/>
  <c r="B20" i="92"/>
  <c r="B16" i="92"/>
  <c r="B2" i="92"/>
  <c r="F46" i="94"/>
  <c r="F47" i="94"/>
  <c r="F48" i="94"/>
  <c r="F45" i="94"/>
  <c r="E46" i="94"/>
  <c r="E47" i="94"/>
  <c r="E48" i="94"/>
  <c r="E45" i="94"/>
  <c r="D46" i="94"/>
  <c r="D47" i="94"/>
  <c r="D48" i="94"/>
  <c r="D45" i="94"/>
  <c r="C46" i="94"/>
  <c r="C47" i="94"/>
  <c r="C48" i="94"/>
  <c r="C45" i="94"/>
  <c r="E16" i="94"/>
  <c r="E17" i="94"/>
  <c r="E18" i="94"/>
  <c r="E19" i="94"/>
  <c r="E20" i="94"/>
  <c r="E21" i="94"/>
  <c r="E22" i="94"/>
  <c r="E23" i="94"/>
  <c r="E24" i="94"/>
  <c r="E25" i="94"/>
  <c r="E26" i="94"/>
  <c r="E27" i="94"/>
  <c r="E28" i="94"/>
  <c r="E29" i="94"/>
  <c r="E30" i="94"/>
  <c r="E15" i="94"/>
  <c r="D16" i="94"/>
  <c r="D17" i="94"/>
  <c r="D18" i="94"/>
  <c r="D19" i="94"/>
  <c r="D20" i="94"/>
  <c r="D21" i="94"/>
  <c r="D22" i="94"/>
  <c r="D23" i="94"/>
  <c r="D24" i="94"/>
  <c r="D25" i="94"/>
  <c r="D26" i="94"/>
  <c r="D27" i="94"/>
  <c r="D28" i="94"/>
  <c r="D29" i="94"/>
  <c r="D30" i="94"/>
  <c r="D15" i="94"/>
  <c r="C16" i="94"/>
  <c r="C17" i="94"/>
  <c r="C18" i="94"/>
  <c r="C19" i="94"/>
  <c r="C20" i="94"/>
  <c r="C21" i="94"/>
  <c r="C22" i="94"/>
  <c r="C23" i="94"/>
  <c r="C24" i="94"/>
  <c r="C25" i="94"/>
  <c r="C26" i="94"/>
  <c r="C27" i="94"/>
  <c r="C28" i="94"/>
  <c r="C29" i="94"/>
  <c r="C30" i="94"/>
  <c r="C15" i="94"/>
  <c r="C49" i="94" l="1"/>
  <c r="F49" i="94"/>
  <c r="E49" i="94"/>
  <c r="D49" i="94"/>
  <c r="G46" i="94"/>
  <c r="H46" i="94"/>
  <c r="G47" i="94"/>
  <c r="H47" i="94"/>
  <c r="G48" i="94"/>
  <c r="H48" i="94"/>
  <c r="E34" i="94"/>
  <c r="E35" i="94"/>
  <c r="E36" i="94"/>
  <c r="E37" i="94"/>
  <c r="E38" i="94"/>
  <c r="E39" i="94"/>
  <c r="E33" i="94"/>
  <c r="B17" i="92"/>
  <c r="B10" i="92"/>
  <c r="B11" i="92"/>
  <c r="B12" i="92"/>
  <c r="B9" i="92"/>
  <c r="B3" i="92"/>
  <c r="B4" i="92"/>
  <c r="B5" i="92"/>
  <c r="C27" i="62"/>
  <c r="C14" i="62"/>
  <c r="C17" i="62"/>
  <c r="C28" i="62"/>
  <c r="C19" i="62"/>
  <c r="C26" i="62"/>
  <c r="C25" i="62"/>
  <c r="C18" i="62"/>
  <c r="C10" i="62"/>
  <c r="C22" i="62"/>
  <c r="C16" i="62"/>
  <c r="C24" i="62"/>
  <c r="C11" i="62"/>
  <c r="C12" i="62"/>
  <c r="C13" i="62"/>
  <c r="C21" i="62"/>
  <c r="C20" i="62"/>
  <c r="C15" i="62"/>
  <c r="C29" i="62"/>
  <c r="C23" i="62"/>
  <c r="C30" i="62" l="1"/>
  <c r="Z5" i="33"/>
  <c r="D34" i="94"/>
  <c r="D35" i="94"/>
  <c r="D36" i="94"/>
  <c r="D37" i="94"/>
  <c r="D38" i="94"/>
  <c r="D39" i="94"/>
  <c r="D33" i="94"/>
  <c r="C34" i="94"/>
  <c r="C35" i="94"/>
  <c r="C36" i="94"/>
  <c r="C37" i="94"/>
  <c r="C38" i="94"/>
  <c r="C39" i="94"/>
  <c r="C33" i="94"/>
  <c r="C40" i="94" l="1"/>
  <c r="AD30" i="14" l="1"/>
  <c r="AE304" i="14"/>
  <c r="AD304" i="14"/>
  <c r="T304" i="14"/>
  <c r="AF304" i="14" l="1"/>
  <c r="I156" i="97" l="1"/>
  <c r="J156" i="97"/>
  <c r="K156" i="97"/>
  <c r="L156" i="97"/>
  <c r="M156" i="97"/>
  <c r="N156" i="97"/>
  <c r="O156" i="97"/>
  <c r="P156" i="97"/>
  <c r="Q156" i="97"/>
  <c r="I153" i="97"/>
  <c r="J153" i="97"/>
  <c r="K153" i="97"/>
  <c r="L153" i="97"/>
  <c r="M153" i="97"/>
  <c r="N153" i="97"/>
  <c r="O153" i="97"/>
  <c r="P153" i="97"/>
  <c r="Q153" i="97"/>
  <c r="I150" i="97"/>
  <c r="J150" i="97"/>
  <c r="K150" i="97"/>
  <c r="L150" i="97"/>
  <c r="M150" i="97"/>
  <c r="N150" i="97"/>
  <c r="O150" i="97"/>
  <c r="P150" i="97"/>
  <c r="Q150" i="97"/>
  <c r="I48" i="97"/>
  <c r="J48" i="97"/>
  <c r="K48" i="97"/>
  <c r="L48" i="97"/>
  <c r="M48" i="97"/>
  <c r="N48" i="97"/>
  <c r="O48" i="97"/>
  <c r="P48" i="97"/>
  <c r="Q48" i="97"/>
  <c r="I46" i="97"/>
  <c r="J46" i="97"/>
  <c r="K46" i="97"/>
  <c r="L46" i="97"/>
  <c r="M46" i="97"/>
  <c r="N46" i="97"/>
  <c r="O46" i="97"/>
  <c r="P46" i="97"/>
  <c r="Q46" i="97"/>
  <c r="T182" i="97"/>
  <c r="S182" i="97"/>
  <c r="R182" i="97"/>
  <c r="T156" i="97"/>
  <c r="S156" i="97"/>
  <c r="R156" i="97"/>
  <c r="R153" i="97"/>
  <c r="R150" i="97"/>
  <c r="R147" i="97"/>
  <c r="T142" i="97"/>
  <c r="S142" i="97"/>
  <c r="R142" i="97"/>
  <c r="T135" i="97"/>
  <c r="S135" i="97"/>
  <c r="R135" i="97"/>
  <c r="T107" i="97"/>
  <c r="S107" i="97"/>
  <c r="R107" i="97"/>
  <c r="T103" i="97"/>
  <c r="S103" i="97"/>
  <c r="R103" i="97"/>
  <c r="T90" i="97"/>
  <c r="S90" i="97"/>
  <c r="R90" i="97"/>
  <c r="T87" i="97"/>
  <c r="S87" i="97"/>
  <c r="R87" i="97"/>
  <c r="T78" i="97"/>
  <c r="S78" i="97"/>
  <c r="R78" i="97"/>
  <c r="T74" i="97"/>
  <c r="S74" i="97"/>
  <c r="R74" i="97"/>
  <c r="T64" i="97"/>
  <c r="S64" i="97"/>
  <c r="R64" i="97"/>
  <c r="R48" i="97"/>
  <c r="T46" i="97"/>
  <c r="S46" i="97"/>
  <c r="R46" i="97"/>
  <c r="T44" i="97"/>
  <c r="S44" i="97"/>
  <c r="R44" i="97"/>
  <c r="T20" i="97"/>
  <c r="S20" i="97"/>
  <c r="R20" i="97"/>
  <c r="T14" i="97"/>
  <c r="S14" i="97"/>
  <c r="R14" i="97"/>
  <c r="S48" i="97" l="1"/>
  <c r="S183" i="97" s="1"/>
  <c r="T48" i="97"/>
  <c r="T183" i="97" s="1"/>
  <c r="R183" i="97"/>
  <c r="C328" i="20"/>
  <c r="AC328" i="20"/>
  <c r="AD328" i="20"/>
  <c r="AE328" i="20"/>
  <c r="AF328" i="20"/>
  <c r="AG328" i="20"/>
  <c r="AH328" i="20"/>
  <c r="AI328" i="20"/>
  <c r="AJ328" i="20"/>
  <c r="AK328" i="20"/>
  <c r="AL328" i="20"/>
  <c r="AP328" i="20"/>
  <c r="AT328" i="20"/>
  <c r="C327" i="20"/>
  <c r="AC327" i="20"/>
  <c r="AD327" i="20"/>
  <c r="AE327" i="20"/>
  <c r="AF327" i="20"/>
  <c r="AG327" i="20"/>
  <c r="AH327" i="20"/>
  <c r="AI327" i="20"/>
  <c r="AJ327" i="20"/>
  <c r="AK327" i="20"/>
  <c r="AL327" i="20"/>
  <c r="AP327" i="20"/>
  <c r="AT327" i="20"/>
  <c r="C326" i="20"/>
  <c r="AC326" i="20"/>
  <c r="AD326" i="20"/>
  <c r="AE326" i="20"/>
  <c r="AF326" i="20"/>
  <c r="AG326" i="20"/>
  <c r="AH326" i="20"/>
  <c r="AI326" i="20"/>
  <c r="AJ326" i="20"/>
  <c r="AK326" i="20"/>
  <c r="AL326" i="20"/>
  <c r="AP326" i="20"/>
  <c r="AT326" i="20"/>
  <c r="C325" i="20"/>
  <c r="AC325" i="20"/>
  <c r="AD325" i="20"/>
  <c r="AE325" i="20"/>
  <c r="AF325" i="20"/>
  <c r="AG325" i="20"/>
  <c r="AH325" i="20"/>
  <c r="AI325" i="20"/>
  <c r="AJ325" i="20"/>
  <c r="AK325" i="20"/>
  <c r="AL325" i="20"/>
  <c r="AP325" i="20"/>
  <c r="AT325" i="20"/>
  <c r="C324" i="20"/>
  <c r="AC324" i="20"/>
  <c r="AD324" i="20"/>
  <c r="AE324" i="20"/>
  <c r="AF324" i="20"/>
  <c r="AG324" i="20"/>
  <c r="AH324" i="20"/>
  <c r="AI324" i="20"/>
  <c r="AJ324" i="20"/>
  <c r="AK324" i="20"/>
  <c r="AL324" i="20"/>
  <c r="AP324" i="20"/>
  <c r="AT324" i="20"/>
  <c r="AE223" i="14" l="1"/>
  <c r="AD223" i="14"/>
  <c r="T223" i="14"/>
  <c r="AF223" i="14" l="1"/>
  <c r="C323" i="20"/>
  <c r="AC323" i="20"/>
  <c r="AD323" i="20"/>
  <c r="AE323" i="20"/>
  <c r="AF323" i="20"/>
  <c r="AG323" i="20"/>
  <c r="AH323" i="20"/>
  <c r="AI323" i="20"/>
  <c r="AJ323" i="20"/>
  <c r="AK323" i="20"/>
  <c r="AL323" i="20"/>
  <c r="AP323" i="20"/>
  <c r="AT323" i="20"/>
  <c r="C322" i="20"/>
  <c r="AC322" i="20"/>
  <c r="AD322" i="20"/>
  <c r="AE322" i="20"/>
  <c r="AF322" i="20"/>
  <c r="AG322" i="20"/>
  <c r="AH322" i="20"/>
  <c r="AI322" i="20"/>
  <c r="AJ322" i="20"/>
  <c r="AK322" i="20"/>
  <c r="AL322" i="20"/>
  <c r="AP322" i="20"/>
  <c r="AT322" i="20"/>
  <c r="C321" i="20"/>
  <c r="AC321" i="20"/>
  <c r="AD321" i="20"/>
  <c r="AE321" i="20"/>
  <c r="AF321" i="20"/>
  <c r="AG321" i="20"/>
  <c r="AH321" i="20"/>
  <c r="AI321" i="20"/>
  <c r="AJ321" i="20"/>
  <c r="AK321" i="20"/>
  <c r="AL321" i="20"/>
  <c r="AP321" i="20"/>
  <c r="AT321" i="20"/>
  <c r="C320" i="20"/>
  <c r="AC320" i="20"/>
  <c r="AD320" i="20"/>
  <c r="AE320" i="20"/>
  <c r="AF320" i="20"/>
  <c r="AG320" i="20"/>
  <c r="AH320" i="20"/>
  <c r="AI320" i="20"/>
  <c r="AJ320" i="20"/>
  <c r="AK320" i="20"/>
  <c r="AL320" i="20"/>
  <c r="AP320" i="20"/>
  <c r="AT320" i="20"/>
  <c r="C319" i="20"/>
  <c r="AC319" i="20"/>
  <c r="AD319" i="20"/>
  <c r="AE319" i="20"/>
  <c r="AF319" i="20"/>
  <c r="AG319" i="20"/>
  <c r="AH319" i="20"/>
  <c r="AI319" i="20"/>
  <c r="AJ319" i="20"/>
  <c r="AK319" i="20"/>
  <c r="AL319" i="20"/>
  <c r="AP319" i="20"/>
  <c r="AT319" i="20"/>
  <c r="C318" i="20"/>
  <c r="AC318" i="20"/>
  <c r="AD318" i="20"/>
  <c r="AE318" i="20"/>
  <c r="AF318" i="20"/>
  <c r="AG318" i="20"/>
  <c r="AH318" i="20"/>
  <c r="AI318" i="20"/>
  <c r="AJ318" i="20"/>
  <c r="AK318" i="20"/>
  <c r="AL318" i="20"/>
  <c r="AP318" i="20"/>
  <c r="AT318" i="20"/>
  <c r="C317" i="20"/>
  <c r="AC317" i="20"/>
  <c r="AD317" i="20"/>
  <c r="AE317" i="20"/>
  <c r="AF317" i="20"/>
  <c r="AG317" i="20"/>
  <c r="AH317" i="20"/>
  <c r="AI317" i="20"/>
  <c r="AJ317" i="20"/>
  <c r="AK317" i="20"/>
  <c r="AL317" i="20"/>
  <c r="AP317" i="20"/>
  <c r="AT317" i="20"/>
  <c r="C316" i="20"/>
  <c r="AC316" i="20"/>
  <c r="AD316" i="20"/>
  <c r="AE316" i="20"/>
  <c r="AF316" i="20"/>
  <c r="AG316" i="20"/>
  <c r="AH316" i="20"/>
  <c r="AI316" i="20"/>
  <c r="AJ316" i="20"/>
  <c r="AK316" i="20"/>
  <c r="AL316" i="20"/>
  <c r="AP316" i="20"/>
  <c r="AT316" i="20"/>
  <c r="C315" i="20"/>
  <c r="AC315" i="20"/>
  <c r="AD315" i="20"/>
  <c r="AE315" i="20"/>
  <c r="AF315" i="20"/>
  <c r="AG315" i="20"/>
  <c r="AH315" i="20"/>
  <c r="AI315" i="20"/>
  <c r="AJ315" i="20"/>
  <c r="AK315" i="20"/>
  <c r="AL315" i="20"/>
  <c r="AP315" i="20"/>
  <c r="AT315" i="20"/>
  <c r="C314" i="20"/>
  <c r="AC314" i="20"/>
  <c r="AD314" i="20"/>
  <c r="AE314" i="20"/>
  <c r="AF314" i="20"/>
  <c r="AG314" i="20"/>
  <c r="AH314" i="20"/>
  <c r="AI314" i="20"/>
  <c r="AJ314" i="20"/>
  <c r="AK314" i="20"/>
  <c r="AL314" i="20"/>
  <c r="AP314" i="20"/>
  <c r="AT314" i="20"/>
  <c r="C313" i="20"/>
  <c r="AC313" i="20"/>
  <c r="AD313" i="20"/>
  <c r="AE313" i="20"/>
  <c r="AF313" i="20"/>
  <c r="AG313" i="20"/>
  <c r="AH313" i="20"/>
  <c r="AI313" i="20"/>
  <c r="AJ313" i="20"/>
  <c r="AK313" i="20"/>
  <c r="AL313" i="20"/>
  <c r="AP313" i="20"/>
  <c r="AT313" i="20"/>
  <c r="C312" i="20"/>
  <c r="AC312" i="20"/>
  <c r="AD312" i="20"/>
  <c r="AE312" i="20"/>
  <c r="AF312" i="20"/>
  <c r="AG312" i="20"/>
  <c r="AH312" i="20"/>
  <c r="AI312" i="20"/>
  <c r="AJ312" i="20"/>
  <c r="AK312" i="20"/>
  <c r="AL312" i="20"/>
  <c r="AP312" i="20"/>
  <c r="AT312" i="20"/>
  <c r="C311" i="20"/>
  <c r="AC311" i="20"/>
  <c r="AD311" i="20"/>
  <c r="AE311" i="20"/>
  <c r="AF311" i="20"/>
  <c r="AG311" i="20"/>
  <c r="AH311" i="20"/>
  <c r="AI311" i="20"/>
  <c r="AJ311" i="20"/>
  <c r="AK311" i="20"/>
  <c r="AL311" i="20"/>
  <c r="AP311" i="20"/>
  <c r="AT311" i="20"/>
  <c r="C310" i="20" l="1"/>
  <c r="AC310" i="20"/>
  <c r="AD310" i="20"/>
  <c r="AE310" i="20"/>
  <c r="AF310" i="20"/>
  <c r="AG310" i="20"/>
  <c r="AH310" i="20"/>
  <c r="AI310" i="20"/>
  <c r="AJ310" i="20"/>
  <c r="AK310" i="20"/>
  <c r="AL310" i="20"/>
  <c r="AP310" i="20"/>
  <c r="AT310" i="20"/>
  <c r="C305" i="20"/>
  <c r="C306" i="20"/>
  <c r="C307" i="20"/>
  <c r="C308" i="20"/>
  <c r="C309" i="20"/>
  <c r="AC305" i="20"/>
  <c r="AC306" i="20"/>
  <c r="AC307" i="20"/>
  <c r="AC308" i="20"/>
  <c r="AC309" i="20"/>
  <c r="AD305" i="20"/>
  <c r="AD306" i="20"/>
  <c r="AD307" i="20"/>
  <c r="AD308" i="20"/>
  <c r="AD309" i="20"/>
  <c r="AE305" i="20"/>
  <c r="AE306" i="20"/>
  <c r="AE307" i="20"/>
  <c r="AE308" i="20"/>
  <c r="AE309" i="20"/>
  <c r="AF305" i="20"/>
  <c r="AF306" i="20"/>
  <c r="AF307" i="20"/>
  <c r="AF308" i="20"/>
  <c r="AF309" i="20"/>
  <c r="AG305" i="20"/>
  <c r="AG306" i="20"/>
  <c r="AG307" i="20"/>
  <c r="AG308" i="20"/>
  <c r="AG309" i="20"/>
  <c r="AH305" i="20"/>
  <c r="AH306" i="20"/>
  <c r="AH307" i="20"/>
  <c r="AH308" i="20"/>
  <c r="AH309" i="20"/>
  <c r="AI305" i="20"/>
  <c r="AI306" i="20"/>
  <c r="AI307" i="20"/>
  <c r="AI308" i="20"/>
  <c r="AI309" i="20"/>
  <c r="AJ305" i="20"/>
  <c r="AJ306" i="20"/>
  <c r="AJ307" i="20"/>
  <c r="AJ308" i="20"/>
  <c r="AJ309" i="20"/>
  <c r="AK305" i="20"/>
  <c r="AK306" i="20"/>
  <c r="AK307" i="20"/>
  <c r="AK308" i="20"/>
  <c r="AK309" i="20"/>
  <c r="AL305" i="20"/>
  <c r="AL306" i="20"/>
  <c r="AL307" i="20"/>
  <c r="AL308" i="20"/>
  <c r="AL309" i="20"/>
  <c r="AP305" i="20"/>
  <c r="AP306" i="20"/>
  <c r="AP307" i="20"/>
  <c r="AP308" i="20"/>
  <c r="AP309" i="20"/>
  <c r="AT305" i="20"/>
  <c r="AT306" i="20"/>
  <c r="AT307" i="20"/>
  <c r="AT308" i="20"/>
  <c r="AT309" i="20"/>
  <c r="C299" i="20"/>
  <c r="C300" i="20"/>
  <c r="C301" i="20"/>
  <c r="C302" i="20"/>
  <c r="C303" i="20"/>
  <c r="C304" i="20"/>
  <c r="AC299" i="20"/>
  <c r="AC300" i="20"/>
  <c r="AC301" i="20"/>
  <c r="AC302" i="20"/>
  <c r="AC303" i="20"/>
  <c r="AC304" i="20"/>
  <c r="AD299" i="20"/>
  <c r="AD300" i="20"/>
  <c r="AD301" i="20"/>
  <c r="AD302" i="20"/>
  <c r="AD303" i="20"/>
  <c r="AD304" i="20"/>
  <c r="AE299" i="20"/>
  <c r="AE300" i="20"/>
  <c r="AE301" i="20"/>
  <c r="AE302" i="20"/>
  <c r="AE303" i="20"/>
  <c r="AE304" i="20"/>
  <c r="AF299" i="20"/>
  <c r="AF300" i="20"/>
  <c r="AF301" i="20"/>
  <c r="AF302" i="20"/>
  <c r="AF303" i="20"/>
  <c r="AF304" i="20"/>
  <c r="AG299" i="20"/>
  <c r="AG300" i="20"/>
  <c r="AG301" i="20"/>
  <c r="AG302" i="20"/>
  <c r="AG303" i="20"/>
  <c r="AG304" i="20"/>
  <c r="AH299" i="20"/>
  <c r="AH300" i="20"/>
  <c r="AH301" i="20"/>
  <c r="AH302" i="20"/>
  <c r="AH303" i="20"/>
  <c r="AH304" i="20"/>
  <c r="AI299" i="20"/>
  <c r="AI300" i="20"/>
  <c r="AI301" i="20"/>
  <c r="AI302" i="20"/>
  <c r="AI303" i="20"/>
  <c r="AI304" i="20"/>
  <c r="AJ299" i="20"/>
  <c r="AJ300" i="20"/>
  <c r="AJ301" i="20"/>
  <c r="AJ302" i="20"/>
  <c r="AJ303" i="20"/>
  <c r="AJ304" i="20"/>
  <c r="AK299" i="20"/>
  <c r="AK300" i="20"/>
  <c r="AK301" i="20"/>
  <c r="AK302" i="20"/>
  <c r="AK303" i="20"/>
  <c r="AK304" i="20"/>
  <c r="AL299" i="20"/>
  <c r="AL300" i="20"/>
  <c r="AL301" i="20"/>
  <c r="AL302" i="20"/>
  <c r="AL303" i="20"/>
  <c r="AL304" i="20"/>
  <c r="AP299" i="20"/>
  <c r="AP300" i="20"/>
  <c r="AP301" i="20"/>
  <c r="AP302" i="20"/>
  <c r="AP303" i="20"/>
  <c r="AP304" i="20"/>
  <c r="AT299" i="20"/>
  <c r="AT300" i="20"/>
  <c r="AT301" i="20"/>
  <c r="AT302" i="20"/>
  <c r="AT303" i="20"/>
  <c r="AT304" i="20"/>
  <c r="C296" i="20" l="1"/>
  <c r="C297" i="20"/>
  <c r="C298" i="20"/>
  <c r="AC296" i="20"/>
  <c r="AC297" i="20"/>
  <c r="AC298" i="20"/>
  <c r="AD296" i="20"/>
  <c r="AD297" i="20"/>
  <c r="AD298" i="20"/>
  <c r="AE296" i="20"/>
  <c r="AE297" i="20"/>
  <c r="AE298" i="20"/>
  <c r="AF296" i="20"/>
  <c r="AF297" i="20"/>
  <c r="AF298" i="20"/>
  <c r="AG296" i="20"/>
  <c r="AG297" i="20"/>
  <c r="AG298" i="20"/>
  <c r="AH296" i="20"/>
  <c r="AH297" i="20"/>
  <c r="AH298" i="20"/>
  <c r="AI296" i="20"/>
  <c r="AI297" i="20"/>
  <c r="AI298" i="20"/>
  <c r="AJ296" i="20"/>
  <c r="AJ297" i="20"/>
  <c r="AJ298" i="20"/>
  <c r="AK296" i="20"/>
  <c r="AK297" i="20"/>
  <c r="AK298" i="20"/>
  <c r="AL296" i="20"/>
  <c r="AL297" i="20"/>
  <c r="AL298" i="20"/>
  <c r="AP296" i="20"/>
  <c r="AP297" i="20"/>
  <c r="AP298" i="20"/>
  <c r="AT296" i="20"/>
  <c r="AT297" i="20"/>
  <c r="AT298" i="20"/>
  <c r="C290" i="20"/>
  <c r="C291" i="20"/>
  <c r="C292" i="20"/>
  <c r="C293" i="20"/>
  <c r="C294" i="20"/>
  <c r="C295" i="20"/>
  <c r="AC290" i="20"/>
  <c r="AC291" i="20"/>
  <c r="AC292" i="20"/>
  <c r="AC293" i="20"/>
  <c r="AC294" i="20"/>
  <c r="AC295" i="20"/>
  <c r="AD290" i="20"/>
  <c r="AD291" i="20"/>
  <c r="AD292" i="20"/>
  <c r="AD293" i="20"/>
  <c r="AD294" i="20"/>
  <c r="AD295" i="20"/>
  <c r="AE290" i="20"/>
  <c r="AE291" i="20"/>
  <c r="AE292" i="20"/>
  <c r="AE293" i="20"/>
  <c r="AE294" i="20"/>
  <c r="AE295" i="20"/>
  <c r="AF290" i="20"/>
  <c r="AF291" i="20"/>
  <c r="AF292" i="20"/>
  <c r="AF293" i="20"/>
  <c r="AF294" i="20"/>
  <c r="AF295" i="20"/>
  <c r="AG290" i="20"/>
  <c r="AG291" i="20"/>
  <c r="AG292" i="20"/>
  <c r="AG293" i="20"/>
  <c r="AG294" i="20"/>
  <c r="AG295" i="20"/>
  <c r="AH290" i="20"/>
  <c r="AH291" i="20"/>
  <c r="AH292" i="20"/>
  <c r="AH293" i="20"/>
  <c r="AH294" i="20"/>
  <c r="AH295" i="20"/>
  <c r="AI290" i="20"/>
  <c r="AI291" i="20"/>
  <c r="AI292" i="20"/>
  <c r="AI293" i="20"/>
  <c r="AI294" i="20"/>
  <c r="AI295" i="20"/>
  <c r="AJ290" i="20"/>
  <c r="AJ291" i="20"/>
  <c r="AJ292" i="20"/>
  <c r="AJ293" i="20"/>
  <c r="AJ294" i="20"/>
  <c r="AJ295" i="20"/>
  <c r="AK290" i="20"/>
  <c r="AK291" i="20"/>
  <c r="AK292" i="20"/>
  <c r="AK293" i="20"/>
  <c r="AK294" i="20"/>
  <c r="AK295" i="20"/>
  <c r="AL290" i="20"/>
  <c r="AL291" i="20"/>
  <c r="AL292" i="20"/>
  <c r="AL293" i="20"/>
  <c r="AL294" i="20"/>
  <c r="AL295" i="20"/>
  <c r="AP290" i="20"/>
  <c r="AP291" i="20"/>
  <c r="AP292" i="20"/>
  <c r="AP293" i="20"/>
  <c r="AP294" i="20"/>
  <c r="AP295" i="20"/>
  <c r="AT290" i="20"/>
  <c r="AT291" i="20"/>
  <c r="AT292" i="20"/>
  <c r="AT293" i="20"/>
  <c r="AT294" i="20"/>
  <c r="AT295" i="20"/>
  <c r="C289" i="20"/>
  <c r="AC289" i="20"/>
  <c r="AD289" i="20"/>
  <c r="AE289" i="20"/>
  <c r="AF289" i="20"/>
  <c r="AG289" i="20"/>
  <c r="AH289" i="20"/>
  <c r="AI289" i="20"/>
  <c r="AJ289" i="20"/>
  <c r="AK289" i="20"/>
  <c r="AL289" i="20"/>
  <c r="AP289" i="20"/>
  <c r="AT289" i="20"/>
  <c r="U72" i="19" l="1"/>
  <c r="V72" i="19"/>
  <c r="T41" i="19"/>
  <c r="S41" i="19"/>
  <c r="T181" i="19"/>
  <c r="S181" i="19"/>
  <c r="H18" i="95" l="1"/>
  <c r="I18" i="95"/>
  <c r="J18" i="95"/>
  <c r="K18" i="95"/>
  <c r="L18" i="95"/>
  <c r="M18" i="95"/>
  <c r="N18" i="95"/>
  <c r="O18" i="95"/>
  <c r="P18" i="95"/>
  <c r="Q18" i="95"/>
  <c r="R18" i="95"/>
  <c r="S18" i="95"/>
  <c r="T18" i="95"/>
  <c r="U18" i="95"/>
  <c r="V18" i="95"/>
  <c r="W18" i="95"/>
  <c r="X18" i="95"/>
  <c r="Y18" i="95"/>
  <c r="Z18" i="95"/>
  <c r="AA18" i="95"/>
  <c r="AB18" i="95"/>
  <c r="AC18" i="95"/>
  <c r="AD18" i="95"/>
  <c r="AE18" i="95"/>
  <c r="AF18" i="95"/>
  <c r="AG18" i="95"/>
  <c r="AH18" i="95"/>
  <c r="AI18" i="95"/>
  <c r="AJ18" i="95"/>
  <c r="AK18" i="95"/>
  <c r="AL18" i="95"/>
  <c r="AM18" i="95"/>
  <c r="AN18" i="95"/>
  <c r="AO18" i="95"/>
  <c r="AP18" i="95"/>
  <c r="AQ18" i="95"/>
  <c r="AR18" i="95"/>
  <c r="AS18" i="95"/>
  <c r="AT18" i="95"/>
  <c r="AU18" i="95"/>
  <c r="AV18" i="95"/>
  <c r="AW18" i="95"/>
  <c r="AX18" i="95"/>
  <c r="AY18" i="95"/>
  <c r="AZ18" i="95"/>
  <c r="BA18" i="95"/>
  <c r="BB18" i="95"/>
  <c r="BC18" i="95"/>
  <c r="BD18" i="95"/>
  <c r="BE18" i="95"/>
  <c r="BF18" i="95"/>
  <c r="BG18" i="95"/>
  <c r="BH18" i="95"/>
  <c r="BI18" i="95"/>
  <c r="BJ18" i="95"/>
  <c r="BK18" i="95"/>
  <c r="BL18" i="95"/>
  <c r="BM18" i="95"/>
  <c r="BN18" i="95"/>
  <c r="G18" i="95"/>
  <c r="C288" i="20" l="1"/>
  <c r="AC288" i="20"/>
  <c r="AD288" i="20"/>
  <c r="AE288" i="20"/>
  <c r="AF288" i="20"/>
  <c r="AG288" i="20"/>
  <c r="AH288" i="20"/>
  <c r="AI288" i="20"/>
  <c r="AJ288" i="20"/>
  <c r="AK288" i="20"/>
  <c r="AL288" i="20"/>
  <c r="AP288" i="20"/>
  <c r="AT288" i="20"/>
  <c r="C287" i="20" l="1"/>
  <c r="AC287" i="20"/>
  <c r="AD287" i="20"/>
  <c r="AE287" i="20"/>
  <c r="AF287" i="20"/>
  <c r="AG287" i="20"/>
  <c r="AH287" i="20"/>
  <c r="AI287" i="20"/>
  <c r="AJ287" i="20"/>
  <c r="AK287" i="20"/>
  <c r="AL287" i="20"/>
  <c r="AP287" i="20"/>
  <c r="AT287" i="20"/>
  <c r="C286" i="20"/>
  <c r="AC286" i="20"/>
  <c r="AD286" i="20"/>
  <c r="AE286" i="20"/>
  <c r="AF286" i="20"/>
  <c r="AG286" i="20"/>
  <c r="AH286" i="20"/>
  <c r="AI286" i="20"/>
  <c r="AJ286" i="20"/>
  <c r="AK286" i="20"/>
  <c r="AL286" i="20"/>
  <c r="AP286" i="20"/>
  <c r="AT286" i="20"/>
  <c r="C285" i="20"/>
  <c r="AC285" i="20"/>
  <c r="AD285" i="20"/>
  <c r="AE285" i="20"/>
  <c r="AF285" i="20"/>
  <c r="AG285" i="20"/>
  <c r="AH285" i="20"/>
  <c r="AI285" i="20"/>
  <c r="AJ285" i="20"/>
  <c r="AK285" i="20"/>
  <c r="AL285" i="20"/>
  <c r="AP285" i="20"/>
  <c r="AT285" i="20"/>
  <c r="C284" i="20"/>
  <c r="AC284" i="20"/>
  <c r="AD284" i="20"/>
  <c r="AE284" i="20"/>
  <c r="AF284" i="20"/>
  <c r="AG284" i="20"/>
  <c r="AH284" i="20"/>
  <c r="AI284" i="20"/>
  <c r="AJ284" i="20"/>
  <c r="AK284" i="20"/>
  <c r="AL284" i="20"/>
  <c r="AP284" i="20"/>
  <c r="AT284" i="20"/>
  <c r="C283" i="20"/>
  <c r="AC283" i="20"/>
  <c r="AD283" i="20"/>
  <c r="AE283" i="20"/>
  <c r="AF283" i="20"/>
  <c r="AG283" i="20"/>
  <c r="AH283" i="20"/>
  <c r="AI283" i="20"/>
  <c r="AJ283" i="20"/>
  <c r="AK283" i="20"/>
  <c r="AL283" i="20"/>
  <c r="AP283" i="20"/>
  <c r="AT283" i="20"/>
  <c r="C282" i="20"/>
  <c r="AC282" i="20"/>
  <c r="AD282" i="20"/>
  <c r="AE282" i="20"/>
  <c r="AF282" i="20"/>
  <c r="AG282" i="20"/>
  <c r="AH282" i="20"/>
  <c r="AI282" i="20"/>
  <c r="AJ282" i="20"/>
  <c r="AK282" i="20"/>
  <c r="AL282" i="20"/>
  <c r="AP282" i="20"/>
  <c r="AT282" i="20"/>
  <c r="C281" i="20"/>
  <c r="AC281" i="20"/>
  <c r="AD281" i="20"/>
  <c r="AE281" i="20"/>
  <c r="AF281" i="20"/>
  <c r="AG281" i="20"/>
  <c r="AH281" i="20"/>
  <c r="AI281" i="20"/>
  <c r="AJ281" i="20"/>
  <c r="AK281" i="20"/>
  <c r="AL281" i="20"/>
  <c r="AP281" i="20"/>
  <c r="AT281" i="20"/>
  <c r="C280" i="20"/>
  <c r="AC280" i="20"/>
  <c r="AD280" i="20"/>
  <c r="AE280" i="20"/>
  <c r="AF280" i="20"/>
  <c r="AG280" i="20"/>
  <c r="AH280" i="20"/>
  <c r="AI280" i="20"/>
  <c r="AJ280" i="20"/>
  <c r="AK280" i="20"/>
  <c r="AL280" i="20"/>
  <c r="AP280" i="20"/>
  <c r="AT280" i="20"/>
  <c r="C279" i="20" l="1"/>
  <c r="AC279" i="20"/>
  <c r="AD279" i="20"/>
  <c r="AE279" i="20"/>
  <c r="AF279" i="20"/>
  <c r="AG279" i="20"/>
  <c r="AH279" i="20"/>
  <c r="AI279" i="20"/>
  <c r="AJ279" i="20"/>
  <c r="AK279" i="20"/>
  <c r="AL279" i="20"/>
  <c r="AP279" i="20"/>
  <c r="AT279" i="20"/>
  <c r="C278" i="20"/>
  <c r="AC278" i="20"/>
  <c r="AD278" i="20"/>
  <c r="AE278" i="20"/>
  <c r="AF278" i="20"/>
  <c r="AG278" i="20"/>
  <c r="AH278" i="20"/>
  <c r="AI278" i="20"/>
  <c r="AJ278" i="20"/>
  <c r="AK278" i="20"/>
  <c r="AL278" i="20"/>
  <c r="AP278" i="20"/>
  <c r="AT278" i="20"/>
  <c r="C277" i="20"/>
  <c r="AC277" i="20"/>
  <c r="AD277" i="20"/>
  <c r="AE277" i="20"/>
  <c r="AF277" i="20"/>
  <c r="AG277" i="20"/>
  <c r="AH277" i="20"/>
  <c r="AI277" i="20"/>
  <c r="AJ277" i="20"/>
  <c r="AK277" i="20"/>
  <c r="AL277" i="20"/>
  <c r="AP277" i="20"/>
  <c r="AT277" i="20"/>
  <c r="C276" i="20"/>
  <c r="AC276" i="20"/>
  <c r="AD276" i="20"/>
  <c r="AE276" i="20"/>
  <c r="AF276" i="20"/>
  <c r="AG276" i="20"/>
  <c r="AH276" i="20"/>
  <c r="AI276" i="20"/>
  <c r="AJ276" i="20"/>
  <c r="AK276" i="20"/>
  <c r="AL276" i="20"/>
  <c r="AP276" i="20"/>
  <c r="AT276" i="20"/>
  <c r="C275" i="20" l="1"/>
  <c r="AC275" i="20"/>
  <c r="AD275" i="20"/>
  <c r="AE275" i="20"/>
  <c r="AF275" i="20"/>
  <c r="AG275" i="20"/>
  <c r="AH275" i="20"/>
  <c r="AI275" i="20"/>
  <c r="AJ275" i="20"/>
  <c r="AK275" i="20"/>
  <c r="AL275" i="20"/>
  <c r="AP275" i="20"/>
  <c r="AT275" i="20"/>
  <c r="C274" i="20" l="1"/>
  <c r="AC274" i="20"/>
  <c r="AD274" i="20"/>
  <c r="AE274" i="20"/>
  <c r="AF274" i="20"/>
  <c r="AG274" i="20"/>
  <c r="AH274" i="20"/>
  <c r="AI274" i="20"/>
  <c r="AJ274" i="20"/>
  <c r="AK274" i="20"/>
  <c r="AL274" i="20"/>
  <c r="AP274" i="20"/>
  <c r="AT274" i="20"/>
  <c r="C273" i="20"/>
  <c r="AC273" i="20"/>
  <c r="AD273" i="20"/>
  <c r="AE273" i="20"/>
  <c r="AF273" i="20"/>
  <c r="AG273" i="20"/>
  <c r="AH273" i="20"/>
  <c r="AI273" i="20"/>
  <c r="AJ273" i="20"/>
  <c r="AK273" i="20"/>
  <c r="AL273" i="20"/>
  <c r="AP273" i="20"/>
  <c r="AT273" i="20"/>
  <c r="C272" i="20"/>
  <c r="AC272" i="20"/>
  <c r="AD272" i="20"/>
  <c r="AE272" i="20"/>
  <c r="AF272" i="20"/>
  <c r="AG272" i="20"/>
  <c r="AH272" i="20"/>
  <c r="AI272" i="20"/>
  <c r="AJ272" i="20"/>
  <c r="AK272" i="20"/>
  <c r="AL272" i="20"/>
  <c r="AP272" i="20"/>
  <c r="AT272" i="20"/>
  <c r="C271" i="20"/>
  <c r="AC271" i="20"/>
  <c r="AD271" i="20"/>
  <c r="AE271" i="20"/>
  <c r="AF271" i="20"/>
  <c r="AG271" i="20"/>
  <c r="AH271" i="20"/>
  <c r="AI271" i="20"/>
  <c r="AJ271" i="20"/>
  <c r="AK271" i="20"/>
  <c r="AL271" i="20"/>
  <c r="AP271" i="20"/>
  <c r="AT271" i="20"/>
  <c r="C270" i="20"/>
  <c r="AC270" i="20"/>
  <c r="AD270" i="20"/>
  <c r="AE270" i="20"/>
  <c r="AF270" i="20"/>
  <c r="AG270" i="20"/>
  <c r="AH270" i="20"/>
  <c r="AI270" i="20"/>
  <c r="AJ270" i="20"/>
  <c r="AK270" i="20"/>
  <c r="AL270" i="20"/>
  <c r="AP270" i="20"/>
  <c r="AT270" i="20"/>
  <c r="C269" i="20"/>
  <c r="AC269" i="20" l="1"/>
  <c r="AD269" i="20"/>
  <c r="AE269" i="20"/>
  <c r="AF269" i="20"/>
  <c r="AG269" i="20"/>
  <c r="AH269" i="20"/>
  <c r="AI269" i="20"/>
  <c r="AJ269" i="20"/>
  <c r="AK269" i="20"/>
  <c r="AL269" i="20"/>
  <c r="AP269" i="20"/>
  <c r="AT269" i="20"/>
  <c r="C252" i="20" l="1"/>
  <c r="C236" i="20"/>
  <c r="AC236" i="20"/>
  <c r="AD236" i="20"/>
  <c r="AE236" i="20"/>
  <c r="AF236" i="20"/>
  <c r="AG236" i="20"/>
  <c r="AH236" i="20"/>
  <c r="AI236" i="20"/>
  <c r="AJ236" i="20"/>
  <c r="AK236" i="20"/>
  <c r="AL236" i="20"/>
  <c r="AP236" i="20"/>
  <c r="AT236" i="20"/>
  <c r="C237" i="20"/>
  <c r="AC237" i="20"/>
  <c r="AD237" i="20"/>
  <c r="AE237" i="20"/>
  <c r="AF237" i="20"/>
  <c r="AG237" i="20"/>
  <c r="AH237" i="20"/>
  <c r="AI237" i="20"/>
  <c r="AJ237" i="20"/>
  <c r="AK237" i="20"/>
  <c r="AL237" i="20"/>
  <c r="AP237" i="20"/>
  <c r="AT237" i="20"/>
  <c r="C238" i="20"/>
  <c r="AC238" i="20"/>
  <c r="AD238" i="20"/>
  <c r="AE238" i="20"/>
  <c r="AF238" i="20"/>
  <c r="AG238" i="20"/>
  <c r="AH238" i="20"/>
  <c r="AI238" i="20"/>
  <c r="AJ238" i="20"/>
  <c r="AK238" i="20"/>
  <c r="AL238" i="20"/>
  <c r="AP238" i="20"/>
  <c r="AT238" i="20"/>
  <c r="C239" i="20"/>
  <c r="AC239" i="20"/>
  <c r="AD239" i="20"/>
  <c r="AE239" i="20"/>
  <c r="AF239" i="20"/>
  <c r="AG239" i="20"/>
  <c r="AH239" i="20"/>
  <c r="AI239" i="20"/>
  <c r="AJ239" i="20"/>
  <c r="AK239" i="20"/>
  <c r="AL239" i="20"/>
  <c r="AP239" i="20"/>
  <c r="AT239" i="20"/>
  <c r="C240" i="20"/>
  <c r="AC240" i="20"/>
  <c r="AD240" i="20"/>
  <c r="AE240" i="20"/>
  <c r="AF240" i="20"/>
  <c r="AG240" i="20"/>
  <c r="AH240" i="20"/>
  <c r="AI240" i="20"/>
  <c r="AJ240" i="20"/>
  <c r="AK240" i="20"/>
  <c r="AL240" i="20"/>
  <c r="AP240" i="20"/>
  <c r="AT240" i="20"/>
  <c r="C241" i="20"/>
  <c r="AC241" i="20"/>
  <c r="AD241" i="20"/>
  <c r="AE241" i="20"/>
  <c r="AF241" i="20"/>
  <c r="AG241" i="20"/>
  <c r="AH241" i="20"/>
  <c r="AI241" i="20"/>
  <c r="AJ241" i="20"/>
  <c r="AK241" i="20"/>
  <c r="AL241" i="20"/>
  <c r="AP241" i="20"/>
  <c r="AT241" i="20"/>
  <c r="C242" i="20"/>
  <c r="AC242" i="20"/>
  <c r="AD242" i="20"/>
  <c r="AE242" i="20"/>
  <c r="AF242" i="20"/>
  <c r="AG242" i="20"/>
  <c r="AH242" i="20"/>
  <c r="AI242" i="20"/>
  <c r="AJ242" i="20"/>
  <c r="AK242" i="20"/>
  <c r="AL242" i="20"/>
  <c r="AP242" i="20"/>
  <c r="AT242" i="20"/>
  <c r="C243" i="20"/>
  <c r="O243" i="20"/>
  <c r="P243" i="20"/>
  <c r="AC243" i="20"/>
  <c r="AD243" i="20"/>
  <c r="AE243" i="20"/>
  <c r="AF243" i="20"/>
  <c r="AG243" i="20"/>
  <c r="AH243" i="20"/>
  <c r="AI243" i="20"/>
  <c r="AJ243" i="20"/>
  <c r="AK243" i="20"/>
  <c r="AL243" i="20"/>
  <c r="AP243" i="20"/>
  <c r="AT243" i="20"/>
  <c r="C244" i="20"/>
  <c r="O244" i="20"/>
  <c r="P244" i="20"/>
  <c r="AC244" i="20"/>
  <c r="AD244" i="20"/>
  <c r="AE244" i="20"/>
  <c r="AF244" i="20"/>
  <c r="AG244" i="20"/>
  <c r="AH244" i="20"/>
  <c r="AI244" i="20"/>
  <c r="AJ244" i="20"/>
  <c r="AK244" i="20"/>
  <c r="AL244" i="20"/>
  <c r="AP244" i="20"/>
  <c r="AT244" i="20"/>
  <c r="C245" i="20"/>
  <c r="O245" i="20"/>
  <c r="P245" i="20"/>
  <c r="AC245" i="20"/>
  <c r="AD245" i="20"/>
  <c r="AE245" i="20"/>
  <c r="AF245" i="20"/>
  <c r="AG245" i="20"/>
  <c r="AH245" i="20"/>
  <c r="AI245" i="20"/>
  <c r="AJ245" i="20"/>
  <c r="AK245" i="20"/>
  <c r="AL245" i="20"/>
  <c r="AP245" i="20"/>
  <c r="AT245" i="20"/>
  <c r="C246" i="20"/>
  <c r="O246" i="20"/>
  <c r="P246" i="20"/>
  <c r="AC246" i="20"/>
  <c r="AD246" i="20"/>
  <c r="AE246" i="20"/>
  <c r="AF246" i="20"/>
  <c r="AG246" i="20"/>
  <c r="AH246" i="20"/>
  <c r="AI246" i="20"/>
  <c r="AJ246" i="20"/>
  <c r="AK246" i="20"/>
  <c r="AL246" i="20"/>
  <c r="AP246" i="20"/>
  <c r="AT246" i="20"/>
  <c r="C247" i="20"/>
  <c r="AC247" i="20"/>
  <c r="AD247" i="20"/>
  <c r="AE247" i="20"/>
  <c r="AF247" i="20"/>
  <c r="AG247" i="20"/>
  <c r="AH247" i="20"/>
  <c r="AI247" i="20"/>
  <c r="AJ247" i="20"/>
  <c r="AK247" i="20"/>
  <c r="AL247" i="20"/>
  <c r="AP247" i="20"/>
  <c r="AT247" i="20"/>
  <c r="C248" i="20"/>
  <c r="AC248" i="20"/>
  <c r="AD248" i="20"/>
  <c r="AE248" i="20"/>
  <c r="AF248" i="20"/>
  <c r="AG248" i="20"/>
  <c r="AH248" i="20"/>
  <c r="AI248" i="20"/>
  <c r="AJ248" i="20"/>
  <c r="AK248" i="20"/>
  <c r="AL248" i="20"/>
  <c r="AP248" i="20"/>
  <c r="AT248" i="20"/>
  <c r="C249" i="20"/>
  <c r="AC249" i="20"/>
  <c r="AD249" i="20"/>
  <c r="AE249" i="20"/>
  <c r="AF249" i="20"/>
  <c r="AG249" i="20"/>
  <c r="AH249" i="20"/>
  <c r="AI249" i="20"/>
  <c r="AJ249" i="20"/>
  <c r="AK249" i="20"/>
  <c r="AL249" i="20"/>
  <c r="AP249" i="20"/>
  <c r="AT249" i="20"/>
  <c r="C250" i="20"/>
  <c r="AC250" i="20"/>
  <c r="AD250" i="20"/>
  <c r="AE250" i="20"/>
  <c r="AF250" i="20"/>
  <c r="AG250" i="20"/>
  <c r="AH250" i="20"/>
  <c r="AI250" i="20"/>
  <c r="AJ250" i="20"/>
  <c r="AK250" i="20"/>
  <c r="AL250" i="20"/>
  <c r="AP250" i="20"/>
  <c r="AT250" i="20"/>
  <c r="C251" i="20"/>
  <c r="AC251" i="20"/>
  <c r="AD251" i="20"/>
  <c r="AE251" i="20"/>
  <c r="AF251" i="20"/>
  <c r="AG251" i="20"/>
  <c r="AH251" i="20"/>
  <c r="AI251" i="20"/>
  <c r="AJ251" i="20"/>
  <c r="AK251" i="20"/>
  <c r="AL251" i="20"/>
  <c r="AP251" i="20"/>
  <c r="AT251" i="20"/>
  <c r="AC252" i="20"/>
  <c r="AD252" i="20"/>
  <c r="AE252" i="20"/>
  <c r="AF252" i="20"/>
  <c r="AG252" i="20"/>
  <c r="AH252" i="20"/>
  <c r="AI252" i="20"/>
  <c r="AJ252" i="20"/>
  <c r="AK252" i="20"/>
  <c r="AL252" i="20"/>
  <c r="AP252" i="20"/>
  <c r="AT252" i="20"/>
  <c r="C253" i="20"/>
  <c r="AC253" i="20"/>
  <c r="AD253" i="20"/>
  <c r="AE253" i="20"/>
  <c r="AF253" i="20"/>
  <c r="AG253" i="20"/>
  <c r="AH253" i="20"/>
  <c r="AI253" i="20"/>
  <c r="AJ253" i="20"/>
  <c r="AK253" i="20"/>
  <c r="AL253" i="20"/>
  <c r="AP253" i="20"/>
  <c r="AT253" i="20"/>
  <c r="C254" i="20"/>
  <c r="AC254" i="20"/>
  <c r="AD254" i="20"/>
  <c r="AE254" i="20"/>
  <c r="AF254" i="20"/>
  <c r="AG254" i="20"/>
  <c r="AH254" i="20"/>
  <c r="AI254" i="20"/>
  <c r="AJ254" i="20"/>
  <c r="AK254" i="20"/>
  <c r="AL254" i="20"/>
  <c r="AP254" i="20"/>
  <c r="AT254" i="20"/>
  <c r="C255" i="20"/>
  <c r="AC255" i="20"/>
  <c r="AD255" i="20"/>
  <c r="AE255" i="20"/>
  <c r="AF255" i="20"/>
  <c r="AG255" i="20"/>
  <c r="AH255" i="20"/>
  <c r="AI255" i="20"/>
  <c r="AJ255" i="20"/>
  <c r="AK255" i="20"/>
  <c r="AL255" i="20"/>
  <c r="AP255" i="20"/>
  <c r="AT255" i="20"/>
  <c r="C256" i="20"/>
  <c r="AC256" i="20"/>
  <c r="AD256" i="20"/>
  <c r="AE256" i="20"/>
  <c r="AF256" i="20"/>
  <c r="AG256" i="20"/>
  <c r="AH256" i="20"/>
  <c r="AI256" i="20"/>
  <c r="AJ256" i="20"/>
  <c r="AK256" i="20"/>
  <c r="AL256" i="20"/>
  <c r="AP256" i="20"/>
  <c r="AT256" i="20"/>
  <c r="C257" i="20"/>
  <c r="AC257" i="20"/>
  <c r="AD257" i="20"/>
  <c r="AE257" i="20"/>
  <c r="AF257" i="20"/>
  <c r="AG257" i="20"/>
  <c r="AH257" i="20"/>
  <c r="AI257" i="20"/>
  <c r="AJ257" i="20"/>
  <c r="AK257" i="20"/>
  <c r="AL257" i="20"/>
  <c r="AP257" i="20"/>
  <c r="AT257" i="20"/>
  <c r="C258" i="20"/>
  <c r="AC258" i="20"/>
  <c r="AD258" i="20"/>
  <c r="AE258" i="20"/>
  <c r="AF258" i="20"/>
  <c r="AG258" i="20"/>
  <c r="AH258" i="20"/>
  <c r="AI258" i="20"/>
  <c r="AJ258" i="20"/>
  <c r="AK258" i="20"/>
  <c r="AL258" i="20"/>
  <c r="AP258" i="20"/>
  <c r="AT258" i="20"/>
  <c r="C233" i="20"/>
  <c r="AC233" i="20"/>
  <c r="AD233" i="20"/>
  <c r="AE233" i="20"/>
  <c r="AF233" i="20"/>
  <c r="AG233" i="20"/>
  <c r="AH233" i="20"/>
  <c r="AI233" i="20"/>
  <c r="AJ233" i="20"/>
  <c r="AK233" i="20"/>
  <c r="AL233" i="20"/>
  <c r="AP233" i="20"/>
  <c r="AT233" i="20"/>
  <c r="C234" i="20"/>
  <c r="AC234" i="20"/>
  <c r="AD234" i="20"/>
  <c r="AE234" i="20"/>
  <c r="AF234" i="20"/>
  <c r="AG234" i="20"/>
  <c r="AH234" i="20"/>
  <c r="AI234" i="20"/>
  <c r="AJ234" i="20"/>
  <c r="AK234" i="20"/>
  <c r="AL234" i="20"/>
  <c r="AP234" i="20"/>
  <c r="AT234" i="20"/>
  <c r="C235" i="20"/>
  <c r="AC235" i="20"/>
  <c r="AD235" i="20"/>
  <c r="AE235" i="20"/>
  <c r="AF235" i="20"/>
  <c r="AG235" i="20"/>
  <c r="AH235" i="20"/>
  <c r="AI235" i="20"/>
  <c r="AJ235" i="20"/>
  <c r="AK235" i="20"/>
  <c r="AL235" i="20"/>
  <c r="AP235" i="20"/>
  <c r="AT235" i="20"/>
  <c r="C259" i="20"/>
  <c r="AC259" i="20"/>
  <c r="AD259" i="20"/>
  <c r="AE259" i="20"/>
  <c r="AF259" i="20"/>
  <c r="AG259" i="20"/>
  <c r="AH259" i="20"/>
  <c r="AI259" i="20"/>
  <c r="AJ259" i="20"/>
  <c r="AK259" i="20"/>
  <c r="AL259" i="20"/>
  <c r="AP259" i="20"/>
  <c r="AT259" i="20"/>
  <c r="C260" i="20"/>
  <c r="AC260" i="20"/>
  <c r="AD260" i="20"/>
  <c r="AE260" i="20"/>
  <c r="AF260" i="20"/>
  <c r="AG260" i="20"/>
  <c r="AH260" i="20"/>
  <c r="AI260" i="20"/>
  <c r="AJ260" i="20"/>
  <c r="AK260" i="20"/>
  <c r="AL260" i="20"/>
  <c r="AP260" i="20"/>
  <c r="AT260" i="20"/>
  <c r="C261" i="20"/>
  <c r="AC261" i="20"/>
  <c r="AD261" i="20"/>
  <c r="AE261" i="20"/>
  <c r="AF261" i="20"/>
  <c r="AG261" i="20"/>
  <c r="AH261" i="20"/>
  <c r="AI261" i="20"/>
  <c r="AJ261" i="20"/>
  <c r="AK261" i="20"/>
  <c r="AL261" i="20"/>
  <c r="AP261" i="20"/>
  <c r="AT261" i="20"/>
  <c r="C262" i="20"/>
  <c r="AC262" i="20"/>
  <c r="AD262" i="20"/>
  <c r="AE262" i="20"/>
  <c r="AF262" i="20"/>
  <c r="AG262" i="20"/>
  <c r="AH262" i="20"/>
  <c r="AI262" i="20"/>
  <c r="AJ262" i="20"/>
  <c r="AK262" i="20"/>
  <c r="AL262" i="20"/>
  <c r="AP262" i="20"/>
  <c r="AT262" i="20"/>
  <c r="C263" i="20"/>
  <c r="AC263" i="20"/>
  <c r="AD263" i="20"/>
  <c r="AE263" i="20"/>
  <c r="AF263" i="20"/>
  <c r="AG263" i="20"/>
  <c r="AH263" i="20"/>
  <c r="AI263" i="20"/>
  <c r="AJ263" i="20"/>
  <c r="AK263" i="20"/>
  <c r="AL263" i="20"/>
  <c r="AP263" i="20"/>
  <c r="AT263" i="20"/>
  <c r="C264" i="20"/>
  <c r="AC264" i="20"/>
  <c r="AD264" i="20"/>
  <c r="AE264" i="20"/>
  <c r="AF264" i="20"/>
  <c r="AG264" i="20"/>
  <c r="AH264" i="20"/>
  <c r="AI264" i="20"/>
  <c r="AJ264" i="20"/>
  <c r="AK264" i="20"/>
  <c r="AL264" i="20"/>
  <c r="AP264" i="20"/>
  <c r="AT264" i="20"/>
  <c r="C265" i="20"/>
  <c r="AC265" i="20"/>
  <c r="AD265" i="20"/>
  <c r="AE265" i="20"/>
  <c r="AF265" i="20"/>
  <c r="AG265" i="20"/>
  <c r="AH265" i="20"/>
  <c r="AI265" i="20"/>
  <c r="AJ265" i="20"/>
  <c r="AK265" i="20"/>
  <c r="AL265" i="20"/>
  <c r="AP265" i="20"/>
  <c r="AT265" i="20"/>
  <c r="C232" i="20"/>
  <c r="AC232" i="20"/>
  <c r="AD232" i="20"/>
  <c r="AE232" i="20"/>
  <c r="AF232" i="20"/>
  <c r="AG232" i="20"/>
  <c r="AH232" i="20"/>
  <c r="AI232" i="20"/>
  <c r="AJ232" i="20"/>
  <c r="AK232" i="20"/>
  <c r="AL232" i="20"/>
  <c r="AP232" i="20"/>
  <c r="AT232" i="20"/>
  <c r="C266" i="20"/>
  <c r="AC266" i="20"/>
  <c r="AD266" i="20"/>
  <c r="AE266" i="20"/>
  <c r="AF266" i="20"/>
  <c r="AG266" i="20"/>
  <c r="AH266" i="20"/>
  <c r="AI266" i="20"/>
  <c r="AJ266" i="20"/>
  <c r="AK266" i="20"/>
  <c r="AL266" i="20"/>
  <c r="AP266" i="20"/>
  <c r="AT266" i="20"/>
  <c r="C267" i="20"/>
  <c r="AC267" i="20"/>
  <c r="AD267" i="20"/>
  <c r="AE267" i="20"/>
  <c r="AF267" i="20"/>
  <c r="AG267" i="20"/>
  <c r="AH267" i="20"/>
  <c r="AI267" i="20"/>
  <c r="AJ267" i="20"/>
  <c r="AK267" i="20"/>
  <c r="AL267" i="20"/>
  <c r="AP267" i="20"/>
  <c r="AT267" i="20"/>
  <c r="C268" i="20"/>
  <c r="AC268" i="20"/>
  <c r="AD268" i="20"/>
  <c r="AE268" i="20"/>
  <c r="AF268" i="20"/>
  <c r="AG268" i="20"/>
  <c r="AH268" i="20"/>
  <c r="AI268" i="20"/>
  <c r="AJ268" i="20"/>
  <c r="AK268" i="20"/>
  <c r="AL268" i="20"/>
  <c r="AP268" i="20"/>
  <c r="AT268" i="20"/>
  <c r="T219" i="14" l="1"/>
  <c r="T220" i="14"/>
  <c r="T302" i="14"/>
  <c r="T303" i="14"/>
  <c r="T221" i="14"/>
  <c r="AD219" i="14"/>
  <c r="AD220" i="14"/>
  <c r="AD302" i="14"/>
  <c r="AD303" i="14"/>
  <c r="AD221" i="14"/>
  <c r="AE219" i="14"/>
  <c r="AE220" i="14"/>
  <c r="AE302" i="14"/>
  <c r="AE303" i="14"/>
  <c r="AE221" i="14"/>
  <c r="AF219" i="14" l="1"/>
  <c r="AF220" i="14"/>
  <c r="AF221" i="14"/>
  <c r="AF303" i="14"/>
  <c r="AF302" i="14"/>
  <c r="T110" i="19"/>
  <c r="T111" i="19"/>
  <c r="T112" i="19"/>
  <c r="T113" i="19"/>
  <c r="T114" i="19"/>
  <c r="T115" i="19"/>
  <c r="T116" i="19"/>
  <c r="T117" i="19"/>
  <c r="T118" i="19"/>
  <c r="T119" i="19"/>
  <c r="T120" i="19"/>
  <c r="T121" i="19"/>
  <c r="T123" i="19"/>
  <c r="T124" i="19"/>
  <c r="T125" i="19"/>
  <c r="T126" i="19"/>
  <c r="T127" i="19"/>
  <c r="T128" i="19"/>
  <c r="T129" i="19"/>
  <c r="T130" i="19"/>
  <c r="T131" i="19"/>
  <c r="T132" i="19"/>
  <c r="T135" i="19"/>
  <c r="S110" i="19"/>
  <c r="S111" i="19"/>
  <c r="S112" i="19"/>
  <c r="S113" i="19"/>
  <c r="S114" i="19"/>
  <c r="S115" i="19"/>
  <c r="S116" i="19"/>
  <c r="S117" i="19"/>
  <c r="S118" i="19"/>
  <c r="S119" i="19"/>
  <c r="S120" i="19"/>
  <c r="S121" i="19"/>
  <c r="S126" i="19"/>
  <c r="S127" i="19"/>
  <c r="S128" i="19"/>
  <c r="W81" i="19"/>
  <c r="W82" i="19"/>
  <c r="W83" i="19"/>
  <c r="W84" i="19"/>
  <c r="W85" i="19"/>
  <c r="W86" i="19"/>
  <c r="W87" i="19"/>
  <c r="V81" i="19"/>
  <c r="V82" i="19"/>
  <c r="V83" i="19"/>
  <c r="V84" i="19"/>
  <c r="V85" i="19"/>
  <c r="V86" i="19"/>
  <c r="V87" i="19"/>
  <c r="U81" i="19"/>
  <c r="U82" i="19"/>
  <c r="U83" i="19"/>
  <c r="U84" i="19"/>
  <c r="U85" i="19"/>
  <c r="U86" i="19"/>
  <c r="U87" i="19"/>
  <c r="T81" i="19"/>
  <c r="T82" i="19"/>
  <c r="T84" i="19"/>
  <c r="T85" i="19"/>
  <c r="T86" i="19"/>
  <c r="T87" i="19"/>
  <c r="S81" i="19"/>
  <c r="S82" i="19"/>
  <c r="S83" i="19"/>
  <c r="S84" i="19"/>
  <c r="S85" i="19"/>
  <c r="S86" i="19"/>
  <c r="S87" i="19"/>
  <c r="AE218" i="14" l="1"/>
  <c r="AE301" i="14"/>
  <c r="AE300" i="14"/>
  <c r="AE217" i="14"/>
  <c r="AE299" i="14"/>
  <c r="AE216" i="14"/>
  <c r="AE214" i="14"/>
  <c r="AD214" i="14"/>
  <c r="AF217" i="14" l="1"/>
  <c r="AF214" i="14"/>
  <c r="AF216" i="14"/>
  <c r="AF301" i="14"/>
  <c r="AF300" i="14"/>
  <c r="AF299" i="14"/>
  <c r="AF218" i="14"/>
  <c r="AD216" i="14"/>
  <c r="AD301" i="14"/>
  <c r="AD300" i="14"/>
  <c r="AD217" i="14"/>
  <c r="AD299" i="14"/>
  <c r="AD227" i="14"/>
  <c r="AD209" i="14"/>
  <c r="AD225" i="14"/>
  <c r="AD208" i="14"/>
  <c r="AD206" i="14"/>
  <c r="AD222" i="14"/>
  <c r="T216" i="14" l="1"/>
  <c r="T299" i="14"/>
  <c r="T217" i="14"/>
  <c r="T300" i="14"/>
  <c r="T301" i="14"/>
  <c r="T218" i="14"/>
  <c r="AD218" i="14"/>
  <c r="W141" i="19" l="1"/>
  <c r="V141" i="19"/>
  <c r="U141" i="19"/>
  <c r="T141" i="19"/>
  <c r="S141" i="19"/>
  <c r="C225" i="20" l="1"/>
  <c r="C226" i="20"/>
  <c r="C227" i="20"/>
  <c r="C228" i="20"/>
  <c r="C229" i="20"/>
  <c r="C230" i="20"/>
  <c r="C231" i="20"/>
  <c r="AC225" i="20"/>
  <c r="AC226" i="20"/>
  <c r="AC227" i="20"/>
  <c r="AC228" i="20"/>
  <c r="AC229" i="20"/>
  <c r="AC230" i="20"/>
  <c r="AC231" i="20"/>
  <c r="AD225" i="20"/>
  <c r="AD226" i="20"/>
  <c r="AD227" i="20"/>
  <c r="AD228" i="20"/>
  <c r="AD229" i="20"/>
  <c r="AD230" i="20"/>
  <c r="AD231" i="20"/>
  <c r="AE225" i="20"/>
  <c r="AE226" i="20"/>
  <c r="AE227" i="20"/>
  <c r="AE228" i="20"/>
  <c r="AE229" i="20"/>
  <c r="AE230" i="20"/>
  <c r="AE231" i="20"/>
  <c r="AF225" i="20"/>
  <c r="AF226" i="20"/>
  <c r="AF227" i="20"/>
  <c r="AF228" i="20"/>
  <c r="AF229" i="20"/>
  <c r="AF230" i="20"/>
  <c r="AF231" i="20"/>
  <c r="AG225" i="20"/>
  <c r="AG226" i="20"/>
  <c r="AG227" i="20"/>
  <c r="AG228" i="20"/>
  <c r="AG229" i="20"/>
  <c r="AG230" i="20"/>
  <c r="AG231" i="20"/>
  <c r="AH225" i="20"/>
  <c r="AH226" i="20"/>
  <c r="AH227" i="20"/>
  <c r="AH228" i="20"/>
  <c r="AH229" i="20"/>
  <c r="AH230" i="20"/>
  <c r="AH231" i="20"/>
  <c r="AI225" i="20"/>
  <c r="AI226" i="20"/>
  <c r="AI227" i="20"/>
  <c r="AI228" i="20"/>
  <c r="AI229" i="20"/>
  <c r="AI230" i="20"/>
  <c r="AI231" i="20"/>
  <c r="AJ225" i="20"/>
  <c r="AJ226" i="20"/>
  <c r="AJ227" i="20"/>
  <c r="AJ228" i="20"/>
  <c r="AJ229" i="20"/>
  <c r="AJ230" i="20"/>
  <c r="AJ231" i="20"/>
  <c r="AK225" i="20"/>
  <c r="AK226" i="20"/>
  <c r="AK227" i="20"/>
  <c r="AK228" i="20"/>
  <c r="AK229" i="20"/>
  <c r="AK230" i="20"/>
  <c r="AK231" i="20"/>
  <c r="AL225" i="20"/>
  <c r="AL226" i="20"/>
  <c r="AL227" i="20"/>
  <c r="AL228" i="20"/>
  <c r="AL229" i="20"/>
  <c r="AL230" i="20"/>
  <c r="AL231" i="20"/>
  <c r="AP225" i="20"/>
  <c r="AP226" i="20"/>
  <c r="AP227" i="20"/>
  <c r="AP228" i="20"/>
  <c r="AP229" i="20"/>
  <c r="AP230" i="20"/>
  <c r="AP231" i="20"/>
  <c r="AT225" i="20"/>
  <c r="AT226" i="20"/>
  <c r="AT227" i="20"/>
  <c r="AT228" i="20"/>
  <c r="AT229" i="20"/>
  <c r="AT230" i="20"/>
  <c r="AT231" i="20"/>
  <c r="C224" i="20" l="1"/>
  <c r="AC224" i="20"/>
  <c r="AD224" i="20"/>
  <c r="AE224" i="20"/>
  <c r="AF224" i="20"/>
  <c r="AG224" i="20"/>
  <c r="AH224" i="20"/>
  <c r="AI224" i="20"/>
  <c r="AJ224" i="20"/>
  <c r="AK224" i="20"/>
  <c r="AL224" i="20"/>
  <c r="AP224" i="20"/>
  <c r="AT224" i="20"/>
  <c r="C223" i="20" l="1"/>
  <c r="AC223" i="20"/>
  <c r="AD223" i="20"/>
  <c r="AE223" i="20"/>
  <c r="AF223" i="20"/>
  <c r="AG223" i="20"/>
  <c r="AH223" i="20"/>
  <c r="AI223" i="20"/>
  <c r="AJ223" i="20"/>
  <c r="AK223" i="20"/>
  <c r="AL223" i="20"/>
  <c r="AP223" i="20"/>
  <c r="AT223" i="20"/>
  <c r="AC222" i="20" l="1"/>
  <c r="AD222" i="20"/>
  <c r="AE222" i="20"/>
  <c r="AF222" i="20"/>
  <c r="AG222" i="20"/>
  <c r="AH222" i="20"/>
  <c r="AI222" i="20"/>
  <c r="AJ222" i="20"/>
  <c r="AK222" i="20"/>
  <c r="AL222" i="20"/>
  <c r="AP222" i="20"/>
  <c r="AT222" i="20"/>
  <c r="C221" i="20"/>
  <c r="AC221" i="20"/>
  <c r="AD221" i="20"/>
  <c r="AE221" i="20"/>
  <c r="AF221" i="20"/>
  <c r="AG221" i="20"/>
  <c r="AH221" i="20"/>
  <c r="AI221" i="20"/>
  <c r="AJ221" i="20"/>
  <c r="AK221" i="20"/>
  <c r="AL221" i="20"/>
  <c r="AP221" i="20"/>
  <c r="AT221" i="20"/>
  <c r="C220" i="20"/>
  <c r="AC220" i="20"/>
  <c r="AD220" i="20"/>
  <c r="AE220" i="20"/>
  <c r="AF220" i="20"/>
  <c r="AG220" i="20"/>
  <c r="AH220" i="20"/>
  <c r="AI220" i="20"/>
  <c r="AJ220" i="20"/>
  <c r="AK220" i="20"/>
  <c r="AL220" i="20"/>
  <c r="AP220" i="20"/>
  <c r="AT220" i="20"/>
  <c r="C219" i="20"/>
  <c r="AC219" i="20"/>
  <c r="AD219" i="20"/>
  <c r="AE219" i="20"/>
  <c r="AF219" i="20"/>
  <c r="AG219" i="20"/>
  <c r="AH219" i="20"/>
  <c r="AI219" i="20"/>
  <c r="AJ219" i="20"/>
  <c r="AK219" i="20"/>
  <c r="AL219" i="20"/>
  <c r="AP219" i="20"/>
  <c r="AT219" i="20"/>
  <c r="C218" i="20"/>
  <c r="AC218" i="20"/>
  <c r="AD218" i="20"/>
  <c r="AE218" i="20"/>
  <c r="AF218" i="20"/>
  <c r="AG218" i="20"/>
  <c r="AH218" i="20"/>
  <c r="AI218" i="20"/>
  <c r="AJ218" i="20"/>
  <c r="AK218" i="20"/>
  <c r="AL218" i="20"/>
  <c r="AP218" i="20"/>
  <c r="AT218" i="20"/>
  <c r="C217" i="20"/>
  <c r="AC217" i="20"/>
  <c r="AD217" i="20"/>
  <c r="AE217" i="20"/>
  <c r="AF217" i="20"/>
  <c r="AG217" i="20"/>
  <c r="AH217" i="20"/>
  <c r="AI217" i="20"/>
  <c r="AJ217" i="20"/>
  <c r="AK217" i="20"/>
  <c r="AL217" i="20"/>
  <c r="AP217" i="20"/>
  <c r="AT217" i="20"/>
  <c r="C216" i="20"/>
  <c r="AC216" i="20"/>
  <c r="AD216" i="20"/>
  <c r="AE216" i="20"/>
  <c r="AF216" i="20"/>
  <c r="AG216" i="20"/>
  <c r="AH216" i="20"/>
  <c r="AI216" i="20"/>
  <c r="AJ216" i="20"/>
  <c r="AK216" i="20"/>
  <c r="AL216" i="20"/>
  <c r="AP216" i="20"/>
  <c r="AT216" i="20"/>
  <c r="C215" i="20"/>
  <c r="AC215" i="20"/>
  <c r="AD215" i="20"/>
  <c r="AE215" i="20"/>
  <c r="AF215" i="20"/>
  <c r="AG215" i="20"/>
  <c r="AH215" i="20"/>
  <c r="AI215" i="20"/>
  <c r="AJ215" i="20"/>
  <c r="AK215" i="20"/>
  <c r="AL215" i="20"/>
  <c r="AP215" i="20"/>
  <c r="AT215" i="20"/>
  <c r="AC214" i="20" l="1"/>
  <c r="AD214" i="20"/>
  <c r="AE214" i="20"/>
  <c r="AF214" i="20"/>
  <c r="AG214" i="20"/>
  <c r="AH214" i="20"/>
  <c r="AI214" i="20"/>
  <c r="AJ214" i="20"/>
  <c r="AK214" i="20"/>
  <c r="AL214" i="20"/>
  <c r="AP214" i="20"/>
  <c r="AT214" i="20"/>
  <c r="AC213" i="20"/>
  <c r="AD213" i="20"/>
  <c r="AE213" i="20"/>
  <c r="AF213" i="20"/>
  <c r="AG213" i="20"/>
  <c r="AH213" i="20"/>
  <c r="AI213" i="20"/>
  <c r="AJ213" i="20"/>
  <c r="AK213" i="20"/>
  <c r="AL213" i="20"/>
  <c r="AP213" i="20"/>
  <c r="AT213" i="20"/>
  <c r="U125" i="19" l="1"/>
  <c r="V125" i="19"/>
  <c r="W125" i="19"/>
  <c r="C6" i="20" l="1"/>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B3" i="33" l="1"/>
  <c r="B3" i="20"/>
  <c r="B3" i="62"/>
  <c r="S8" i="19" l="1"/>
  <c r="AC212" i="20" l="1"/>
  <c r="AD212" i="20"/>
  <c r="AE212" i="20"/>
  <c r="AF212" i="20"/>
  <c r="AG212" i="20"/>
  <c r="AH212" i="20"/>
  <c r="AI212" i="20"/>
  <c r="AJ212" i="20"/>
  <c r="AK212" i="20"/>
  <c r="AL212" i="20"/>
  <c r="AP212" i="20"/>
  <c r="AT212" i="20"/>
  <c r="AC211" i="20"/>
  <c r="AD211" i="20"/>
  <c r="AE211" i="20"/>
  <c r="AF211" i="20"/>
  <c r="AG211" i="20"/>
  <c r="AH211" i="20"/>
  <c r="AI211" i="20"/>
  <c r="AJ211" i="20"/>
  <c r="AK211" i="20"/>
  <c r="AL211" i="20"/>
  <c r="AP211" i="20"/>
  <c r="AT211" i="20"/>
  <c r="AC210" i="20"/>
  <c r="AD210" i="20"/>
  <c r="AE210" i="20"/>
  <c r="AF210" i="20"/>
  <c r="AG210" i="20"/>
  <c r="AH210" i="20"/>
  <c r="AI210" i="20"/>
  <c r="AJ210" i="20"/>
  <c r="AK210" i="20"/>
  <c r="AL210" i="20"/>
  <c r="AP210" i="20"/>
  <c r="AT210" i="20"/>
  <c r="AC209" i="20"/>
  <c r="AD209" i="20"/>
  <c r="AE209" i="20"/>
  <c r="AF209" i="20"/>
  <c r="AG209" i="20"/>
  <c r="AH209" i="20"/>
  <c r="AI209" i="20"/>
  <c r="AJ209" i="20"/>
  <c r="AK209" i="20"/>
  <c r="AL209" i="20"/>
  <c r="AP209" i="20"/>
  <c r="AT209" i="20"/>
  <c r="AC208" i="20"/>
  <c r="AD208" i="20"/>
  <c r="AE208" i="20"/>
  <c r="AF208" i="20"/>
  <c r="AG208" i="20"/>
  <c r="AH208" i="20"/>
  <c r="AI208" i="20"/>
  <c r="AJ208" i="20"/>
  <c r="AK208" i="20"/>
  <c r="AL208" i="20"/>
  <c r="AP208" i="20"/>
  <c r="AT208" i="20"/>
  <c r="AC207" i="20"/>
  <c r="AD207" i="20"/>
  <c r="AE207" i="20"/>
  <c r="AF207" i="20"/>
  <c r="AG207" i="20"/>
  <c r="AH207" i="20"/>
  <c r="AI207" i="20"/>
  <c r="AJ207" i="20"/>
  <c r="AK207" i="20"/>
  <c r="AL207" i="20"/>
  <c r="AP207" i="20"/>
  <c r="AT207" i="20"/>
  <c r="AC206" i="20"/>
  <c r="AD206" i="20"/>
  <c r="AE206" i="20"/>
  <c r="AF206" i="20"/>
  <c r="AG206" i="20"/>
  <c r="AH206" i="20"/>
  <c r="AI206" i="20"/>
  <c r="AJ206" i="20"/>
  <c r="AK206" i="20"/>
  <c r="AL206" i="20"/>
  <c r="AP206" i="20"/>
  <c r="AT206" i="20"/>
  <c r="AC205" i="20"/>
  <c r="AD205" i="20"/>
  <c r="AE205" i="20"/>
  <c r="AF205" i="20"/>
  <c r="AG205" i="20"/>
  <c r="AH205" i="20"/>
  <c r="AI205" i="20"/>
  <c r="AJ205" i="20"/>
  <c r="AK205" i="20"/>
  <c r="AL205" i="20"/>
  <c r="AP205" i="20"/>
  <c r="AT205" i="20"/>
  <c r="AC204" i="20"/>
  <c r="AD204" i="20"/>
  <c r="AE204" i="20"/>
  <c r="AF204" i="20"/>
  <c r="AG204" i="20"/>
  <c r="AH204" i="20"/>
  <c r="AI204" i="20"/>
  <c r="AJ204" i="20"/>
  <c r="AK204" i="20"/>
  <c r="AL204" i="20"/>
  <c r="AP204" i="20"/>
  <c r="AT204" i="20"/>
  <c r="AC203" i="20"/>
  <c r="AD203" i="20"/>
  <c r="AE203" i="20"/>
  <c r="AF203" i="20"/>
  <c r="AG203" i="20"/>
  <c r="AH203" i="20"/>
  <c r="AI203" i="20"/>
  <c r="AJ203" i="20"/>
  <c r="AK203" i="20"/>
  <c r="AL203" i="20"/>
  <c r="AP203" i="20"/>
  <c r="AT203" i="20"/>
  <c r="AC202" i="20"/>
  <c r="AD202" i="20"/>
  <c r="AE202" i="20"/>
  <c r="AF202" i="20"/>
  <c r="AG202" i="20"/>
  <c r="AH202" i="20"/>
  <c r="AI202" i="20"/>
  <c r="AJ202" i="20"/>
  <c r="AK202" i="20"/>
  <c r="AL202" i="20"/>
  <c r="AP202" i="20"/>
  <c r="AT202" i="20"/>
  <c r="AC201" i="20"/>
  <c r="AD201" i="20"/>
  <c r="AE201" i="20"/>
  <c r="AF201" i="20"/>
  <c r="AG201" i="20"/>
  <c r="AH201" i="20"/>
  <c r="AI201" i="20"/>
  <c r="AJ201" i="20"/>
  <c r="AK201" i="20"/>
  <c r="AL201" i="20"/>
  <c r="AP201" i="20"/>
  <c r="AT201" i="20"/>
  <c r="AC200" i="20"/>
  <c r="AD200" i="20"/>
  <c r="AE200" i="20"/>
  <c r="AF200" i="20"/>
  <c r="AG200" i="20"/>
  <c r="AH200" i="20"/>
  <c r="AI200" i="20"/>
  <c r="AJ200" i="20"/>
  <c r="AK200" i="20"/>
  <c r="AL200" i="20"/>
  <c r="AP200" i="20"/>
  <c r="AT200" i="20"/>
  <c r="AC199" i="20"/>
  <c r="AD199" i="20"/>
  <c r="AE199" i="20"/>
  <c r="AF199" i="20"/>
  <c r="AG199" i="20"/>
  <c r="AH199" i="20"/>
  <c r="AI199" i="20"/>
  <c r="AJ199" i="20"/>
  <c r="AK199" i="20"/>
  <c r="AL199" i="20"/>
  <c r="AP199" i="20"/>
  <c r="AT199" i="20"/>
  <c r="AC198" i="20"/>
  <c r="AD198" i="20"/>
  <c r="AE198" i="20"/>
  <c r="AF198" i="20"/>
  <c r="AG198" i="20"/>
  <c r="AH198" i="20"/>
  <c r="AI198" i="20"/>
  <c r="AJ198" i="20"/>
  <c r="AK198" i="20"/>
  <c r="AL198" i="20"/>
  <c r="AP198" i="20"/>
  <c r="AT198" i="20"/>
  <c r="AC197" i="20"/>
  <c r="AD197" i="20"/>
  <c r="AE197" i="20"/>
  <c r="AF197" i="20"/>
  <c r="AG197" i="20"/>
  <c r="AH197" i="20"/>
  <c r="AI197" i="20"/>
  <c r="AJ197" i="20"/>
  <c r="AK197" i="20"/>
  <c r="AL197" i="20"/>
  <c r="AP197" i="20"/>
  <c r="AT197" i="20"/>
  <c r="AC196" i="20"/>
  <c r="AD196" i="20"/>
  <c r="AE196" i="20"/>
  <c r="AF196" i="20"/>
  <c r="AG196" i="20"/>
  <c r="AH196" i="20"/>
  <c r="AI196" i="20"/>
  <c r="AJ196" i="20"/>
  <c r="AK196" i="20"/>
  <c r="AL196" i="20"/>
  <c r="AP196" i="20"/>
  <c r="AT196" i="20"/>
  <c r="AC195" i="20"/>
  <c r="AD195" i="20"/>
  <c r="AE195" i="20"/>
  <c r="AF195" i="20"/>
  <c r="AG195" i="20"/>
  <c r="AH195" i="20"/>
  <c r="AI195" i="20"/>
  <c r="AJ195" i="20"/>
  <c r="AK195" i="20"/>
  <c r="AL195" i="20"/>
  <c r="AP195" i="20"/>
  <c r="AT195" i="20"/>
  <c r="AC194" i="20"/>
  <c r="AD194" i="20"/>
  <c r="AE194" i="20"/>
  <c r="AF194" i="20"/>
  <c r="AG194" i="20"/>
  <c r="AH194" i="20"/>
  <c r="AI194" i="20"/>
  <c r="AJ194" i="20"/>
  <c r="AK194" i="20"/>
  <c r="AL194" i="20"/>
  <c r="AP194" i="20"/>
  <c r="AT194" i="20"/>
  <c r="AC193" i="20"/>
  <c r="AD193" i="20"/>
  <c r="AE193" i="20"/>
  <c r="AF193" i="20"/>
  <c r="AG193" i="20"/>
  <c r="AH193" i="20"/>
  <c r="AI193" i="20"/>
  <c r="AJ193" i="20"/>
  <c r="AK193" i="20"/>
  <c r="AL193" i="20"/>
  <c r="AP193" i="20"/>
  <c r="AT193" i="20"/>
  <c r="AC192" i="20"/>
  <c r="AD192" i="20"/>
  <c r="AE192" i="20"/>
  <c r="AF192" i="20"/>
  <c r="AG192" i="20"/>
  <c r="AH192" i="20"/>
  <c r="AI192" i="20"/>
  <c r="AJ192" i="20"/>
  <c r="AK192" i="20"/>
  <c r="AL192" i="20"/>
  <c r="AP192" i="20"/>
  <c r="AT192" i="20"/>
  <c r="AC191" i="20"/>
  <c r="AD191" i="20"/>
  <c r="AE191" i="20"/>
  <c r="AF191" i="20"/>
  <c r="AG191" i="20"/>
  <c r="AH191" i="20"/>
  <c r="AI191" i="20"/>
  <c r="AJ191" i="20"/>
  <c r="AK191" i="20"/>
  <c r="AL191" i="20"/>
  <c r="AP191" i="20"/>
  <c r="AT191" i="20"/>
  <c r="AC190" i="20"/>
  <c r="AD190" i="20"/>
  <c r="AE190" i="20"/>
  <c r="AF190" i="20"/>
  <c r="AG190" i="20"/>
  <c r="AH190" i="20"/>
  <c r="AI190" i="20"/>
  <c r="AJ190" i="20"/>
  <c r="AK190" i="20"/>
  <c r="AL190" i="20"/>
  <c r="AP190" i="20"/>
  <c r="AT190" i="20"/>
  <c r="AC189" i="20"/>
  <c r="AD189" i="20"/>
  <c r="AE189" i="20"/>
  <c r="AF189" i="20"/>
  <c r="AG189" i="20"/>
  <c r="AH189" i="20"/>
  <c r="AI189" i="20"/>
  <c r="AJ189" i="20"/>
  <c r="AK189" i="20"/>
  <c r="AL189" i="20"/>
  <c r="AP189" i="20"/>
  <c r="AT189" i="20"/>
  <c r="AC188" i="20"/>
  <c r="AD188" i="20"/>
  <c r="AE188" i="20"/>
  <c r="AF188" i="20"/>
  <c r="AG188" i="20"/>
  <c r="AH188" i="20"/>
  <c r="AI188" i="20"/>
  <c r="AJ188" i="20"/>
  <c r="AK188" i="20"/>
  <c r="AL188" i="20"/>
  <c r="AP188" i="20"/>
  <c r="AT188" i="20"/>
  <c r="AC187" i="20"/>
  <c r="AD187" i="20"/>
  <c r="AE187" i="20"/>
  <c r="AF187" i="20"/>
  <c r="AG187" i="20"/>
  <c r="AH187" i="20"/>
  <c r="AI187" i="20"/>
  <c r="AJ187" i="20"/>
  <c r="AK187" i="20"/>
  <c r="AL187" i="20"/>
  <c r="AP187" i="20"/>
  <c r="AT187" i="20"/>
  <c r="AC186" i="20"/>
  <c r="AD186" i="20"/>
  <c r="AE186" i="20"/>
  <c r="AF186" i="20"/>
  <c r="AG186" i="20"/>
  <c r="AH186" i="20"/>
  <c r="AI186" i="20"/>
  <c r="AJ186" i="20"/>
  <c r="AK186" i="20"/>
  <c r="AL186" i="20"/>
  <c r="AP186" i="20"/>
  <c r="AT186" i="20"/>
  <c r="AC185" i="20"/>
  <c r="AD185" i="20"/>
  <c r="AE185" i="20"/>
  <c r="AF185" i="20"/>
  <c r="AG185" i="20"/>
  <c r="AH185" i="20"/>
  <c r="AI185" i="20"/>
  <c r="AJ185" i="20"/>
  <c r="AK185" i="20"/>
  <c r="AL185" i="20"/>
  <c r="AP185" i="20"/>
  <c r="AT185" i="20"/>
  <c r="J14" i="19"/>
  <c r="K14" i="19"/>
  <c r="S5" i="19"/>
  <c r="S6" i="19"/>
  <c r="S7" i="19"/>
  <c r="S9" i="19"/>
  <c r="S10" i="19"/>
  <c r="S11" i="19"/>
  <c r="S12" i="19"/>
  <c r="S13" i="19"/>
  <c r="C3" i="43"/>
  <c r="B4" i="91"/>
  <c r="B5" i="94"/>
  <c r="AT24" i="20"/>
  <c r="AC184" i="20"/>
  <c r="AD184" i="20"/>
  <c r="AE184" i="20"/>
  <c r="AF184" i="20"/>
  <c r="AG184" i="20"/>
  <c r="AH184" i="20"/>
  <c r="AI184" i="20"/>
  <c r="AJ184" i="20"/>
  <c r="AK184" i="20"/>
  <c r="AL184" i="20"/>
  <c r="AP184" i="20"/>
  <c r="AT184" i="20"/>
  <c r="AC183" i="20"/>
  <c r="AD183" i="20"/>
  <c r="AE183" i="20"/>
  <c r="AF183" i="20"/>
  <c r="AG183" i="20"/>
  <c r="AH183" i="20"/>
  <c r="AI183" i="20"/>
  <c r="AJ183" i="20"/>
  <c r="AK183" i="20"/>
  <c r="AL183" i="20"/>
  <c r="AP183" i="20"/>
  <c r="AT183" i="20"/>
  <c r="AC182" i="20"/>
  <c r="AD182" i="20"/>
  <c r="AE182" i="20"/>
  <c r="AF182" i="20"/>
  <c r="AG182" i="20"/>
  <c r="AH182" i="20"/>
  <c r="AI182" i="20"/>
  <c r="AJ182" i="20"/>
  <c r="AK182" i="20"/>
  <c r="AL182" i="20"/>
  <c r="AP182" i="20"/>
  <c r="AT182" i="20"/>
  <c r="AC181" i="20"/>
  <c r="AD181" i="20"/>
  <c r="AE181" i="20"/>
  <c r="AF181" i="20"/>
  <c r="AG181" i="20"/>
  <c r="AH181" i="20"/>
  <c r="AI181" i="20"/>
  <c r="AJ181" i="20"/>
  <c r="AK181" i="20"/>
  <c r="AL181" i="20"/>
  <c r="AP181" i="20"/>
  <c r="AT181" i="20"/>
  <c r="I14" i="19"/>
  <c r="L14" i="19"/>
  <c r="AP169" i="20"/>
  <c r="AP170" i="20"/>
  <c r="AP171" i="20"/>
  <c r="AP172" i="20"/>
  <c r="AP176" i="20"/>
  <c r="AP179" i="20"/>
  <c r="AP180" i="20"/>
  <c r="AT169" i="20"/>
  <c r="AT170" i="20"/>
  <c r="AT171" i="20"/>
  <c r="AT172" i="20"/>
  <c r="AT176" i="20"/>
  <c r="AT179" i="20"/>
  <c r="AT180" i="20"/>
  <c r="AP159" i="20"/>
  <c r="AP119" i="20"/>
  <c r="AP120" i="20"/>
  <c r="AT159" i="20"/>
  <c r="AT119" i="20"/>
  <c r="AT120" i="20"/>
  <c r="AP177" i="20"/>
  <c r="AP178" i="20"/>
  <c r="AT177" i="20"/>
  <c r="AT178" i="20"/>
  <c r="AP118" i="20"/>
  <c r="AT118" i="20"/>
  <c r="AP160" i="20"/>
  <c r="AT160" i="20"/>
  <c r="AP112" i="20"/>
  <c r="AT112" i="20"/>
  <c r="AP111" i="20"/>
  <c r="AT111" i="20"/>
  <c r="AP108" i="20"/>
  <c r="AT108" i="20"/>
  <c r="AP109" i="20"/>
  <c r="AT109" i="20"/>
  <c r="AP161" i="20"/>
  <c r="AT161" i="20"/>
  <c r="AP162" i="20"/>
  <c r="AT162" i="20"/>
  <c r="AP168" i="20"/>
  <c r="AT168" i="20"/>
  <c r="AP173" i="20"/>
  <c r="AT173" i="20"/>
  <c r="AP174" i="20"/>
  <c r="AT174" i="20"/>
  <c r="AP175" i="20"/>
  <c r="AT175" i="20"/>
  <c r="W39" i="19"/>
  <c r="AP158" i="20"/>
  <c r="AT158" i="20"/>
  <c r="AP157" i="20"/>
  <c r="AT157" i="20"/>
  <c r="AP117" i="20"/>
  <c r="AT117" i="20"/>
  <c r="AP116" i="20"/>
  <c r="AT116" i="20"/>
  <c r="AP115" i="20"/>
  <c r="AT115" i="20"/>
  <c r="AP114" i="20"/>
  <c r="AT114" i="20"/>
  <c r="AP113" i="20"/>
  <c r="AT113" i="20"/>
  <c r="AP156" i="20"/>
  <c r="AT156" i="20"/>
  <c r="AP155" i="20"/>
  <c r="AT155" i="20"/>
  <c r="AP154" i="20"/>
  <c r="AT154" i="20"/>
  <c r="AP135" i="20"/>
  <c r="AP136" i="20"/>
  <c r="AP137" i="20"/>
  <c r="AP138" i="20"/>
  <c r="AP139" i="20"/>
  <c r="AP140" i="20"/>
  <c r="AP141" i="20"/>
  <c r="AP142" i="20"/>
  <c r="AP143" i="20"/>
  <c r="AP144" i="20"/>
  <c r="AP145" i="20"/>
  <c r="AP146" i="20"/>
  <c r="AP147" i="20"/>
  <c r="AP148" i="20"/>
  <c r="AP149" i="20"/>
  <c r="AP150" i="20"/>
  <c r="AP151" i="20"/>
  <c r="AP152" i="20"/>
  <c r="AP153" i="20"/>
  <c r="AT135" i="20"/>
  <c r="AT136" i="20"/>
  <c r="AT137" i="20"/>
  <c r="AT138" i="20"/>
  <c r="AT139" i="20"/>
  <c r="AT140" i="20"/>
  <c r="AT141" i="20"/>
  <c r="AT142" i="20"/>
  <c r="AT143" i="20"/>
  <c r="AT144" i="20"/>
  <c r="AT145" i="20"/>
  <c r="AT146" i="20"/>
  <c r="AT147" i="20"/>
  <c r="AT148" i="20"/>
  <c r="AT149" i="20"/>
  <c r="AT150" i="20"/>
  <c r="AT151" i="20"/>
  <c r="AT152" i="20"/>
  <c r="AT153" i="20"/>
  <c r="AP134" i="20"/>
  <c r="AT134" i="20"/>
  <c r="AP133" i="20"/>
  <c r="AT133" i="20"/>
  <c r="AP132" i="20"/>
  <c r="AT132" i="20"/>
  <c r="AP131" i="20"/>
  <c r="AT131" i="20"/>
  <c r="AP130" i="20"/>
  <c r="AT130" i="20"/>
  <c r="AP129" i="20"/>
  <c r="AT129" i="20"/>
  <c r="AP128" i="20"/>
  <c r="AT128" i="20"/>
  <c r="AP127" i="20"/>
  <c r="AT127" i="20"/>
  <c r="AP126" i="20"/>
  <c r="AT126" i="20"/>
  <c r="AP125" i="20"/>
  <c r="AT125" i="20"/>
  <c r="AP124" i="20"/>
  <c r="AT124" i="20"/>
  <c r="AP123" i="20"/>
  <c r="AT123" i="20"/>
  <c r="AP122" i="20"/>
  <c r="AT122" i="20"/>
  <c r="AP121" i="20"/>
  <c r="AT121" i="20"/>
  <c r="AP167" i="20"/>
  <c r="AT167" i="20"/>
  <c r="AP166" i="20"/>
  <c r="AT166" i="20"/>
  <c r="AP165" i="20"/>
  <c r="AT165" i="20"/>
  <c r="AP164" i="20"/>
  <c r="AT164" i="20"/>
  <c r="AP163" i="20"/>
  <c r="AT163" i="20"/>
  <c r="U5" i="19"/>
  <c r="V5" i="19"/>
  <c r="W5" i="19"/>
  <c r="U6" i="19"/>
  <c r="V6" i="19"/>
  <c r="W6" i="19"/>
  <c r="U7" i="19"/>
  <c r="V7" i="19"/>
  <c r="W7" i="19"/>
  <c r="U8" i="19"/>
  <c r="V8" i="19"/>
  <c r="W8" i="19"/>
  <c r="U9" i="19"/>
  <c r="V9" i="19"/>
  <c r="W9" i="19"/>
  <c r="U10" i="19"/>
  <c r="V10" i="19"/>
  <c r="W10" i="19"/>
  <c r="U11" i="19"/>
  <c r="V11" i="19"/>
  <c r="W11" i="19"/>
  <c r="U12" i="19"/>
  <c r="V12" i="19"/>
  <c r="W12" i="19"/>
  <c r="U13" i="19"/>
  <c r="V13" i="19"/>
  <c r="W13" i="19"/>
  <c r="U15" i="19"/>
  <c r="V15" i="19"/>
  <c r="W15" i="19"/>
  <c r="U16" i="19"/>
  <c r="V16" i="19"/>
  <c r="W16" i="19"/>
  <c r="U17" i="19"/>
  <c r="V17" i="19"/>
  <c r="W17" i="19"/>
  <c r="U18" i="19"/>
  <c r="V18" i="19"/>
  <c r="W18" i="19"/>
  <c r="U19" i="19"/>
  <c r="V19" i="19"/>
  <c r="W19" i="19"/>
  <c r="U21" i="19"/>
  <c r="V21" i="19"/>
  <c r="W21" i="19"/>
  <c r="U22" i="19"/>
  <c r="V22" i="19"/>
  <c r="W22" i="19"/>
  <c r="U23" i="19"/>
  <c r="V23" i="19"/>
  <c r="W23" i="19"/>
  <c r="U24" i="19"/>
  <c r="V24" i="19"/>
  <c r="W24" i="19"/>
  <c r="U25" i="19"/>
  <c r="V25" i="19"/>
  <c r="W25" i="19"/>
  <c r="U26" i="19"/>
  <c r="V26" i="19"/>
  <c r="W26" i="19"/>
  <c r="U27" i="19"/>
  <c r="V27" i="19"/>
  <c r="W27" i="19"/>
  <c r="U28" i="19"/>
  <c r="V28" i="19"/>
  <c r="W28" i="19"/>
  <c r="U29" i="19"/>
  <c r="V29" i="19"/>
  <c r="W29" i="19"/>
  <c r="U30" i="19"/>
  <c r="V30" i="19"/>
  <c r="W30" i="19"/>
  <c r="U31" i="19"/>
  <c r="V31" i="19"/>
  <c r="W31" i="19"/>
  <c r="U32" i="19"/>
  <c r="V32" i="19"/>
  <c r="W32" i="19"/>
  <c r="U33" i="19"/>
  <c r="V33" i="19"/>
  <c r="W33" i="19"/>
  <c r="U34" i="19"/>
  <c r="V34" i="19"/>
  <c r="W34" i="19"/>
  <c r="U35" i="19"/>
  <c r="V35" i="19"/>
  <c r="W35" i="19"/>
  <c r="U36" i="19"/>
  <c r="V36" i="19"/>
  <c r="W36" i="19"/>
  <c r="U37" i="19"/>
  <c r="V37" i="19"/>
  <c r="U38" i="19"/>
  <c r="V38" i="19"/>
  <c r="W38" i="19"/>
  <c r="U40" i="19"/>
  <c r="V40" i="19"/>
  <c r="W40" i="19"/>
  <c r="U43" i="19"/>
  <c r="V43" i="19"/>
  <c r="W43" i="19"/>
  <c r="U45" i="19"/>
  <c r="V45" i="19"/>
  <c r="W45" i="19"/>
  <c r="U47" i="19"/>
  <c r="V47" i="19"/>
  <c r="W47" i="19"/>
  <c r="U49" i="19"/>
  <c r="V49" i="19"/>
  <c r="W49" i="19"/>
  <c r="U50" i="19"/>
  <c r="W50" i="19"/>
  <c r="U51" i="19"/>
  <c r="W51" i="19"/>
  <c r="U52" i="19"/>
  <c r="W52" i="19"/>
  <c r="U53" i="19"/>
  <c r="W53" i="19"/>
  <c r="U54" i="19"/>
  <c r="W54" i="19"/>
  <c r="U55" i="19"/>
  <c r="W55" i="19"/>
  <c r="U56" i="19"/>
  <c r="W56" i="19"/>
  <c r="U57" i="19"/>
  <c r="W57" i="19"/>
  <c r="U58" i="19"/>
  <c r="W58" i="19"/>
  <c r="U59" i="19"/>
  <c r="W59" i="19"/>
  <c r="U60" i="19"/>
  <c r="W60" i="19"/>
  <c r="U64" i="19"/>
  <c r="W64" i="19"/>
  <c r="U66" i="19"/>
  <c r="V66" i="19"/>
  <c r="W66" i="19"/>
  <c r="U67" i="19"/>
  <c r="V67" i="19"/>
  <c r="W67" i="19"/>
  <c r="U68" i="19"/>
  <c r="V68" i="19"/>
  <c r="W68" i="19"/>
  <c r="U69" i="19"/>
  <c r="V69" i="19"/>
  <c r="W69" i="19"/>
  <c r="U70" i="19"/>
  <c r="V70" i="19"/>
  <c r="U71" i="19"/>
  <c r="V71" i="19"/>
  <c r="W71" i="19"/>
  <c r="W72" i="19"/>
  <c r="U73" i="19"/>
  <c r="V73" i="19"/>
  <c r="W73" i="19"/>
  <c r="U74" i="19"/>
  <c r="V74" i="19"/>
  <c r="W74" i="19"/>
  <c r="U76" i="19"/>
  <c r="V76" i="19"/>
  <c r="W76" i="19"/>
  <c r="U77" i="19"/>
  <c r="V77" i="19"/>
  <c r="W77" i="19"/>
  <c r="U78" i="19"/>
  <c r="V78" i="19"/>
  <c r="W78" i="19"/>
  <c r="U80" i="19"/>
  <c r="V80" i="19"/>
  <c r="W80" i="19"/>
  <c r="U89" i="19"/>
  <c r="V89" i="19"/>
  <c r="W89" i="19"/>
  <c r="U90" i="19"/>
  <c r="V90" i="19"/>
  <c r="W90" i="19"/>
  <c r="U92" i="19"/>
  <c r="V92" i="19"/>
  <c r="W92" i="19"/>
  <c r="U93" i="19"/>
  <c r="V93" i="19"/>
  <c r="W93" i="19"/>
  <c r="U94" i="19"/>
  <c r="V94" i="19"/>
  <c r="W94" i="19"/>
  <c r="U95" i="19"/>
  <c r="V95" i="19"/>
  <c r="W95" i="19"/>
  <c r="U96" i="19"/>
  <c r="V96" i="19"/>
  <c r="W96" i="19"/>
  <c r="U97" i="19"/>
  <c r="V97" i="19"/>
  <c r="W97" i="19"/>
  <c r="U98" i="19"/>
  <c r="V98" i="19"/>
  <c r="W98" i="19"/>
  <c r="U99" i="19"/>
  <c r="V99" i="19"/>
  <c r="W99" i="19"/>
  <c r="U100" i="19"/>
  <c r="V100" i="19"/>
  <c r="W100" i="19"/>
  <c r="V101" i="19"/>
  <c r="W101" i="19"/>
  <c r="U102" i="19"/>
  <c r="V102" i="19"/>
  <c r="W102" i="19"/>
  <c r="U103" i="19"/>
  <c r="V103" i="19"/>
  <c r="W103" i="19"/>
  <c r="U105" i="19"/>
  <c r="V105" i="19"/>
  <c r="W105" i="19"/>
  <c r="U106" i="19"/>
  <c r="V106" i="19"/>
  <c r="W106" i="19"/>
  <c r="U107" i="19"/>
  <c r="V107" i="19"/>
  <c r="W107" i="19"/>
  <c r="U109" i="19"/>
  <c r="V109" i="19"/>
  <c r="W109" i="19"/>
  <c r="U110" i="19"/>
  <c r="V110" i="19"/>
  <c r="W110" i="19"/>
  <c r="U111" i="19"/>
  <c r="V111" i="19"/>
  <c r="W111" i="19"/>
  <c r="U112" i="19"/>
  <c r="V112" i="19"/>
  <c r="W112" i="19"/>
  <c r="U113" i="19"/>
  <c r="V113" i="19"/>
  <c r="W113" i="19"/>
  <c r="U114" i="19"/>
  <c r="V114" i="19"/>
  <c r="W114" i="19"/>
  <c r="U115" i="19"/>
  <c r="V115" i="19"/>
  <c r="W115" i="19"/>
  <c r="U116" i="19"/>
  <c r="V116" i="19"/>
  <c r="W116" i="19"/>
  <c r="U117" i="19"/>
  <c r="V117" i="19"/>
  <c r="W117" i="19"/>
  <c r="U118" i="19"/>
  <c r="V118" i="19"/>
  <c r="W118" i="19"/>
  <c r="U119" i="19"/>
  <c r="V119" i="19"/>
  <c r="W119" i="19"/>
  <c r="U120" i="19"/>
  <c r="V120" i="19"/>
  <c r="W120" i="19"/>
  <c r="U121" i="19"/>
  <c r="V121" i="19"/>
  <c r="W121" i="19"/>
  <c r="U123" i="19"/>
  <c r="V123" i="19"/>
  <c r="W123" i="19"/>
  <c r="U124" i="19"/>
  <c r="V124" i="19"/>
  <c r="W124" i="19"/>
  <c r="U126" i="19"/>
  <c r="V126" i="19"/>
  <c r="W126" i="19"/>
  <c r="U127" i="19"/>
  <c r="V127" i="19"/>
  <c r="W127" i="19"/>
  <c r="U130" i="19"/>
  <c r="V130" i="19"/>
  <c r="W130" i="19"/>
  <c r="U131" i="19"/>
  <c r="V131" i="19"/>
  <c r="W131" i="19"/>
  <c r="U132" i="19"/>
  <c r="V132" i="19"/>
  <c r="W132" i="19"/>
  <c r="U135" i="19"/>
  <c r="V135" i="19"/>
  <c r="W135" i="19"/>
  <c r="U137" i="19"/>
  <c r="V137" i="19"/>
  <c r="W137" i="19"/>
  <c r="U138" i="19"/>
  <c r="V138" i="19"/>
  <c r="W138" i="19"/>
  <c r="U139" i="19"/>
  <c r="V139" i="19"/>
  <c r="W139" i="19"/>
  <c r="U140" i="19"/>
  <c r="V140" i="19"/>
  <c r="W140" i="19"/>
  <c r="U142" i="19"/>
  <c r="V142" i="19"/>
  <c r="W142" i="19"/>
  <c r="U144" i="19"/>
  <c r="V144" i="19"/>
  <c r="W144" i="19"/>
  <c r="U145" i="19"/>
  <c r="V145" i="19"/>
  <c r="W145" i="19"/>
  <c r="U146" i="19"/>
  <c r="V146" i="19"/>
  <c r="W146" i="19"/>
  <c r="U147" i="19"/>
  <c r="V147" i="19"/>
  <c r="W147" i="19"/>
  <c r="U149" i="19"/>
  <c r="V149" i="19"/>
  <c r="W149" i="19"/>
  <c r="U150" i="19"/>
  <c r="V150" i="19"/>
  <c r="W150" i="19"/>
  <c r="U152" i="19"/>
  <c r="V152" i="19"/>
  <c r="W152" i="19"/>
  <c r="U153" i="19"/>
  <c r="V153" i="19"/>
  <c r="W153" i="19"/>
  <c r="U155" i="19"/>
  <c r="V155" i="19"/>
  <c r="W155" i="19"/>
  <c r="U156" i="19"/>
  <c r="V156" i="19"/>
  <c r="W156" i="19"/>
  <c r="U162" i="19"/>
  <c r="V162" i="19"/>
  <c r="W162" i="19"/>
  <c r="U163" i="19"/>
  <c r="V163" i="19"/>
  <c r="W163" i="19"/>
  <c r="U164" i="19"/>
  <c r="V164" i="19"/>
  <c r="W164" i="19"/>
  <c r="U165" i="19"/>
  <c r="V165" i="19"/>
  <c r="W165" i="19"/>
  <c r="U166" i="19"/>
  <c r="V166" i="19"/>
  <c r="W166" i="19"/>
  <c r="U167" i="19"/>
  <c r="V167" i="19"/>
  <c r="W167" i="19"/>
  <c r="U168" i="19"/>
  <c r="V168" i="19"/>
  <c r="W168" i="19"/>
  <c r="U169" i="19"/>
  <c r="V169" i="19"/>
  <c r="W169" i="19"/>
  <c r="U170" i="19"/>
  <c r="V170" i="19"/>
  <c r="W170" i="19"/>
  <c r="U171" i="19"/>
  <c r="V171" i="19"/>
  <c r="W171" i="19"/>
  <c r="U172" i="19"/>
  <c r="V172" i="19"/>
  <c r="W172" i="19"/>
  <c r="U173" i="19"/>
  <c r="V173" i="19"/>
  <c r="W173" i="19"/>
  <c r="U174" i="19"/>
  <c r="V174" i="19"/>
  <c r="W174" i="19"/>
  <c r="U175" i="19"/>
  <c r="V175" i="19"/>
  <c r="W175" i="19"/>
  <c r="U176" i="19"/>
  <c r="V176" i="19"/>
  <c r="W176" i="19"/>
  <c r="U177" i="19"/>
  <c r="V177" i="19"/>
  <c r="W177" i="19"/>
  <c r="U178" i="19"/>
  <c r="V178" i="19"/>
  <c r="W178" i="19"/>
  <c r="U179" i="19"/>
  <c r="V179" i="19"/>
  <c r="W179" i="19"/>
  <c r="U180" i="19"/>
  <c r="V180" i="19"/>
  <c r="W180" i="19"/>
  <c r="U182" i="19"/>
  <c r="V182" i="19"/>
  <c r="W182" i="19"/>
  <c r="T5" i="19"/>
  <c r="T6" i="19"/>
  <c r="T7" i="19"/>
  <c r="T8" i="19"/>
  <c r="T9" i="19"/>
  <c r="T10" i="19"/>
  <c r="T11" i="19"/>
  <c r="T12" i="19"/>
  <c r="T13" i="19"/>
  <c r="T15" i="19"/>
  <c r="T16" i="19"/>
  <c r="T17" i="19"/>
  <c r="T18" i="19"/>
  <c r="T19" i="19"/>
  <c r="T21" i="19"/>
  <c r="T22" i="19"/>
  <c r="T23" i="19"/>
  <c r="T24" i="19"/>
  <c r="T25" i="19"/>
  <c r="T26" i="19"/>
  <c r="T27" i="19"/>
  <c r="T28" i="19"/>
  <c r="T29" i="19"/>
  <c r="T30" i="19"/>
  <c r="T31" i="19"/>
  <c r="T32" i="19"/>
  <c r="T33" i="19"/>
  <c r="T34" i="19"/>
  <c r="T35" i="19"/>
  <c r="T36" i="19"/>
  <c r="T37" i="19"/>
  <c r="T38" i="19"/>
  <c r="T40" i="19"/>
  <c r="T43" i="19"/>
  <c r="T45" i="19"/>
  <c r="T47" i="19"/>
  <c r="T49" i="19"/>
  <c r="T50" i="19"/>
  <c r="T51" i="19"/>
  <c r="T52" i="19"/>
  <c r="T53" i="19"/>
  <c r="T54" i="19"/>
  <c r="T55" i="19"/>
  <c r="T56" i="19"/>
  <c r="T57" i="19"/>
  <c r="T58" i="19"/>
  <c r="T59" i="19"/>
  <c r="T60" i="19"/>
  <c r="T64" i="19"/>
  <c r="T66" i="19"/>
  <c r="T67" i="19"/>
  <c r="T68" i="19"/>
  <c r="T69" i="19"/>
  <c r="T70" i="19"/>
  <c r="T71" i="19"/>
  <c r="T72" i="19"/>
  <c r="T74" i="19"/>
  <c r="T76" i="19"/>
  <c r="T77" i="19"/>
  <c r="T78" i="19"/>
  <c r="T80" i="19"/>
  <c r="T89" i="19"/>
  <c r="T90" i="19"/>
  <c r="T92" i="19"/>
  <c r="T93" i="19"/>
  <c r="T94" i="19"/>
  <c r="T95" i="19"/>
  <c r="T96" i="19"/>
  <c r="T97" i="19"/>
  <c r="T98" i="19"/>
  <c r="T99" i="19"/>
  <c r="T100" i="19"/>
  <c r="T101" i="19"/>
  <c r="T102" i="19"/>
  <c r="T103" i="19"/>
  <c r="T105" i="19"/>
  <c r="T106" i="19"/>
  <c r="T107" i="19"/>
  <c r="T109" i="19"/>
  <c r="T137" i="19"/>
  <c r="T138" i="19"/>
  <c r="T139" i="19"/>
  <c r="T140" i="19"/>
  <c r="T142" i="19"/>
  <c r="T144" i="19"/>
  <c r="T145" i="19"/>
  <c r="T146" i="19"/>
  <c r="T147" i="19"/>
  <c r="T149" i="19"/>
  <c r="T150" i="19"/>
  <c r="T152" i="19"/>
  <c r="T153" i="19"/>
  <c r="T155" i="19"/>
  <c r="T156" i="19"/>
  <c r="T162" i="19"/>
  <c r="T163" i="19"/>
  <c r="T164" i="19"/>
  <c r="T165" i="19"/>
  <c r="T166" i="19"/>
  <c r="T167" i="19"/>
  <c r="T168" i="19"/>
  <c r="T169" i="19"/>
  <c r="T170" i="19"/>
  <c r="T171" i="19"/>
  <c r="T172" i="19"/>
  <c r="T173" i="19"/>
  <c r="T174" i="19"/>
  <c r="T175" i="19"/>
  <c r="T176" i="19"/>
  <c r="T177" i="19"/>
  <c r="T178" i="19"/>
  <c r="T179" i="19"/>
  <c r="T180" i="19"/>
  <c r="T182" i="19"/>
  <c r="S15" i="19"/>
  <c r="S16" i="19"/>
  <c r="S17" i="19"/>
  <c r="S18" i="19"/>
  <c r="S19" i="19"/>
  <c r="S21" i="19"/>
  <c r="S22" i="19"/>
  <c r="S23" i="19"/>
  <c r="S24" i="19"/>
  <c r="S25" i="19"/>
  <c r="S26" i="19"/>
  <c r="S27" i="19"/>
  <c r="S28" i="19"/>
  <c r="S29" i="19"/>
  <c r="S30" i="19"/>
  <c r="S31" i="19"/>
  <c r="S32" i="19"/>
  <c r="S33" i="19"/>
  <c r="S34" i="19"/>
  <c r="S35" i="19"/>
  <c r="S36" i="19"/>
  <c r="S37" i="19"/>
  <c r="S38" i="19"/>
  <c r="S40" i="19"/>
  <c r="S43" i="19"/>
  <c r="S45" i="19"/>
  <c r="S47" i="19"/>
  <c r="S49" i="19"/>
  <c r="S50" i="19"/>
  <c r="S51" i="19"/>
  <c r="S52" i="19"/>
  <c r="S53" i="19"/>
  <c r="S54" i="19"/>
  <c r="S55" i="19"/>
  <c r="S56" i="19"/>
  <c r="S57" i="19"/>
  <c r="S58" i="19"/>
  <c r="S59" i="19"/>
  <c r="S60" i="19"/>
  <c r="S64" i="19"/>
  <c r="S66" i="19"/>
  <c r="S67" i="19"/>
  <c r="S68" i="19"/>
  <c r="S69" i="19"/>
  <c r="S70" i="19"/>
  <c r="S71" i="19"/>
  <c r="S72" i="19"/>
  <c r="S73" i="19"/>
  <c r="S74" i="19"/>
  <c r="S76" i="19"/>
  <c r="S77" i="19"/>
  <c r="S78" i="19"/>
  <c r="S80" i="19"/>
  <c r="S89" i="19"/>
  <c r="S90" i="19"/>
  <c r="S92" i="19"/>
  <c r="S93" i="19"/>
  <c r="S94" i="19"/>
  <c r="S95" i="19"/>
  <c r="S96" i="19"/>
  <c r="S97" i="19"/>
  <c r="S98" i="19"/>
  <c r="S99" i="19"/>
  <c r="S100" i="19"/>
  <c r="S101" i="19"/>
  <c r="S102" i="19"/>
  <c r="S103" i="19"/>
  <c r="S105" i="19"/>
  <c r="S106" i="19"/>
  <c r="S107" i="19"/>
  <c r="S109" i="19"/>
  <c r="S138" i="19"/>
  <c r="S139" i="19"/>
  <c r="S140" i="19"/>
  <c r="S142" i="19"/>
  <c r="S144" i="19"/>
  <c r="S145" i="19"/>
  <c r="S146" i="19"/>
  <c r="S147" i="19"/>
  <c r="S149" i="19"/>
  <c r="S150" i="19"/>
  <c r="S152" i="19"/>
  <c r="S153" i="19"/>
  <c r="S155" i="19"/>
  <c r="S156" i="19"/>
  <c r="S162" i="19"/>
  <c r="S163" i="19"/>
  <c r="S164" i="19"/>
  <c r="S165" i="19"/>
  <c r="S166" i="19"/>
  <c r="S167" i="19"/>
  <c r="S168" i="19"/>
  <c r="S169" i="19"/>
  <c r="S170" i="19"/>
  <c r="S171" i="19"/>
  <c r="S172" i="19"/>
  <c r="S173" i="19"/>
  <c r="S174" i="19"/>
  <c r="S175" i="19"/>
  <c r="S176" i="19"/>
  <c r="S177" i="19"/>
  <c r="S178" i="19"/>
  <c r="S179" i="19"/>
  <c r="S180" i="19"/>
  <c r="S182" i="19"/>
  <c r="AP110" i="20"/>
  <c r="AT110" i="20"/>
  <c r="AP107" i="20"/>
  <c r="AT107" i="20"/>
  <c r="AP104" i="20"/>
  <c r="AP105" i="20"/>
  <c r="AP103" i="20"/>
  <c r="AT104" i="20"/>
  <c r="AT105" i="20"/>
  <c r="AT103" i="20"/>
  <c r="AP106" i="20"/>
  <c r="AT106" i="20"/>
  <c r="T214" i="14"/>
  <c r="AP100" i="20"/>
  <c r="AT100" i="20"/>
  <c r="AP101" i="20"/>
  <c r="AT101" i="20"/>
  <c r="AP102" i="20"/>
  <c r="AT102" i="20"/>
  <c r="AP98" i="20"/>
  <c r="AT98" i="20"/>
  <c r="AP97" i="20"/>
  <c r="AT97" i="20"/>
  <c r="AP96" i="20"/>
  <c r="AT96" i="20"/>
  <c r="AP99" i="20"/>
  <c r="AT99" i="20"/>
  <c r="T268" i="14"/>
  <c r="AD268" i="14"/>
  <c r="AE268" i="14"/>
  <c r="T227" i="14"/>
  <c r="AE227" i="14"/>
  <c r="AP85" i="20"/>
  <c r="AT85" i="20"/>
  <c r="AP86" i="20"/>
  <c r="AT86" i="20"/>
  <c r="AP89" i="20"/>
  <c r="AT89" i="20"/>
  <c r="AP90" i="20"/>
  <c r="AT90" i="20"/>
  <c r="AP91" i="20"/>
  <c r="AT91" i="20"/>
  <c r="AP92" i="20"/>
  <c r="AT92" i="20"/>
  <c r="AP93" i="20"/>
  <c r="AT93" i="20"/>
  <c r="T225" i="14"/>
  <c r="AE225" i="14"/>
  <c r="AP84" i="20"/>
  <c r="AT84" i="20"/>
  <c r="AP82" i="20"/>
  <c r="AP83" i="20"/>
  <c r="AT82" i="20"/>
  <c r="AT83" i="20"/>
  <c r="AP87" i="20"/>
  <c r="AT87" i="20"/>
  <c r="AP88" i="20"/>
  <c r="AT88" i="20"/>
  <c r="AP95" i="20"/>
  <c r="AT95" i="20"/>
  <c r="AP94" i="20"/>
  <c r="AT94" i="20"/>
  <c r="T209" i="14"/>
  <c r="AE209" i="14"/>
  <c r="AP81" i="20"/>
  <c r="AT81" i="20"/>
  <c r="Q3" i="62"/>
  <c r="CD30" i="62"/>
  <c r="AR39" i="43"/>
  <c r="X4" i="33"/>
  <c r="Z7" i="33"/>
  <c r="Z3" i="66"/>
  <c r="Y10" i="66"/>
  <c r="AI13" i="66"/>
  <c r="AI17" i="66"/>
  <c r="AI19" i="66"/>
  <c r="AI7" i="66"/>
  <c r="Y20" i="66"/>
  <c r="AI6" i="66"/>
  <c r="AG10" i="66"/>
  <c r="Z11" i="66" s="1"/>
  <c r="AG13" i="66"/>
  <c r="Z14" i="66" s="1"/>
  <c r="AG17" i="66"/>
  <c r="Z18" i="66" s="1"/>
  <c r="AG19" i="66"/>
  <c r="Z20" i="66" s="1"/>
  <c r="AG7" i="66"/>
  <c r="Z8" i="66" s="1"/>
  <c r="AG20" i="66"/>
  <c r="Z21" i="66" s="1"/>
  <c r="AG6" i="66"/>
  <c r="Z7" i="66" s="1"/>
  <c r="X10" i="66"/>
  <c r="X17" i="66"/>
  <c r="X19" i="66"/>
  <c r="X7" i="66"/>
  <c r="X20" i="66"/>
  <c r="X6" i="66"/>
  <c r="AG4" i="66"/>
  <c r="Z5" i="66" s="1"/>
  <c r="AG5" i="66"/>
  <c r="Z6" i="66" s="1"/>
  <c r="AG8" i="66"/>
  <c r="Z9" i="66" s="1"/>
  <c r="AG9" i="66"/>
  <c r="Z10" i="66" s="1"/>
  <c r="AG11" i="66"/>
  <c r="Z12" i="66" s="1"/>
  <c r="AG12" i="66"/>
  <c r="Z13" i="66" s="1"/>
  <c r="AG14" i="66"/>
  <c r="Z15" i="66" s="1"/>
  <c r="AG15" i="66"/>
  <c r="Z16" i="66" s="1"/>
  <c r="AG16" i="66"/>
  <c r="Z17" i="66" s="1"/>
  <c r="AG18" i="66"/>
  <c r="Z19" i="66" s="1"/>
  <c r="AG21" i="66"/>
  <c r="Z22" i="66" s="1"/>
  <c r="AG22" i="66"/>
  <c r="Z23" i="66" s="1"/>
  <c r="AG23" i="66"/>
  <c r="Z24" i="66" s="1"/>
  <c r="AG24" i="66"/>
  <c r="Z25" i="66" s="1"/>
  <c r="AG25" i="66"/>
  <c r="AG3" i="66"/>
  <c r="AI4" i="66"/>
  <c r="Y5" i="66"/>
  <c r="AI8" i="66"/>
  <c r="Y9" i="66"/>
  <c r="AI11" i="66"/>
  <c r="Y12" i="66"/>
  <c r="AI14" i="66"/>
  <c r="Y15" i="66"/>
  <c r="AI16" i="66"/>
  <c r="AI18" i="66"/>
  <c r="AI21" i="66"/>
  <c r="AI22" i="66"/>
  <c r="AI23" i="66"/>
  <c r="Y24" i="66"/>
  <c r="AI25" i="66"/>
  <c r="Y3" i="66"/>
  <c r="X5" i="66"/>
  <c r="X8" i="66"/>
  <c r="X9" i="66"/>
  <c r="X11" i="66"/>
  <c r="X12" i="66"/>
  <c r="X14" i="66"/>
  <c r="X15" i="66"/>
  <c r="X16" i="66"/>
  <c r="X18" i="66"/>
  <c r="X21" i="66"/>
  <c r="X22" i="66"/>
  <c r="X23" i="66"/>
  <c r="X24" i="66"/>
  <c r="X25" i="66"/>
  <c r="X4" i="66"/>
  <c r="X3" i="66"/>
  <c r="AO68" i="94"/>
  <c r="AO67" i="94"/>
  <c r="AO66" i="94"/>
  <c r="AO64" i="94"/>
  <c r="AO63" i="94"/>
  <c r="AO62" i="94"/>
  <c r="AO56" i="94"/>
  <c r="AO55" i="94"/>
  <c r="AO54" i="94"/>
  <c r="AO52" i="94"/>
  <c r="AO51" i="94"/>
  <c r="AO50" i="94"/>
  <c r="AO47" i="94"/>
  <c r="AM70" i="94"/>
  <c r="AO46" i="94"/>
  <c r="AO45" i="94"/>
  <c r="AO42" i="94"/>
  <c r="T19" i="94"/>
  <c r="AM40" i="94"/>
  <c r="AL40" i="94"/>
  <c r="AJ40" i="94"/>
  <c r="AK40" i="94"/>
  <c r="AL70" i="94"/>
  <c r="AO49" i="94"/>
  <c r="AO53" i="94"/>
  <c r="AO57" i="94"/>
  <c r="AO61" i="94"/>
  <c r="AO65" i="94"/>
  <c r="AO69" i="94"/>
  <c r="AO58" i="94"/>
  <c r="AN70" i="94"/>
  <c r="AO59" i="94"/>
  <c r="AK70" i="94"/>
  <c r="AO60" i="94"/>
  <c r="E7" i="92"/>
  <c r="E6" i="92"/>
  <c r="E5" i="92"/>
  <c r="E3" i="92"/>
  <c r="E4" i="92"/>
  <c r="AP58" i="20"/>
  <c r="AP59" i="20"/>
  <c r="AP60" i="20"/>
  <c r="AP61" i="20"/>
  <c r="AT58" i="20"/>
  <c r="AT59" i="20"/>
  <c r="AT60" i="20"/>
  <c r="AT61" i="20"/>
  <c r="AP78" i="20"/>
  <c r="AT78" i="20"/>
  <c r="AP79" i="20"/>
  <c r="AT79" i="20"/>
  <c r="AP80" i="20"/>
  <c r="AT80" i="20"/>
  <c r="AP74" i="20"/>
  <c r="AT74" i="20"/>
  <c r="AP75" i="20"/>
  <c r="AT75" i="20"/>
  <c r="AP73" i="20"/>
  <c r="AT73" i="20"/>
  <c r="B50" i="92"/>
  <c r="B49" i="92"/>
  <c r="B48" i="92"/>
  <c r="B47" i="92"/>
  <c r="B46" i="92"/>
  <c r="B45" i="92"/>
  <c r="B44" i="92"/>
  <c r="T204" i="14"/>
  <c r="AD204" i="14"/>
  <c r="AE204" i="14"/>
  <c r="T222" i="14"/>
  <c r="AE222" i="14"/>
  <c r="T206" i="14"/>
  <c r="AE206" i="14"/>
  <c r="T208" i="14"/>
  <c r="AE208" i="14"/>
  <c r="B41" i="92"/>
  <c r="B40" i="92"/>
  <c r="B39" i="92"/>
  <c r="B38" i="92"/>
  <c r="B37" i="92"/>
  <c r="B36" i="92"/>
  <c r="B35" i="92"/>
  <c r="B34" i="92"/>
  <c r="B33" i="92"/>
  <c r="B32" i="92"/>
  <c r="B31" i="92"/>
  <c r="B30" i="92"/>
  <c r="B29" i="92"/>
  <c r="B28" i="92"/>
  <c r="B27" i="92"/>
  <c r="B26" i="92"/>
  <c r="AP67" i="20"/>
  <c r="AT67" i="20"/>
  <c r="AP63" i="20"/>
  <c r="AT63" i="20"/>
  <c r="W2" i="43"/>
  <c r="W3" i="43"/>
  <c r="Z10" i="43"/>
  <c r="AA10" i="43"/>
  <c r="Z11" i="43"/>
  <c r="AA11" i="43"/>
  <c r="Z12" i="43"/>
  <c r="AA12" i="43"/>
  <c r="Z13" i="43"/>
  <c r="AA13" i="43"/>
  <c r="Z14" i="43"/>
  <c r="AA14" i="43"/>
  <c r="Z15" i="43"/>
  <c r="AA15" i="43"/>
  <c r="Z16" i="43"/>
  <c r="AA16" i="43"/>
  <c r="Z17" i="43"/>
  <c r="AA17" i="43"/>
  <c r="Z18" i="43"/>
  <c r="AA18" i="43"/>
  <c r="Z19" i="43"/>
  <c r="AA19" i="43"/>
  <c r="AP76" i="20"/>
  <c r="AT76" i="20"/>
  <c r="AP77" i="20"/>
  <c r="AT77" i="20"/>
  <c r="N168" i="86"/>
  <c r="F168" i="86"/>
  <c r="E168" i="86"/>
  <c r="D168" i="86"/>
  <c r="C168" i="86"/>
  <c r="B168" i="86"/>
  <c r="N167" i="86"/>
  <c r="F167" i="86"/>
  <c r="E167" i="86"/>
  <c r="D167" i="86"/>
  <c r="C167" i="86"/>
  <c r="B167" i="86"/>
  <c r="N166" i="86"/>
  <c r="F166" i="86"/>
  <c r="E166" i="86"/>
  <c r="D166" i="86"/>
  <c r="C166" i="86"/>
  <c r="B166" i="86"/>
  <c r="N165" i="86"/>
  <c r="F165" i="86"/>
  <c r="E165" i="86"/>
  <c r="D165" i="86"/>
  <c r="C165" i="86"/>
  <c r="B165" i="86"/>
  <c r="N164" i="86"/>
  <c r="F164" i="86"/>
  <c r="E164" i="86"/>
  <c r="D164" i="86"/>
  <c r="C164" i="86"/>
  <c r="B164" i="86"/>
  <c r="N163" i="86"/>
  <c r="F163" i="86"/>
  <c r="E163" i="86"/>
  <c r="D163" i="86"/>
  <c r="C163" i="86"/>
  <c r="B163" i="86"/>
  <c r="N162" i="86"/>
  <c r="F162" i="86"/>
  <c r="E162" i="86"/>
  <c r="D162" i="86"/>
  <c r="C162" i="86"/>
  <c r="B162" i="86"/>
  <c r="N161" i="86"/>
  <c r="F161" i="86"/>
  <c r="E161" i="86"/>
  <c r="D161" i="86"/>
  <c r="C161" i="86"/>
  <c r="B161" i="86"/>
  <c r="N160" i="86"/>
  <c r="F160" i="86"/>
  <c r="E160" i="86"/>
  <c r="D160" i="86"/>
  <c r="C160" i="86"/>
  <c r="B160" i="86"/>
  <c r="N159" i="86"/>
  <c r="F159" i="86"/>
  <c r="E159" i="86"/>
  <c r="D159" i="86"/>
  <c r="C159" i="86"/>
  <c r="B159" i="86"/>
  <c r="N158" i="86"/>
  <c r="F158" i="86"/>
  <c r="E158" i="86"/>
  <c r="D158" i="86"/>
  <c r="C158" i="86"/>
  <c r="B158" i="86"/>
  <c r="N157" i="86"/>
  <c r="F157" i="86"/>
  <c r="E157" i="86"/>
  <c r="D157" i="86"/>
  <c r="C157" i="86"/>
  <c r="B157" i="86"/>
  <c r="N156" i="86"/>
  <c r="F156" i="86"/>
  <c r="E156" i="86"/>
  <c r="D156" i="86"/>
  <c r="C156" i="86"/>
  <c r="B156" i="86"/>
  <c r="N155" i="86"/>
  <c r="F155" i="86"/>
  <c r="E155" i="86"/>
  <c r="D155" i="86"/>
  <c r="C155" i="86"/>
  <c r="B155" i="86"/>
  <c r="N154" i="86"/>
  <c r="F154" i="86"/>
  <c r="E154" i="86"/>
  <c r="D154" i="86"/>
  <c r="C154" i="86"/>
  <c r="B154" i="86"/>
  <c r="N153" i="86"/>
  <c r="F153" i="86"/>
  <c r="E153" i="86"/>
  <c r="D153" i="86"/>
  <c r="C153" i="86"/>
  <c r="B153" i="86"/>
  <c r="N152" i="86"/>
  <c r="F152" i="86"/>
  <c r="E152" i="86"/>
  <c r="D152" i="86"/>
  <c r="C152" i="86"/>
  <c r="B152" i="86"/>
  <c r="N151" i="86"/>
  <c r="F151" i="86"/>
  <c r="E151" i="86"/>
  <c r="D151" i="86"/>
  <c r="C151" i="86"/>
  <c r="B151" i="86"/>
  <c r="N150" i="86"/>
  <c r="F150" i="86"/>
  <c r="E150" i="86"/>
  <c r="D150" i="86"/>
  <c r="C150" i="86"/>
  <c r="B150" i="86"/>
  <c r="N149" i="86"/>
  <c r="F149" i="86"/>
  <c r="E149" i="86"/>
  <c r="D149" i="86"/>
  <c r="C149" i="86"/>
  <c r="B149" i="86"/>
  <c r="N148" i="86"/>
  <c r="F148" i="86"/>
  <c r="E148" i="86"/>
  <c r="D148" i="86"/>
  <c r="C148" i="86"/>
  <c r="B148" i="86"/>
  <c r="N147" i="86"/>
  <c r="F147" i="86"/>
  <c r="E147" i="86"/>
  <c r="D147" i="86"/>
  <c r="C147" i="86"/>
  <c r="B147" i="86"/>
  <c r="N146" i="86"/>
  <c r="F146" i="86"/>
  <c r="E146" i="86"/>
  <c r="D146" i="86"/>
  <c r="C146" i="86"/>
  <c r="B146" i="86"/>
  <c r="N145" i="86"/>
  <c r="F145" i="86"/>
  <c r="E145" i="86"/>
  <c r="D145" i="86"/>
  <c r="C145" i="86"/>
  <c r="B145" i="86"/>
  <c r="N144" i="86"/>
  <c r="F144" i="86"/>
  <c r="E144" i="86"/>
  <c r="D144" i="86"/>
  <c r="C144" i="86"/>
  <c r="B144" i="86"/>
  <c r="N143" i="86"/>
  <c r="F143" i="86"/>
  <c r="E143" i="86"/>
  <c r="D143" i="86"/>
  <c r="C143" i="86"/>
  <c r="B143" i="86"/>
  <c r="N142" i="86"/>
  <c r="F142" i="86"/>
  <c r="E142" i="86"/>
  <c r="D142" i="86"/>
  <c r="C142" i="86"/>
  <c r="B142" i="86"/>
  <c r="N141" i="86"/>
  <c r="F141" i="86"/>
  <c r="E141" i="86"/>
  <c r="D141" i="86"/>
  <c r="C141" i="86"/>
  <c r="B141" i="86"/>
  <c r="N140" i="86"/>
  <c r="F140" i="86"/>
  <c r="E140" i="86"/>
  <c r="D140" i="86"/>
  <c r="C140" i="86"/>
  <c r="B140" i="86"/>
  <c r="N139" i="86"/>
  <c r="F139" i="86"/>
  <c r="E139" i="86"/>
  <c r="D139" i="86"/>
  <c r="C139" i="86"/>
  <c r="B139" i="86"/>
  <c r="N138" i="86"/>
  <c r="F138" i="86"/>
  <c r="E138" i="86"/>
  <c r="D138" i="86"/>
  <c r="C138" i="86"/>
  <c r="B138" i="86"/>
  <c r="N137" i="86"/>
  <c r="F137" i="86"/>
  <c r="E137" i="86"/>
  <c r="D137" i="86"/>
  <c r="C137" i="86"/>
  <c r="B137" i="86"/>
  <c r="N136" i="86"/>
  <c r="F136" i="86"/>
  <c r="E136" i="86"/>
  <c r="D136" i="86"/>
  <c r="C136" i="86"/>
  <c r="B136" i="86"/>
  <c r="N135" i="86"/>
  <c r="F135" i="86"/>
  <c r="E135" i="86"/>
  <c r="D135" i="86"/>
  <c r="C135" i="86"/>
  <c r="B135" i="86"/>
  <c r="N134" i="86"/>
  <c r="F134" i="86"/>
  <c r="E134" i="86"/>
  <c r="D134" i="86"/>
  <c r="C134" i="86"/>
  <c r="B134" i="86"/>
  <c r="N133" i="86"/>
  <c r="F133" i="86"/>
  <c r="E133" i="86"/>
  <c r="D133" i="86"/>
  <c r="C133" i="86"/>
  <c r="B133" i="86"/>
  <c r="N132" i="86"/>
  <c r="F132" i="86"/>
  <c r="E132" i="86"/>
  <c r="D132" i="86"/>
  <c r="C132" i="86"/>
  <c r="B132" i="86"/>
  <c r="N131" i="86"/>
  <c r="F131" i="86"/>
  <c r="E131" i="86"/>
  <c r="D131" i="86"/>
  <c r="C131" i="86"/>
  <c r="B131" i="86"/>
  <c r="N130" i="86"/>
  <c r="F130" i="86"/>
  <c r="E130" i="86"/>
  <c r="D130" i="86"/>
  <c r="C130" i="86"/>
  <c r="B130" i="86"/>
  <c r="N129" i="86"/>
  <c r="F129" i="86"/>
  <c r="E129" i="86"/>
  <c r="D129" i="86"/>
  <c r="C129" i="86"/>
  <c r="B129" i="86"/>
  <c r="N128" i="86"/>
  <c r="F128" i="86"/>
  <c r="E128" i="86"/>
  <c r="D128" i="86"/>
  <c r="C128" i="86"/>
  <c r="B128" i="86"/>
  <c r="N127" i="86"/>
  <c r="F127" i="86"/>
  <c r="E127" i="86"/>
  <c r="D127" i="86"/>
  <c r="C127" i="86"/>
  <c r="B127" i="86"/>
  <c r="N126" i="86"/>
  <c r="F126" i="86"/>
  <c r="E126" i="86"/>
  <c r="D126" i="86"/>
  <c r="C126" i="86"/>
  <c r="B126" i="86"/>
  <c r="N125" i="86"/>
  <c r="F125" i="86"/>
  <c r="E125" i="86"/>
  <c r="D125" i="86"/>
  <c r="C125" i="86"/>
  <c r="B125" i="86"/>
  <c r="N124" i="86"/>
  <c r="F124" i="86"/>
  <c r="E124" i="86"/>
  <c r="D124" i="86"/>
  <c r="C124" i="86"/>
  <c r="B124" i="86"/>
  <c r="N123" i="86"/>
  <c r="F123" i="86"/>
  <c r="E123" i="86"/>
  <c r="D123" i="86"/>
  <c r="C123" i="86"/>
  <c r="B123" i="86"/>
  <c r="N122" i="86"/>
  <c r="F122" i="86"/>
  <c r="E122" i="86"/>
  <c r="D122" i="86"/>
  <c r="C122" i="86"/>
  <c r="B122" i="86"/>
  <c r="N121" i="86"/>
  <c r="F121" i="86"/>
  <c r="E121" i="86"/>
  <c r="D121" i="86"/>
  <c r="C121" i="86"/>
  <c r="B121" i="86"/>
  <c r="N120" i="86"/>
  <c r="F120" i="86"/>
  <c r="E120" i="86"/>
  <c r="D120" i="86"/>
  <c r="C120" i="86"/>
  <c r="B120" i="86"/>
  <c r="N119" i="86"/>
  <c r="F119" i="86"/>
  <c r="E119" i="86"/>
  <c r="D119" i="86"/>
  <c r="C119" i="86"/>
  <c r="B119" i="86"/>
  <c r="N118" i="86"/>
  <c r="F118" i="86"/>
  <c r="E118" i="86"/>
  <c r="D118" i="86"/>
  <c r="C118" i="86"/>
  <c r="B118" i="86"/>
  <c r="N117" i="86"/>
  <c r="F117" i="86"/>
  <c r="E117" i="86"/>
  <c r="D117" i="86"/>
  <c r="C117" i="86"/>
  <c r="B117" i="86"/>
  <c r="N116" i="86"/>
  <c r="F116" i="86"/>
  <c r="E116" i="86"/>
  <c r="D116" i="86"/>
  <c r="C116" i="86"/>
  <c r="B116" i="86"/>
  <c r="N115" i="86"/>
  <c r="F115" i="86"/>
  <c r="E115" i="86"/>
  <c r="D115" i="86"/>
  <c r="C115" i="86"/>
  <c r="B115" i="86"/>
  <c r="N114" i="86"/>
  <c r="F114" i="86"/>
  <c r="E114" i="86"/>
  <c r="D114" i="86"/>
  <c r="C114" i="86"/>
  <c r="B114" i="86"/>
  <c r="N113" i="86"/>
  <c r="F113" i="86"/>
  <c r="E113" i="86"/>
  <c r="D113" i="86"/>
  <c r="C113" i="86"/>
  <c r="B113" i="86"/>
  <c r="N112" i="86"/>
  <c r="F112" i="86"/>
  <c r="E112" i="86"/>
  <c r="D112" i="86"/>
  <c r="C112" i="86"/>
  <c r="B112" i="86"/>
  <c r="N111" i="86"/>
  <c r="F111" i="86"/>
  <c r="E111" i="86"/>
  <c r="D111" i="86"/>
  <c r="C111" i="86"/>
  <c r="B111" i="86"/>
  <c r="N110" i="86"/>
  <c r="F110" i="86"/>
  <c r="E110" i="86"/>
  <c r="D110" i="86"/>
  <c r="C110" i="86"/>
  <c r="B110" i="86"/>
  <c r="N109" i="86"/>
  <c r="F109" i="86"/>
  <c r="E109" i="86"/>
  <c r="D109" i="86"/>
  <c r="C109" i="86"/>
  <c r="B109" i="86"/>
  <c r="N108" i="86"/>
  <c r="F108" i="86"/>
  <c r="E108" i="86"/>
  <c r="D108" i="86"/>
  <c r="C108" i="86"/>
  <c r="B108" i="86"/>
  <c r="N107" i="86"/>
  <c r="F107" i="86"/>
  <c r="E107" i="86"/>
  <c r="D107" i="86"/>
  <c r="C107" i="86"/>
  <c r="B107" i="86"/>
  <c r="N106" i="86"/>
  <c r="F106" i="86"/>
  <c r="E106" i="86"/>
  <c r="D106" i="86"/>
  <c r="C106" i="86"/>
  <c r="B106" i="86"/>
  <c r="N105" i="86"/>
  <c r="F105" i="86"/>
  <c r="E105" i="86"/>
  <c r="D105" i="86"/>
  <c r="C105" i="86"/>
  <c r="B105" i="86"/>
  <c r="N104" i="86"/>
  <c r="F104" i="86"/>
  <c r="E104" i="86"/>
  <c r="D104" i="86"/>
  <c r="C104" i="86"/>
  <c r="B104" i="86"/>
  <c r="N103" i="86"/>
  <c r="F103" i="86"/>
  <c r="E103" i="86"/>
  <c r="D103" i="86"/>
  <c r="C103" i="86"/>
  <c r="B103" i="86"/>
  <c r="N102" i="86"/>
  <c r="F102" i="86"/>
  <c r="E102" i="86"/>
  <c r="D102" i="86"/>
  <c r="C102" i="86"/>
  <c r="B102" i="86"/>
  <c r="N101" i="86"/>
  <c r="F101" i="86"/>
  <c r="E101" i="86"/>
  <c r="D101" i="86"/>
  <c r="C101" i="86"/>
  <c r="B101" i="86"/>
  <c r="N100" i="86"/>
  <c r="F100" i="86"/>
  <c r="E100" i="86"/>
  <c r="D100" i="86"/>
  <c r="C100" i="86"/>
  <c r="B100" i="86"/>
  <c r="N99" i="86"/>
  <c r="F99" i="86"/>
  <c r="E99" i="86"/>
  <c r="D99" i="86"/>
  <c r="C99" i="86"/>
  <c r="B99" i="86"/>
  <c r="N98" i="86"/>
  <c r="F98" i="86"/>
  <c r="E98" i="86"/>
  <c r="D98" i="86"/>
  <c r="C98" i="86"/>
  <c r="B98" i="86"/>
  <c r="N97" i="86"/>
  <c r="F97" i="86"/>
  <c r="E97" i="86"/>
  <c r="D97" i="86"/>
  <c r="C97" i="86"/>
  <c r="B97" i="86"/>
  <c r="N96" i="86"/>
  <c r="F96" i="86"/>
  <c r="E96" i="86"/>
  <c r="D96" i="86"/>
  <c r="C96" i="86"/>
  <c r="B96" i="86"/>
  <c r="N95" i="86"/>
  <c r="F95" i="86"/>
  <c r="E95" i="86"/>
  <c r="D95" i="86"/>
  <c r="C95" i="86"/>
  <c r="B95" i="86"/>
  <c r="N94" i="86"/>
  <c r="F94" i="86"/>
  <c r="E94" i="86"/>
  <c r="D94" i="86"/>
  <c r="C94" i="86"/>
  <c r="B94" i="86"/>
  <c r="N93" i="86"/>
  <c r="F93" i="86"/>
  <c r="E93" i="86"/>
  <c r="D93" i="86"/>
  <c r="C93" i="86"/>
  <c r="B93" i="86"/>
  <c r="N92" i="86"/>
  <c r="F92" i="86"/>
  <c r="E92" i="86"/>
  <c r="D92" i="86"/>
  <c r="C92" i="86"/>
  <c r="B92" i="86"/>
  <c r="N91" i="86"/>
  <c r="F91" i="86"/>
  <c r="E91" i="86"/>
  <c r="D91" i="86"/>
  <c r="C91" i="86"/>
  <c r="B91" i="86"/>
  <c r="N90" i="86"/>
  <c r="F90" i="86"/>
  <c r="E90" i="86"/>
  <c r="D90" i="86"/>
  <c r="C90" i="86"/>
  <c r="B90" i="86"/>
  <c r="N89" i="86"/>
  <c r="F89" i="86"/>
  <c r="E89" i="86"/>
  <c r="D89" i="86"/>
  <c r="C89" i="86"/>
  <c r="B89" i="86"/>
  <c r="N88" i="86"/>
  <c r="F88" i="86"/>
  <c r="E88" i="86"/>
  <c r="D88" i="86"/>
  <c r="C88" i="86"/>
  <c r="B88" i="86"/>
  <c r="N87" i="86"/>
  <c r="F87" i="86"/>
  <c r="E87" i="86"/>
  <c r="D87" i="86"/>
  <c r="C87" i="86"/>
  <c r="B87" i="86"/>
  <c r="N86" i="86"/>
  <c r="F86" i="86"/>
  <c r="E86" i="86"/>
  <c r="D86" i="86"/>
  <c r="C86" i="86"/>
  <c r="B86" i="86"/>
  <c r="N85" i="86"/>
  <c r="F85" i="86"/>
  <c r="E85" i="86"/>
  <c r="D85" i="86"/>
  <c r="C85" i="86"/>
  <c r="B85" i="86"/>
  <c r="N84" i="86"/>
  <c r="F84" i="86"/>
  <c r="E84" i="86"/>
  <c r="D84" i="86"/>
  <c r="C84" i="86"/>
  <c r="B84" i="86"/>
  <c r="N83" i="86"/>
  <c r="F83" i="86"/>
  <c r="E83" i="86"/>
  <c r="D83" i="86"/>
  <c r="C83" i="86"/>
  <c r="B83" i="86"/>
  <c r="N82" i="86"/>
  <c r="F82" i="86"/>
  <c r="E82" i="86"/>
  <c r="D82" i="86"/>
  <c r="C82" i="86"/>
  <c r="B82" i="86"/>
  <c r="N81" i="86"/>
  <c r="F81" i="86"/>
  <c r="E81" i="86"/>
  <c r="D81" i="86"/>
  <c r="C81" i="86"/>
  <c r="B81" i="86"/>
  <c r="N80" i="86"/>
  <c r="F80" i="86"/>
  <c r="E80" i="86"/>
  <c r="D80" i="86"/>
  <c r="C80" i="86"/>
  <c r="B80" i="86"/>
  <c r="N79" i="86"/>
  <c r="F79" i="86"/>
  <c r="E79" i="86"/>
  <c r="D79" i="86"/>
  <c r="C79" i="86"/>
  <c r="B79" i="86"/>
  <c r="N78" i="86"/>
  <c r="F78" i="86"/>
  <c r="E78" i="86"/>
  <c r="D78" i="86"/>
  <c r="C78" i="86"/>
  <c r="B78" i="86"/>
  <c r="N77" i="86"/>
  <c r="F77" i="86"/>
  <c r="E77" i="86"/>
  <c r="D77" i="86"/>
  <c r="C77" i="86"/>
  <c r="B77" i="86"/>
  <c r="N76" i="86"/>
  <c r="F76" i="86"/>
  <c r="E76" i="86"/>
  <c r="D76" i="86"/>
  <c r="C76" i="86"/>
  <c r="B76" i="86"/>
  <c r="N75" i="86"/>
  <c r="F75" i="86"/>
  <c r="E75" i="86"/>
  <c r="D75" i="86"/>
  <c r="C75" i="86"/>
  <c r="B75" i="86"/>
  <c r="N74" i="86"/>
  <c r="F74" i="86"/>
  <c r="E74" i="86"/>
  <c r="D74" i="86"/>
  <c r="C74" i="86"/>
  <c r="B74" i="86"/>
  <c r="N73" i="86"/>
  <c r="F73" i="86"/>
  <c r="E73" i="86"/>
  <c r="D73" i="86"/>
  <c r="C73" i="86"/>
  <c r="B73" i="86"/>
  <c r="N72" i="86"/>
  <c r="F72" i="86"/>
  <c r="E72" i="86"/>
  <c r="D72" i="86"/>
  <c r="C72" i="86"/>
  <c r="B72" i="86"/>
  <c r="N71" i="86"/>
  <c r="F71" i="86"/>
  <c r="E71" i="86"/>
  <c r="D71" i="86"/>
  <c r="C71" i="86"/>
  <c r="B71" i="86"/>
  <c r="N70" i="86"/>
  <c r="F70" i="86"/>
  <c r="E70" i="86"/>
  <c r="D70" i="86"/>
  <c r="C70" i="86"/>
  <c r="B70" i="86"/>
  <c r="N69" i="86"/>
  <c r="F69" i="86"/>
  <c r="E69" i="86"/>
  <c r="D69" i="86"/>
  <c r="C69" i="86"/>
  <c r="B69" i="86"/>
  <c r="N68" i="86"/>
  <c r="F68" i="86"/>
  <c r="E68" i="86"/>
  <c r="D68" i="86"/>
  <c r="C68" i="86"/>
  <c r="B68" i="86"/>
  <c r="N67" i="86"/>
  <c r="F67" i="86"/>
  <c r="E67" i="86"/>
  <c r="D67" i="86"/>
  <c r="C67" i="86"/>
  <c r="B67" i="86"/>
  <c r="N66" i="86"/>
  <c r="F66" i="86"/>
  <c r="E66" i="86"/>
  <c r="D66" i="86"/>
  <c r="C66" i="86"/>
  <c r="B66" i="86"/>
  <c r="N65" i="86"/>
  <c r="F65" i="86"/>
  <c r="E65" i="86"/>
  <c r="D65" i="86"/>
  <c r="C65" i="86"/>
  <c r="B65" i="86"/>
  <c r="N64" i="86"/>
  <c r="F64" i="86"/>
  <c r="E64" i="86"/>
  <c r="D64" i="86"/>
  <c r="C64" i="86"/>
  <c r="B64" i="86"/>
  <c r="N63" i="86"/>
  <c r="F63" i="86"/>
  <c r="E63" i="86"/>
  <c r="D63" i="86"/>
  <c r="C63" i="86"/>
  <c r="B63" i="86"/>
  <c r="N62" i="86"/>
  <c r="F62" i="86"/>
  <c r="E62" i="86"/>
  <c r="D62" i="86"/>
  <c r="C62" i="86"/>
  <c r="B62" i="86"/>
  <c r="N61" i="86"/>
  <c r="F61" i="86"/>
  <c r="E61" i="86"/>
  <c r="D61" i="86"/>
  <c r="C61" i="86"/>
  <c r="B61" i="86"/>
  <c r="N60" i="86"/>
  <c r="F60" i="86"/>
  <c r="E60" i="86"/>
  <c r="D60" i="86"/>
  <c r="C60" i="86"/>
  <c r="B60" i="86"/>
  <c r="N59" i="86"/>
  <c r="F59" i="86"/>
  <c r="E59" i="86"/>
  <c r="D59" i="86"/>
  <c r="C59" i="86"/>
  <c r="B59" i="86"/>
  <c r="N58" i="86"/>
  <c r="F58" i="86"/>
  <c r="E58" i="86"/>
  <c r="D58" i="86"/>
  <c r="C58" i="86"/>
  <c r="B58" i="86"/>
  <c r="N57" i="86"/>
  <c r="F57" i="86"/>
  <c r="E57" i="86"/>
  <c r="D57" i="86"/>
  <c r="C57" i="86"/>
  <c r="B57" i="86"/>
  <c r="N56" i="86"/>
  <c r="F56" i="86"/>
  <c r="E56" i="86"/>
  <c r="D56" i="86"/>
  <c r="C56" i="86"/>
  <c r="B56" i="86"/>
  <c r="N55" i="86"/>
  <c r="F55" i="86"/>
  <c r="E55" i="86"/>
  <c r="D55" i="86"/>
  <c r="C55" i="86"/>
  <c r="B55" i="86"/>
  <c r="N54" i="86"/>
  <c r="F54" i="86"/>
  <c r="E54" i="86"/>
  <c r="D54" i="86"/>
  <c r="C54" i="86"/>
  <c r="B54" i="86"/>
  <c r="N53" i="86"/>
  <c r="F53" i="86"/>
  <c r="E53" i="86"/>
  <c r="D53" i="86"/>
  <c r="C53" i="86"/>
  <c r="B53" i="86"/>
  <c r="N52" i="86"/>
  <c r="F52" i="86"/>
  <c r="E52" i="86"/>
  <c r="D52" i="86"/>
  <c r="C52" i="86"/>
  <c r="B52" i="86"/>
  <c r="N51" i="86"/>
  <c r="F51" i="86"/>
  <c r="E51" i="86"/>
  <c r="D51" i="86"/>
  <c r="C51" i="86"/>
  <c r="B51" i="86"/>
  <c r="N50" i="86"/>
  <c r="F50" i="86"/>
  <c r="E50" i="86"/>
  <c r="D50" i="86"/>
  <c r="C50" i="86"/>
  <c r="B50" i="86"/>
  <c r="N49" i="86"/>
  <c r="F49" i="86"/>
  <c r="E49" i="86"/>
  <c r="D49" i="86"/>
  <c r="C49" i="86"/>
  <c r="B49" i="86"/>
  <c r="N48" i="86"/>
  <c r="F48" i="86"/>
  <c r="E48" i="86"/>
  <c r="D48" i="86"/>
  <c r="C48" i="86"/>
  <c r="B48" i="86"/>
  <c r="N47" i="86"/>
  <c r="F47" i="86"/>
  <c r="E47" i="86"/>
  <c r="D47" i="86"/>
  <c r="C47" i="86"/>
  <c r="B47" i="86"/>
  <c r="N46" i="86"/>
  <c r="F46" i="86"/>
  <c r="E46" i="86"/>
  <c r="D46" i="86"/>
  <c r="C46" i="86"/>
  <c r="B46" i="86"/>
  <c r="N45" i="86"/>
  <c r="F45" i="86"/>
  <c r="E45" i="86"/>
  <c r="D45" i="86"/>
  <c r="C45" i="86"/>
  <c r="B45" i="86"/>
  <c r="N44" i="86"/>
  <c r="F44" i="86"/>
  <c r="E44" i="86"/>
  <c r="D44" i="86"/>
  <c r="C44" i="86"/>
  <c r="B44" i="86"/>
  <c r="N43" i="86"/>
  <c r="F43" i="86"/>
  <c r="E43" i="86"/>
  <c r="D43" i="86"/>
  <c r="C43" i="86"/>
  <c r="B43" i="86"/>
  <c r="N42" i="86"/>
  <c r="F42" i="86"/>
  <c r="E42" i="86"/>
  <c r="D42" i="86"/>
  <c r="C42" i="86"/>
  <c r="B42" i="86"/>
  <c r="N41" i="86"/>
  <c r="F41" i="86"/>
  <c r="E41" i="86"/>
  <c r="D41" i="86"/>
  <c r="C41" i="86"/>
  <c r="B41" i="86"/>
  <c r="N40" i="86"/>
  <c r="F40" i="86"/>
  <c r="E40" i="86"/>
  <c r="D40" i="86"/>
  <c r="C40" i="86"/>
  <c r="B40" i="86"/>
  <c r="N39" i="86"/>
  <c r="F39" i="86"/>
  <c r="E39" i="86"/>
  <c r="D39" i="86"/>
  <c r="C39" i="86"/>
  <c r="B39" i="86"/>
  <c r="N38" i="86"/>
  <c r="F38" i="86"/>
  <c r="E38" i="86"/>
  <c r="D38" i="86"/>
  <c r="C38" i="86"/>
  <c r="B38" i="86"/>
  <c r="N37" i="86"/>
  <c r="F37" i="86"/>
  <c r="E37" i="86"/>
  <c r="D37" i="86"/>
  <c r="C37" i="86"/>
  <c r="B37" i="86"/>
  <c r="N36" i="86"/>
  <c r="F36" i="86"/>
  <c r="E36" i="86"/>
  <c r="D36" i="86"/>
  <c r="C36" i="86"/>
  <c r="B36" i="86"/>
  <c r="N35" i="86"/>
  <c r="F35" i="86"/>
  <c r="E35" i="86"/>
  <c r="D35" i="86"/>
  <c r="C35" i="86"/>
  <c r="B35" i="86"/>
  <c r="N34" i="86"/>
  <c r="F34" i="86"/>
  <c r="E34" i="86"/>
  <c r="D34" i="86"/>
  <c r="C34" i="86"/>
  <c r="B34" i="86"/>
  <c r="N33" i="86"/>
  <c r="F33" i="86"/>
  <c r="E33" i="86"/>
  <c r="D33" i="86"/>
  <c r="C33" i="86"/>
  <c r="B33" i="86"/>
  <c r="N32" i="86"/>
  <c r="F32" i="86"/>
  <c r="E32" i="86"/>
  <c r="D32" i="86"/>
  <c r="C32" i="86"/>
  <c r="B32" i="86"/>
  <c r="N31" i="86"/>
  <c r="F31" i="86"/>
  <c r="E31" i="86"/>
  <c r="D31" i="86"/>
  <c r="C31" i="86"/>
  <c r="B31" i="86"/>
  <c r="N30" i="86"/>
  <c r="F30" i="86"/>
  <c r="E30" i="86"/>
  <c r="D30" i="86"/>
  <c r="C30" i="86"/>
  <c r="B30" i="86"/>
  <c r="N29" i="86"/>
  <c r="F29" i="86"/>
  <c r="E29" i="86"/>
  <c r="D29" i="86"/>
  <c r="C29" i="86"/>
  <c r="B29" i="86"/>
  <c r="N28" i="86"/>
  <c r="F28" i="86"/>
  <c r="E28" i="86"/>
  <c r="D28" i="86"/>
  <c r="C28" i="86"/>
  <c r="B28" i="86"/>
  <c r="N27" i="86"/>
  <c r="F27" i="86"/>
  <c r="E27" i="86"/>
  <c r="D27" i="86"/>
  <c r="C27" i="86"/>
  <c r="B27" i="86"/>
  <c r="N26" i="86"/>
  <c r="F26" i="86"/>
  <c r="E26" i="86"/>
  <c r="D26" i="86"/>
  <c r="C26" i="86"/>
  <c r="B26" i="86"/>
  <c r="N25" i="86"/>
  <c r="F25" i="86"/>
  <c r="E25" i="86"/>
  <c r="D25" i="86"/>
  <c r="C25" i="86"/>
  <c r="B25" i="86"/>
  <c r="N24" i="86"/>
  <c r="F24" i="86"/>
  <c r="E24" i="86"/>
  <c r="D24" i="86"/>
  <c r="C24" i="86"/>
  <c r="B24" i="86"/>
  <c r="N23" i="86"/>
  <c r="F23" i="86"/>
  <c r="E23" i="86"/>
  <c r="D23" i="86"/>
  <c r="C23" i="86"/>
  <c r="B23" i="86"/>
  <c r="N22" i="86"/>
  <c r="F22" i="86"/>
  <c r="E22" i="86"/>
  <c r="D22" i="86"/>
  <c r="C22" i="86"/>
  <c r="B22" i="86"/>
  <c r="N21" i="86"/>
  <c r="F21" i="86"/>
  <c r="E21" i="86"/>
  <c r="D21" i="86"/>
  <c r="C21" i="86"/>
  <c r="B21" i="86"/>
  <c r="N20" i="86"/>
  <c r="F20" i="86"/>
  <c r="E20" i="86"/>
  <c r="D20" i="86"/>
  <c r="C20" i="86"/>
  <c r="B20" i="86"/>
  <c r="N19" i="86"/>
  <c r="F19" i="86"/>
  <c r="E19" i="86"/>
  <c r="D19" i="86"/>
  <c r="C19" i="86"/>
  <c r="B19" i="86"/>
  <c r="N18" i="86"/>
  <c r="F18" i="86"/>
  <c r="E18" i="86"/>
  <c r="D18" i="86"/>
  <c r="C18" i="86"/>
  <c r="B18" i="86"/>
  <c r="N17" i="86"/>
  <c r="F17" i="86"/>
  <c r="E17" i="86"/>
  <c r="D17" i="86"/>
  <c r="C17" i="86"/>
  <c r="B17" i="86"/>
  <c r="N16" i="86"/>
  <c r="F16" i="86"/>
  <c r="E16" i="86"/>
  <c r="D16" i="86"/>
  <c r="C16" i="86"/>
  <c r="B16" i="86"/>
  <c r="N15" i="86"/>
  <c r="F15" i="86"/>
  <c r="E15" i="86"/>
  <c r="D15" i="86"/>
  <c r="C15" i="86"/>
  <c r="B15" i="86"/>
  <c r="N14" i="86"/>
  <c r="F14" i="86"/>
  <c r="E14" i="86"/>
  <c r="D14" i="86"/>
  <c r="C14" i="86"/>
  <c r="B14" i="86"/>
  <c r="N13" i="86"/>
  <c r="F13" i="86"/>
  <c r="E13" i="86"/>
  <c r="D13" i="86"/>
  <c r="C13" i="86"/>
  <c r="B13" i="86"/>
  <c r="N12" i="86"/>
  <c r="F12" i="86"/>
  <c r="E12" i="86"/>
  <c r="D12" i="86"/>
  <c r="C12" i="86"/>
  <c r="B12" i="86"/>
  <c r="N11" i="86"/>
  <c r="F11" i="86"/>
  <c r="E11" i="86"/>
  <c r="D11" i="86"/>
  <c r="C11" i="86"/>
  <c r="B11" i="86"/>
  <c r="N10" i="86"/>
  <c r="F10" i="86"/>
  <c r="E10" i="86"/>
  <c r="D10" i="86"/>
  <c r="C10" i="86"/>
  <c r="B10" i="86"/>
  <c r="N9" i="86"/>
  <c r="F9" i="86"/>
  <c r="E9" i="86"/>
  <c r="D9" i="86"/>
  <c r="C9" i="86"/>
  <c r="B9" i="86"/>
  <c r="N8" i="86"/>
  <c r="F8" i="86"/>
  <c r="E8" i="86"/>
  <c r="D8" i="86"/>
  <c r="C8" i="86"/>
  <c r="B8" i="86"/>
  <c r="N7" i="86"/>
  <c r="F7" i="86"/>
  <c r="E7" i="86"/>
  <c r="D7" i="86"/>
  <c r="C7" i="86"/>
  <c r="B7" i="86"/>
  <c r="N6" i="86"/>
  <c r="F6" i="86"/>
  <c r="E6" i="86"/>
  <c r="D6" i="86"/>
  <c r="C6" i="86"/>
  <c r="B6" i="86"/>
  <c r="N5" i="86"/>
  <c r="F5" i="86"/>
  <c r="E5" i="86"/>
  <c r="D5" i="86"/>
  <c r="C5" i="86"/>
  <c r="B5" i="86"/>
  <c r="N4" i="86"/>
  <c r="F4" i="86"/>
  <c r="E4" i="86"/>
  <c r="D4" i="86"/>
  <c r="C4" i="86"/>
  <c r="B4" i="86"/>
  <c r="N3" i="86"/>
  <c r="F3" i="86"/>
  <c r="E3" i="86"/>
  <c r="D3" i="86"/>
  <c r="C3" i="86"/>
  <c r="B3" i="86"/>
  <c r="N2" i="86"/>
  <c r="F2" i="86"/>
  <c r="E2" i="86"/>
  <c r="D2" i="86"/>
  <c r="C2" i="86"/>
  <c r="B2" i="86"/>
  <c r="R1" i="86"/>
  <c r="AT6" i="20"/>
  <c r="AP6" i="20"/>
  <c r="AE6" i="20"/>
  <c r="AT8" i="20"/>
  <c r="AT7" i="20"/>
  <c r="AT10" i="20"/>
  <c r="AP10" i="20"/>
  <c r="AE10" i="20"/>
  <c r="AT9" i="20"/>
  <c r="AP9" i="20"/>
  <c r="AT12" i="20"/>
  <c r="AP12" i="20"/>
  <c r="AT11" i="20"/>
  <c r="AP11" i="20"/>
  <c r="AT13" i="20"/>
  <c r="AP13" i="20"/>
  <c r="AT19" i="20"/>
  <c r="AP19" i="20"/>
  <c r="AT18" i="20"/>
  <c r="AP18" i="20"/>
  <c r="AT17" i="20"/>
  <c r="AP17" i="20"/>
  <c r="AE17" i="20"/>
  <c r="AC17" i="20"/>
  <c r="AT16" i="20"/>
  <c r="AP16" i="20"/>
  <c r="AT15" i="20"/>
  <c r="AP15" i="20"/>
  <c r="AT14" i="20"/>
  <c r="AP14" i="20"/>
  <c r="AD14" i="20"/>
  <c r="AT22" i="20"/>
  <c r="AP22" i="20"/>
  <c r="AT21" i="20"/>
  <c r="AP21" i="20"/>
  <c r="AT20" i="20"/>
  <c r="AP20" i="20"/>
  <c r="AT23" i="20"/>
  <c r="AP23" i="20"/>
  <c r="AP24" i="20"/>
  <c r="AT26" i="20"/>
  <c r="AP26" i="20"/>
  <c r="AT25" i="20"/>
  <c r="AP25" i="20"/>
  <c r="AT27" i="20"/>
  <c r="AP27" i="20"/>
  <c r="AT28" i="20"/>
  <c r="AP28" i="20"/>
  <c r="AT29" i="20"/>
  <c r="AP29" i="20"/>
  <c r="AT34" i="20"/>
  <c r="AP34" i="20"/>
  <c r="AT33" i="20"/>
  <c r="AP33" i="20"/>
  <c r="AT32" i="20"/>
  <c r="AP32" i="20"/>
  <c r="AT31" i="20"/>
  <c r="AP31" i="20"/>
  <c r="AT30" i="20"/>
  <c r="AP30" i="20"/>
  <c r="AT39" i="20"/>
  <c r="AP39" i="20"/>
  <c r="AT38" i="20"/>
  <c r="AP38" i="20"/>
  <c r="AT37" i="20"/>
  <c r="AP37" i="20"/>
  <c r="AT36" i="20"/>
  <c r="AP36" i="20"/>
  <c r="AT35" i="20"/>
  <c r="AP35" i="20"/>
  <c r="AT42" i="20"/>
  <c r="AP42" i="20"/>
  <c r="AT41" i="20"/>
  <c r="AP41" i="20"/>
  <c r="AT40" i="20"/>
  <c r="AP40" i="20"/>
  <c r="AT43" i="20"/>
  <c r="AP43" i="20"/>
  <c r="AT45" i="20"/>
  <c r="AP45" i="20"/>
  <c r="AT44" i="20"/>
  <c r="AP44" i="20"/>
  <c r="AT47" i="20"/>
  <c r="AP47" i="20"/>
  <c r="AT46" i="20"/>
  <c r="AP46" i="20"/>
  <c r="AT49" i="20"/>
  <c r="AP49" i="20"/>
  <c r="AT48" i="20"/>
  <c r="AP48" i="20"/>
  <c r="AT50" i="20"/>
  <c r="AP50" i="20"/>
  <c r="AT51" i="20"/>
  <c r="AP51" i="20"/>
  <c r="AT52" i="20"/>
  <c r="AP52" i="20"/>
  <c r="AT53" i="20"/>
  <c r="AP53" i="20"/>
  <c r="AT54" i="20"/>
  <c r="AP54" i="20"/>
  <c r="AT55" i="20"/>
  <c r="AP55" i="20"/>
  <c r="AT56" i="20"/>
  <c r="AP56" i="20"/>
  <c r="AT57" i="20"/>
  <c r="AP57" i="20"/>
  <c r="AT62" i="20"/>
  <c r="AP62" i="20"/>
  <c r="AT64" i="20"/>
  <c r="AP64" i="20"/>
  <c r="AT65" i="20"/>
  <c r="AP65" i="20"/>
  <c r="AT66" i="20"/>
  <c r="AP66" i="20"/>
  <c r="AT68" i="20"/>
  <c r="AP68" i="20"/>
  <c r="AT72" i="20"/>
  <c r="AP72" i="20"/>
  <c r="AT71" i="20"/>
  <c r="AP71" i="20"/>
  <c r="AT70" i="20"/>
  <c r="AP70" i="20"/>
  <c r="AT69" i="20"/>
  <c r="AP69" i="20"/>
  <c r="CF32" i="62"/>
  <c r="CD32" i="62"/>
  <c r="CF31" i="62"/>
  <c r="CD31" i="62"/>
  <c r="CF29" i="62"/>
  <c r="CD29" i="62"/>
  <c r="CF28" i="62"/>
  <c r="CD28" i="62"/>
  <c r="CF27" i="62"/>
  <c r="CD27" i="62"/>
  <c r="CD26" i="62"/>
  <c r="CD25" i="62"/>
  <c r="CD24" i="62"/>
  <c r="CD23" i="62"/>
  <c r="CD22" i="62"/>
  <c r="CD21" i="62"/>
  <c r="CD20" i="62"/>
  <c r="CF19" i="62"/>
  <c r="CD19" i="62"/>
  <c r="CF18" i="62"/>
  <c r="CD18" i="62"/>
  <c r="CF17" i="62"/>
  <c r="CD17" i="62"/>
  <c r="AF26" i="66"/>
  <c r="AE26" i="66"/>
  <c r="AF25" i="66"/>
  <c r="AE25" i="66"/>
  <c r="AA25" i="66"/>
  <c r="AF24" i="66"/>
  <c r="AE24" i="66"/>
  <c r="AA24" i="66"/>
  <c r="AF23" i="66"/>
  <c r="AE23" i="66"/>
  <c r="AA23" i="66"/>
  <c r="AF22" i="66"/>
  <c r="AE22" i="66"/>
  <c r="AA22" i="66"/>
  <c r="AF21" i="66"/>
  <c r="AE21" i="66"/>
  <c r="AA21" i="66"/>
  <c r="AF20" i="66"/>
  <c r="AE20" i="66"/>
  <c r="AA20" i="66"/>
  <c r="AF19" i="66"/>
  <c r="AE19" i="66"/>
  <c r="AA19" i="66"/>
  <c r="AF18" i="66"/>
  <c r="AE18" i="66"/>
  <c r="AA18" i="66"/>
  <c r="AF17" i="66"/>
  <c r="AE17" i="66"/>
  <c r="AA17" i="66"/>
  <c r="AF16" i="66"/>
  <c r="AE16" i="66"/>
  <c r="AA16" i="66"/>
  <c r="AF15" i="66"/>
  <c r="AE15" i="66"/>
  <c r="AA15" i="66"/>
  <c r="AF14" i="66"/>
  <c r="AE14" i="66"/>
  <c r="AA14" i="66"/>
  <c r="AF13" i="66"/>
  <c r="AE13" i="66"/>
  <c r="AA13" i="66"/>
  <c r="AF12" i="66"/>
  <c r="AE12" i="66"/>
  <c r="AA12" i="66"/>
  <c r="AF11" i="66"/>
  <c r="AE11" i="66"/>
  <c r="AA11" i="66"/>
  <c r="AF10" i="66"/>
  <c r="AE10" i="66"/>
  <c r="AA10" i="66"/>
  <c r="AF9" i="66"/>
  <c r="AE9" i="66"/>
  <c r="AA9" i="66"/>
  <c r="AF8" i="66"/>
  <c r="AE8" i="66"/>
  <c r="AA8" i="66"/>
  <c r="AF7" i="66"/>
  <c r="AE7" i="66"/>
  <c r="AA7" i="66"/>
  <c r="AF6" i="66"/>
  <c r="AE6" i="66"/>
  <c r="AA6" i="66"/>
  <c r="AF5" i="66"/>
  <c r="AE5" i="66"/>
  <c r="AA5" i="66"/>
  <c r="AF4" i="66"/>
  <c r="AE4" i="66"/>
  <c r="AA4" i="66"/>
  <c r="AF3" i="66"/>
  <c r="AE3" i="66"/>
  <c r="AA3" i="66"/>
  <c r="AE267" i="14"/>
  <c r="AD267" i="14"/>
  <c r="T267" i="14"/>
  <c r="AE263" i="14"/>
  <c r="AD263" i="14"/>
  <c r="T263" i="14"/>
  <c r="AE258" i="14"/>
  <c r="AD258" i="14"/>
  <c r="T258" i="14"/>
  <c r="AE256" i="14"/>
  <c r="AD256" i="14"/>
  <c r="T256" i="14"/>
  <c r="AE255" i="14"/>
  <c r="AD255" i="14"/>
  <c r="T255" i="14"/>
  <c r="AE297" i="14"/>
  <c r="AD297" i="14"/>
  <c r="T297" i="14"/>
  <c r="AE173" i="14"/>
  <c r="AD173" i="14"/>
  <c r="T173" i="14"/>
  <c r="AE110" i="14"/>
  <c r="AD110" i="14"/>
  <c r="T110" i="14"/>
  <c r="AE148" i="14"/>
  <c r="AD148" i="14"/>
  <c r="T148" i="14"/>
  <c r="AE46" i="14"/>
  <c r="AD46" i="14"/>
  <c r="T46" i="14"/>
  <c r="AE296" i="14"/>
  <c r="AD296" i="14"/>
  <c r="T296" i="14"/>
  <c r="AE158" i="14"/>
  <c r="AD158" i="14"/>
  <c r="T158" i="14"/>
  <c r="AE38" i="14"/>
  <c r="AD38" i="14"/>
  <c r="T38" i="14"/>
  <c r="AE181" i="14"/>
  <c r="AD181" i="14"/>
  <c r="T181" i="14"/>
  <c r="AE100" i="14"/>
  <c r="AD100" i="14"/>
  <c r="T100" i="14"/>
  <c r="AE194" i="14"/>
  <c r="AD194" i="14"/>
  <c r="T194" i="14"/>
  <c r="AE215" i="14"/>
  <c r="AD215" i="14"/>
  <c r="T215" i="14"/>
  <c r="AE295" i="14"/>
  <c r="AD295" i="14"/>
  <c r="T295" i="14"/>
  <c r="AE294" i="14"/>
  <c r="AD294" i="14"/>
  <c r="T294" i="14"/>
  <c r="AE293" i="14"/>
  <c r="AD293" i="14"/>
  <c r="T293" i="14"/>
  <c r="AE292" i="14"/>
  <c r="AD292" i="14"/>
  <c r="T292" i="14"/>
  <c r="AE109" i="14"/>
  <c r="AD109" i="14"/>
  <c r="T109" i="14"/>
  <c r="AE291" i="14"/>
  <c r="AD291" i="14"/>
  <c r="T291" i="14"/>
  <c r="AE290" i="14"/>
  <c r="AD290" i="14"/>
  <c r="T290" i="14"/>
  <c r="AE289" i="14"/>
  <c r="AD289" i="14"/>
  <c r="T289" i="14"/>
  <c r="AE288" i="14"/>
  <c r="AD288" i="14"/>
  <c r="T288" i="14"/>
  <c r="AE287" i="14"/>
  <c r="AD287" i="14"/>
  <c r="T287" i="14"/>
  <c r="AE254" i="14"/>
  <c r="AD254" i="14"/>
  <c r="T254" i="14"/>
  <c r="AE285" i="14"/>
  <c r="AD285" i="14"/>
  <c r="T285" i="14"/>
  <c r="AE284" i="14"/>
  <c r="AD284" i="14"/>
  <c r="T284" i="14"/>
  <c r="AE283" i="14"/>
  <c r="AD283" i="14"/>
  <c r="T283" i="14"/>
  <c r="AE282" i="14"/>
  <c r="AD282" i="14"/>
  <c r="T282" i="14"/>
  <c r="AE252" i="14"/>
  <c r="AD252" i="14"/>
  <c r="T252" i="14"/>
  <c r="AE280" i="14"/>
  <c r="AD280" i="14"/>
  <c r="T280" i="14"/>
  <c r="AE248" i="14"/>
  <c r="AD248" i="14"/>
  <c r="T248" i="14"/>
  <c r="AE247" i="14"/>
  <c r="AD247" i="14"/>
  <c r="T247" i="14"/>
  <c r="AE277" i="14"/>
  <c r="AD277" i="14"/>
  <c r="T277" i="14"/>
  <c r="AE192" i="14"/>
  <c r="AD192" i="14"/>
  <c r="T192" i="14"/>
  <c r="AE189" i="14"/>
  <c r="AD189" i="14"/>
  <c r="T189" i="14"/>
  <c r="AE276" i="14"/>
  <c r="AD276" i="14"/>
  <c r="T276" i="14"/>
  <c r="AE246" i="14"/>
  <c r="AD246" i="14"/>
  <c r="T246" i="14"/>
  <c r="AE305" i="14"/>
  <c r="T305" i="14"/>
  <c r="AE275" i="14"/>
  <c r="T275" i="14"/>
  <c r="AE244" i="14"/>
  <c r="T244" i="14"/>
  <c r="AE243" i="14"/>
  <c r="T243" i="14"/>
  <c r="AE241" i="14"/>
  <c r="AD241" i="14"/>
  <c r="T241" i="14"/>
  <c r="AE103" i="14"/>
  <c r="AD103" i="14"/>
  <c r="T103" i="14"/>
  <c r="AE240" i="14"/>
  <c r="AD240" i="14"/>
  <c r="T240" i="14"/>
  <c r="AE239" i="14"/>
  <c r="AD239" i="14"/>
  <c r="T239" i="14"/>
  <c r="AE238" i="14"/>
  <c r="AD238" i="14"/>
  <c r="T238" i="14"/>
  <c r="AE107" i="14"/>
  <c r="AD107" i="14"/>
  <c r="T107" i="14"/>
  <c r="AE266" i="14"/>
  <c r="AD266" i="14"/>
  <c r="T266" i="14"/>
  <c r="AE101" i="14"/>
  <c r="AD101" i="14"/>
  <c r="T101" i="14"/>
  <c r="AE61" i="14"/>
  <c r="AD61" i="14"/>
  <c r="T61" i="14"/>
  <c r="AE84" i="14"/>
  <c r="AD84" i="14"/>
  <c r="T84" i="14"/>
  <c r="AE265" i="14"/>
  <c r="AD265" i="14"/>
  <c r="T265" i="14"/>
  <c r="AE264" i="14"/>
  <c r="AD264" i="14"/>
  <c r="T264" i="14"/>
  <c r="AE237" i="14"/>
  <c r="AD237" i="14"/>
  <c r="T237" i="14"/>
  <c r="AE83" i="14"/>
  <c r="AD83" i="14"/>
  <c r="T83" i="14"/>
  <c r="AE262" i="14"/>
  <c r="AD262" i="14"/>
  <c r="T262" i="14"/>
  <c r="AE261" i="14"/>
  <c r="AD261" i="14"/>
  <c r="T261" i="14"/>
  <c r="AE36" i="14"/>
  <c r="AD36" i="14"/>
  <c r="T36" i="14"/>
  <c r="AE203" i="14"/>
  <c r="AD203" i="14"/>
  <c r="T203" i="14"/>
  <c r="AE298" i="14"/>
  <c r="AD298" i="14"/>
  <c r="T298" i="14"/>
  <c r="AE202" i="14"/>
  <c r="AD202" i="14"/>
  <c r="T202" i="14"/>
  <c r="AE200" i="14"/>
  <c r="AD200" i="14"/>
  <c r="T200" i="14"/>
  <c r="AE199" i="14"/>
  <c r="AD199" i="14"/>
  <c r="T199" i="14"/>
  <c r="AE190" i="14"/>
  <c r="AD190" i="14"/>
  <c r="T190" i="14"/>
  <c r="AE198" i="14"/>
  <c r="AD198" i="14"/>
  <c r="T198" i="14"/>
  <c r="AE82" i="14"/>
  <c r="AD82" i="14"/>
  <c r="T82" i="14"/>
  <c r="AE212" i="14"/>
  <c r="AD212" i="14"/>
  <c r="T212" i="14"/>
  <c r="AE260" i="14"/>
  <c r="AD260" i="14"/>
  <c r="T260" i="14"/>
  <c r="AE210" i="14"/>
  <c r="AD210" i="14"/>
  <c r="T210" i="14"/>
  <c r="AE197" i="14"/>
  <c r="AD197" i="14"/>
  <c r="T197" i="14"/>
  <c r="AE195" i="14"/>
  <c r="AD195" i="14"/>
  <c r="T195" i="14"/>
  <c r="AE207" i="14"/>
  <c r="AD207" i="14"/>
  <c r="T207" i="14"/>
  <c r="AE193" i="14"/>
  <c r="AD193" i="14"/>
  <c r="T193" i="14"/>
  <c r="AE205" i="14"/>
  <c r="AD205" i="14"/>
  <c r="T205" i="14"/>
  <c r="AE188" i="14"/>
  <c r="AD188" i="14"/>
  <c r="T188" i="14"/>
  <c r="AE180" i="14"/>
  <c r="AD180" i="14"/>
  <c r="T180" i="14"/>
  <c r="AE178" i="14"/>
  <c r="AD178" i="14"/>
  <c r="T178" i="14"/>
  <c r="AE201" i="14"/>
  <c r="AD201" i="14"/>
  <c r="T201" i="14"/>
  <c r="AE177" i="14"/>
  <c r="AD177" i="14"/>
  <c r="T177" i="14"/>
  <c r="AE172" i="14"/>
  <c r="AD172" i="14"/>
  <c r="T172" i="14"/>
  <c r="AE169" i="14"/>
  <c r="AD169" i="14"/>
  <c r="T169" i="14"/>
  <c r="AE168" i="14"/>
  <c r="AD168" i="14"/>
  <c r="T168" i="14"/>
  <c r="AE131" i="14"/>
  <c r="AD131" i="14"/>
  <c r="T131" i="14"/>
  <c r="AE167" i="14"/>
  <c r="AD167" i="14"/>
  <c r="T167" i="14"/>
  <c r="AE179" i="14"/>
  <c r="AD179" i="14"/>
  <c r="T179" i="14"/>
  <c r="AE166" i="14"/>
  <c r="AD166" i="14"/>
  <c r="T166" i="14"/>
  <c r="AE176" i="14"/>
  <c r="AD176" i="14"/>
  <c r="T176" i="14"/>
  <c r="AE259" i="14"/>
  <c r="AD259" i="14"/>
  <c r="T259" i="14"/>
  <c r="AE236" i="14"/>
  <c r="AD236" i="14"/>
  <c r="T236" i="14"/>
  <c r="AE257" i="14"/>
  <c r="AD257" i="14"/>
  <c r="T257" i="14"/>
  <c r="AE286" i="14"/>
  <c r="AD286" i="14"/>
  <c r="T286" i="14"/>
  <c r="AE130" i="14"/>
  <c r="AD130" i="14"/>
  <c r="T130" i="14"/>
  <c r="AE19" i="14"/>
  <c r="AD19" i="14"/>
  <c r="T19" i="14"/>
  <c r="AE150" i="14"/>
  <c r="AD150" i="14"/>
  <c r="T150" i="14"/>
  <c r="AE235" i="14"/>
  <c r="AD235" i="14"/>
  <c r="T235" i="14"/>
  <c r="AE175" i="14"/>
  <c r="AD175" i="14"/>
  <c r="T175" i="14"/>
  <c r="AE211" i="14"/>
  <c r="AD211" i="14"/>
  <c r="T211" i="14"/>
  <c r="AE234" i="14"/>
  <c r="AD234" i="14"/>
  <c r="T234" i="14"/>
  <c r="AE165" i="14"/>
  <c r="AD165" i="14"/>
  <c r="T165" i="14"/>
  <c r="AE233" i="14"/>
  <c r="AD233" i="14"/>
  <c r="T233" i="14"/>
  <c r="AE164" i="14"/>
  <c r="AD164" i="14"/>
  <c r="T164" i="14"/>
  <c r="AE163" i="14"/>
  <c r="AD163" i="14"/>
  <c r="T163" i="14"/>
  <c r="AE253" i="14"/>
  <c r="AD253" i="14"/>
  <c r="T253" i="14"/>
  <c r="AE232" i="14"/>
  <c r="AD232" i="14"/>
  <c r="T232" i="14"/>
  <c r="AE59" i="14"/>
  <c r="AD59" i="14"/>
  <c r="T59" i="14"/>
  <c r="AE37" i="14"/>
  <c r="AD37" i="14"/>
  <c r="T37" i="14"/>
  <c r="AE162" i="14"/>
  <c r="AD162" i="14"/>
  <c r="T162" i="14"/>
  <c r="AE171" i="14"/>
  <c r="AD171" i="14"/>
  <c r="T171" i="14"/>
  <c r="AE170" i="14"/>
  <c r="AD170" i="14"/>
  <c r="T170" i="14"/>
  <c r="AE157" i="14"/>
  <c r="AD157" i="14"/>
  <c r="T157" i="14"/>
  <c r="AE155" i="14"/>
  <c r="AD155" i="14"/>
  <c r="T155" i="14"/>
  <c r="AE154" i="14"/>
  <c r="AD154" i="14"/>
  <c r="T154" i="14"/>
  <c r="AE151" i="14"/>
  <c r="AD151" i="14"/>
  <c r="T151" i="14"/>
  <c r="AE149" i="14"/>
  <c r="AD149" i="14"/>
  <c r="T149" i="14"/>
  <c r="AE147" i="14"/>
  <c r="AD147" i="14"/>
  <c r="T147" i="14"/>
  <c r="AE142" i="14"/>
  <c r="AD142" i="14"/>
  <c r="T142" i="14"/>
  <c r="AE141" i="14"/>
  <c r="AD141" i="14"/>
  <c r="T141" i="14"/>
  <c r="AE88" i="14"/>
  <c r="AD88" i="14"/>
  <c r="T88" i="14"/>
  <c r="AE85" i="14"/>
  <c r="AD85" i="14"/>
  <c r="T85" i="14"/>
  <c r="AE86" i="14"/>
  <c r="AD86" i="14"/>
  <c r="T86" i="14"/>
  <c r="AE89" i="14"/>
  <c r="AD89" i="14"/>
  <c r="T89" i="14"/>
  <c r="AE140" i="14"/>
  <c r="AD140" i="14"/>
  <c r="T140" i="14"/>
  <c r="AE139" i="14"/>
  <c r="AD139" i="14"/>
  <c r="T139" i="14"/>
  <c r="AE156" i="14"/>
  <c r="AD156" i="14"/>
  <c r="T156" i="14"/>
  <c r="AE138" i="14"/>
  <c r="AD138" i="14"/>
  <c r="T138" i="14"/>
  <c r="AE105" i="14"/>
  <c r="AD105" i="14"/>
  <c r="T105" i="14"/>
  <c r="AE137" i="14"/>
  <c r="AD137" i="14"/>
  <c r="T137" i="14"/>
  <c r="AE96" i="14"/>
  <c r="AD96" i="14"/>
  <c r="T96" i="14"/>
  <c r="AE99" i="14"/>
  <c r="AD99" i="14"/>
  <c r="T99" i="14"/>
  <c r="AE152" i="14"/>
  <c r="AD152" i="14"/>
  <c r="T152" i="14"/>
  <c r="AE94" i="14"/>
  <c r="AD94" i="14"/>
  <c r="T94" i="14"/>
  <c r="AE135" i="14"/>
  <c r="AD135" i="14"/>
  <c r="T135" i="14"/>
  <c r="AE98" i="14"/>
  <c r="AD98" i="14"/>
  <c r="T98" i="14"/>
  <c r="AE97" i="14"/>
  <c r="AD97" i="14"/>
  <c r="T97" i="14"/>
  <c r="AE95" i="14"/>
  <c r="AD95" i="14"/>
  <c r="T95" i="14"/>
  <c r="AE92" i="14"/>
  <c r="AD92" i="14"/>
  <c r="T92" i="14"/>
  <c r="AE134" i="14"/>
  <c r="AD134" i="14"/>
  <c r="T134" i="14"/>
  <c r="AE133" i="14"/>
  <c r="AD133" i="14"/>
  <c r="T133" i="14"/>
  <c r="AE128" i="14"/>
  <c r="AD128" i="14"/>
  <c r="T128" i="14"/>
  <c r="AE127" i="14"/>
  <c r="AD127" i="14"/>
  <c r="T127" i="14"/>
  <c r="AE126" i="14"/>
  <c r="AD126" i="14"/>
  <c r="T126" i="14"/>
  <c r="AE125" i="14"/>
  <c r="AD125" i="14"/>
  <c r="T125" i="14"/>
  <c r="AE124" i="14"/>
  <c r="AD124" i="14"/>
  <c r="T124" i="14"/>
  <c r="AE281" i="14"/>
  <c r="AD281" i="14"/>
  <c r="T281" i="14"/>
  <c r="AE123" i="14"/>
  <c r="AD123" i="14"/>
  <c r="T123" i="14"/>
  <c r="AE122" i="14"/>
  <c r="AD122" i="14"/>
  <c r="T122" i="14"/>
  <c r="AE93" i="14"/>
  <c r="AD93" i="14"/>
  <c r="T93" i="14"/>
  <c r="T60" i="14"/>
  <c r="AE116" i="14"/>
  <c r="AD116" i="14"/>
  <c r="T116" i="14"/>
  <c r="AE183" i="14"/>
  <c r="AD183" i="14"/>
  <c r="T183" i="14"/>
  <c r="AE121" i="14"/>
  <c r="AD121" i="14"/>
  <c r="T121" i="14"/>
  <c r="AE120" i="14"/>
  <c r="AD120" i="14"/>
  <c r="T120" i="14"/>
  <c r="AE119" i="14"/>
  <c r="AD119" i="14"/>
  <c r="T119" i="14"/>
  <c r="AE118" i="14"/>
  <c r="AD118" i="14"/>
  <c r="T118" i="14"/>
  <c r="AE117" i="14"/>
  <c r="AD117" i="14"/>
  <c r="T117" i="14"/>
  <c r="AE114" i="14"/>
  <c r="AD114" i="14"/>
  <c r="T114" i="14"/>
  <c r="AE113" i="14"/>
  <c r="AD113" i="14"/>
  <c r="T113" i="14"/>
  <c r="AE111" i="14"/>
  <c r="AD111" i="14"/>
  <c r="T111" i="14"/>
  <c r="AE108" i="14"/>
  <c r="AD108" i="14"/>
  <c r="T108" i="14"/>
  <c r="AE104" i="14"/>
  <c r="AD104" i="14"/>
  <c r="T104" i="14"/>
  <c r="AE102" i="14"/>
  <c r="AD102" i="14"/>
  <c r="T102" i="14"/>
  <c r="AE90" i="14"/>
  <c r="AD90" i="14"/>
  <c r="T90" i="14"/>
  <c r="AE182" i="14"/>
  <c r="AD182" i="14"/>
  <c r="T182" i="14"/>
  <c r="AE191" i="14"/>
  <c r="AD191" i="14"/>
  <c r="T191" i="14"/>
  <c r="AE279" i="14"/>
  <c r="AD279" i="14"/>
  <c r="T279" i="14"/>
  <c r="AE81" i="14"/>
  <c r="AD81" i="14"/>
  <c r="T81" i="14"/>
  <c r="AE106" i="14"/>
  <c r="AD106" i="14"/>
  <c r="T106" i="14"/>
  <c r="AE80" i="14"/>
  <c r="AD80" i="14"/>
  <c r="T80" i="14"/>
  <c r="AE129" i="14"/>
  <c r="AD129" i="14"/>
  <c r="T129" i="14"/>
  <c r="AE132" i="14"/>
  <c r="AD132" i="14"/>
  <c r="T132" i="14"/>
  <c r="AE79" i="14"/>
  <c r="AD79" i="14"/>
  <c r="T79" i="14"/>
  <c r="AE115" i="14"/>
  <c r="AD115" i="14"/>
  <c r="T115" i="14"/>
  <c r="AE174" i="14"/>
  <c r="AD174" i="14"/>
  <c r="T174" i="14"/>
  <c r="AE76" i="14"/>
  <c r="AD76" i="14"/>
  <c r="T76" i="14"/>
  <c r="AE78" i="14"/>
  <c r="AD78" i="14"/>
  <c r="T78" i="14"/>
  <c r="AE251" i="14"/>
  <c r="AD251" i="14"/>
  <c r="T251" i="14"/>
  <c r="AE77" i="14"/>
  <c r="AD77" i="14"/>
  <c r="T77" i="14"/>
  <c r="AE250" i="14"/>
  <c r="AD250" i="14"/>
  <c r="T250" i="14"/>
  <c r="AE50" i="14"/>
  <c r="AD50" i="14"/>
  <c r="T50" i="14"/>
  <c r="AE249" i="14"/>
  <c r="AD249" i="14"/>
  <c r="T249" i="14"/>
  <c r="AE231" i="14"/>
  <c r="AD231" i="14"/>
  <c r="T231" i="14"/>
  <c r="AE187" i="14"/>
  <c r="AD187" i="14"/>
  <c r="T187" i="14"/>
  <c r="AE230" i="14"/>
  <c r="AD230" i="14"/>
  <c r="T230" i="14"/>
  <c r="AE161" i="14"/>
  <c r="AD161" i="14"/>
  <c r="T161" i="14"/>
  <c r="AE229" i="14"/>
  <c r="AD229" i="14"/>
  <c r="T229" i="14"/>
  <c r="AE48" i="14"/>
  <c r="AD48" i="14"/>
  <c r="T48" i="14"/>
  <c r="AE245" i="14"/>
  <c r="AD245" i="14"/>
  <c r="T245" i="14"/>
  <c r="AE228" i="14"/>
  <c r="AD228" i="14"/>
  <c r="T228" i="14"/>
  <c r="AE75" i="14"/>
  <c r="AD75" i="14"/>
  <c r="T75" i="14"/>
  <c r="AE159" i="14"/>
  <c r="AD159" i="14"/>
  <c r="T159" i="14"/>
  <c r="AE153" i="14"/>
  <c r="AD153" i="14"/>
  <c r="T153" i="14"/>
  <c r="AE136" i="14"/>
  <c r="AD136" i="14"/>
  <c r="T136" i="14"/>
  <c r="AE87" i="14"/>
  <c r="AD87" i="14"/>
  <c r="T87" i="14"/>
  <c r="AE196" i="14"/>
  <c r="AD196" i="14"/>
  <c r="T196" i="14"/>
  <c r="AE112" i="14"/>
  <c r="AD112" i="14"/>
  <c r="T112" i="14"/>
  <c r="AE145" i="14"/>
  <c r="AD145" i="14"/>
  <c r="T145" i="14"/>
  <c r="AE160" i="14"/>
  <c r="AD160" i="14"/>
  <c r="T160" i="14"/>
  <c r="AE74" i="14"/>
  <c r="AD74" i="14"/>
  <c r="T74" i="14"/>
  <c r="AE73" i="14"/>
  <c r="AD73" i="14"/>
  <c r="T73" i="14"/>
  <c r="AE72" i="14"/>
  <c r="AD72" i="14"/>
  <c r="T72" i="14"/>
  <c r="AE71" i="14"/>
  <c r="AD71" i="14"/>
  <c r="T71" i="14"/>
  <c r="AE70" i="14"/>
  <c r="AD70" i="14"/>
  <c r="T70" i="14"/>
  <c r="AE184" i="14"/>
  <c r="AD184" i="14"/>
  <c r="T184" i="14"/>
  <c r="AE69" i="14"/>
  <c r="AD69" i="14"/>
  <c r="T69" i="14"/>
  <c r="AE68" i="14"/>
  <c r="AD68" i="14"/>
  <c r="T68" i="14"/>
  <c r="AE64" i="14"/>
  <c r="AD64" i="14"/>
  <c r="T64" i="14"/>
  <c r="AE63" i="14"/>
  <c r="AD63" i="14"/>
  <c r="T63" i="14"/>
  <c r="AE58" i="14"/>
  <c r="AD58" i="14"/>
  <c r="T58" i="14"/>
  <c r="AE56" i="14"/>
  <c r="AD56" i="14"/>
  <c r="T56" i="14"/>
  <c r="AE55" i="14"/>
  <c r="AD55" i="14"/>
  <c r="T55" i="14"/>
  <c r="AE54" i="14"/>
  <c r="AD54" i="14"/>
  <c r="T54" i="14"/>
  <c r="AE67" i="14"/>
  <c r="AD67" i="14"/>
  <c r="T67" i="14"/>
  <c r="AE66" i="14"/>
  <c r="AD66" i="14"/>
  <c r="T66" i="14"/>
  <c r="AE65" i="14"/>
  <c r="AD65" i="14"/>
  <c r="T65" i="14"/>
  <c r="AE53" i="14"/>
  <c r="AD53" i="14"/>
  <c r="T53" i="14"/>
  <c r="AE52" i="14"/>
  <c r="AD52" i="14"/>
  <c r="T52" i="14"/>
  <c r="AE62" i="14"/>
  <c r="AD62" i="14"/>
  <c r="T62" i="14"/>
  <c r="AE186" i="14"/>
  <c r="AD186" i="14"/>
  <c r="T186" i="14"/>
  <c r="AE185" i="14"/>
  <c r="AD185" i="14"/>
  <c r="T185" i="14"/>
  <c r="AE226" i="14"/>
  <c r="AD226" i="14"/>
  <c r="T226" i="14"/>
  <c r="AE51" i="14"/>
  <c r="AD51" i="14"/>
  <c r="T51" i="14"/>
  <c r="AE242" i="14"/>
  <c r="AD242" i="14"/>
  <c r="T242" i="14"/>
  <c r="AE57" i="14"/>
  <c r="AD57" i="14"/>
  <c r="T57" i="14"/>
  <c r="AE49" i="14"/>
  <c r="AD49" i="14"/>
  <c r="T49" i="14"/>
  <c r="AE45" i="14"/>
  <c r="AD45" i="14"/>
  <c r="T45" i="14"/>
  <c r="AE44" i="14"/>
  <c r="AD44" i="14"/>
  <c r="T44" i="14"/>
  <c r="AE43" i="14"/>
  <c r="AD43" i="14"/>
  <c r="T43" i="14"/>
  <c r="AE42" i="14"/>
  <c r="AD42" i="14"/>
  <c r="T42" i="14"/>
  <c r="AE41" i="14"/>
  <c r="AD41" i="14"/>
  <c r="T41" i="14"/>
  <c r="AE278" i="14"/>
  <c r="AD278" i="14"/>
  <c r="T278" i="14"/>
  <c r="AE91" i="14"/>
  <c r="AD91" i="14"/>
  <c r="T91" i="14"/>
  <c r="AE47" i="14"/>
  <c r="AD47" i="14"/>
  <c r="T47" i="14"/>
  <c r="AE143" i="14"/>
  <c r="AD143" i="14"/>
  <c r="T143" i="14"/>
  <c r="AE274" i="14"/>
  <c r="AD274" i="14"/>
  <c r="T274" i="14"/>
  <c r="AE40" i="14"/>
  <c r="AD40" i="14"/>
  <c r="T40" i="14"/>
  <c r="AE273" i="14"/>
  <c r="AD273" i="14"/>
  <c r="T273" i="14"/>
  <c r="AE272" i="14"/>
  <c r="AD272" i="14"/>
  <c r="T272" i="14"/>
  <c r="AE271" i="14"/>
  <c r="AD271" i="14"/>
  <c r="T271" i="14"/>
  <c r="AE39" i="14"/>
  <c r="AD39" i="14"/>
  <c r="T39" i="14"/>
  <c r="AE35" i="14"/>
  <c r="AD35" i="14"/>
  <c r="T35" i="14"/>
  <c r="AE224" i="14"/>
  <c r="AD224" i="14"/>
  <c r="T224" i="14"/>
  <c r="AE146" i="14"/>
  <c r="AD146" i="14"/>
  <c r="T146" i="14"/>
  <c r="AE213" i="14"/>
  <c r="AD213" i="14"/>
  <c r="T213" i="14"/>
  <c r="AE34" i="14"/>
  <c r="AD34" i="14"/>
  <c r="T34" i="14"/>
  <c r="AE33" i="14"/>
  <c r="AD33" i="14"/>
  <c r="T33" i="14"/>
  <c r="AE32" i="14"/>
  <c r="AD32" i="14"/>
  <c r="T32" i="14"/>
  <c r="AE31" i="14"/>
  <c r="AD31" i="14"/>
  <c r="T31" i="14"/>
  <c r="AE30" i="14"/>
  <c r="T30" i="14"/>
  <c r="AE29" i="14"/>
  <c r="AD29" i="14"/>
  <c r="T29" i="14"/>
  <c r="AE27" i="14"/>
  <c r="AD27" i="14"/>
  <c r="T27" i="14"/>
  <c r="AE28" i="14"/>
  <c r="AD28" i="14"/>
  <c r="T28" i="14"/>
  <c r="AE26" i="14"/>
  <c r="AD26" i="14"/>
  <c r="T26" i="14"/>
  <c r="AE25" i="14"/>
  <c r="AD25" i="14"/>
  <c r="T25" i="14"/>
  <c r="AE23" i="14"/>
  <c r="AD23" i="14"/>
  <c r="T23" i="14"/>
  <c r="AE24" i="14"/>
  <c r="AD24" i="14"/>
  <c r="T24" i="14"/>
  <c r="AE22" i="14"/>
  <c r="AD22" i="14"/>
  <c r="T22" i="14"/>
  <c r="AE21" i="14"/>
  <c r="AD21" i="14"/>
  <c r="T21" i="14"/>
  <c r="AE20" i="14"/>
  <c r="AD20" i="14"/>
  <c r="T20" i="14"/>
  <c r="AE18" i="14"/>
  <c r="AD18" i="14"/>
  <c r="T18" i="14"/>
  <c r="AE144" i="14"/>
  <c r="AD144" i="14"/>
  <c r="T144" i="14"/>
  <c r="AE17" i="14"/>
  <c r="AD17" i="14"/>
  <c r="T17" i="14"/>
  <c r="AE270" i="14"/>
  <c r="AD270" i="14"/>
  <c r="T270" i="14"/>
  <c r="AE16" i="14"/>
  <c r="AD16" i="14"/>
  <c r="T16" i="14"/>
  <c r="AE15" i="14"/>
  <c r="AD15" i="14"/>
  <c r="T15" i="14"/>
  <c r="AE14" i="14"/>
  <c r="AD14" i="14"/>
  <c r="T14" i="14"/>
  <c r="AE13" i="14"/>
  <c r="AD13" i="14"/>
  <c r="T13" i="14"/>
  <c r="AE12" i="14"/>
  <c r="AD12" i="14"/>
  <c r="T12" i="14"/>
  <c r="AE11" i="14"/>
  <c r="AD11" i="14"/>
  <c r="T11" i="14"/>
  <c r="AE10" i="14"/>
  <c r="AD10" i="14"/>
  <c r="T10" i="14"/>
  <c r="AE9" i="14"/>
  <c r="AD9" i="14"/>
  <c r="T9" i="14"/>
  <c r="AE8" i="14"/>
  <c r="AD8" i="14"/>
  <c r="T8" i="14"/>
  <c r="AE7" i="14"/>
  <c r="AD7" i="14"/>
  <c r="T7" i="14"/>
  <c r="AE6" i="14"/>
  <c r="AF6" i="14" s="1"/>
  <c r="AD6" i="14"/>
  <c r="T6" i="14"/>
  <c r="AD5" i="14"/>
  <c r="T5" i="14"/>
  <c r="CD2" i="62"/>
  <c r="CD6" i="62"/>
  <c r="CD3" i="62"/>
  <c r="CD7" i="62"/>
  <c r="CD8" i="62"/>
  <c r="Q1" i="86"/>
  <c r="G132" i="86"/>
  <c r="I132" i="86"/>
  <c r="AC9" i="20"/>
  <c r="AE13" i="20"/>
  <c r="I160" i="86"/>
  <c r="H95" i="86"/>
  <c r="AE14" i="20"/>
  <c r="H148" i="86"/>
  <c r="I101" i="86"/>
  <c r="I79" i="86"/>
  <c r="AD9" i="20"/>
  <c r="G142" i="86"/>
  <c r="AC15" i="20"/>
  <c r="I95" i="86"/>
  <c r="I148" i="86"/>
  <c r="G147" i="86"/>
  <c r="G103" i="86"/>
  <c r="G22" i="86"/>
  <c r="G13" i="86"/>
  <c r="I147" i="86"/>
  <c r="I135" i="86"/>
  <c r="G158" i="86"/>
  <c r="I96" i="86"/>
  <c r="H162" i="86"/>
  <c r="I43" i="86"/>
  <c r="I23" i="86"/>
  <c r="H159" i="86"/>
  <c r="G159" i="86"/>
  <c r="AC16" i="20"/>
  <c r="AE16" i="20"/>
  <c r="AE19" i="20"/>
  <c r="AC19" i="20"/>
  <c r="G88" i="86"/>
  <c r="I82" i="86"/>
  <c r="G82" i="86"/>
  <c r="I6" i="86"/>
  <c r="G43" i="86"/>
  <c r="G6" i="86"/>
  <c r="G23" i="86"/>
  <c r="G100" i="86"/>
  <c r="H43" i="86"/>
  <c r="H6" i="86"/>
  <c r="G135" i="86"/>
  <c r="G96" i="86"/>
  <c r="AC18" i="20"/>
  <c r="AC11" i="20"/>
  <c r="AD6" i="20"/>
  <c r="AD10" i="20"/>
  <c r="G165" i="86"/>
  <c r="AD12" i="20"/>
  <c r="I22" i="86"/>
  <c r="AC10" i="20"/>
  <c r="AE9" i="20"/>
  <c r="AC12" i="20"/>
  <c r="AD13" i="20"/>
  <c r="G160" i="86"/>
  <c r="AD18" i="20"/>
  <c r="I162" i="86"/>
  <c r="AD16" i="20"/>
  <c r="I142" i="86"/>
  <c r="AE12" i="20"/>
  <c r="AD11" i="20"/>
  <c r="AD19" i="20"/>
  <c r="H160" i="86"/>
  <c r="AD17" i="20"/>
  <c r="AE15" i="20"/>
  <c r="AC14" i="20"/>
  <c r="H136" i="86"/>
  <c r="H158" i="86"/>
  <c r="H147" i="86"/>
  <c r="H103" i="86"/>
  <c r="H79" i="86"/>
  <c r="H13" i="86"/>
  <c r="H132" i="86"/>
  <c r="H2" i="86"/>
  <c r="H22" i="86"/>
  <c r="I88" i="86"/>
  <c r="G79" i="86"/>
  <c r="I103" i="86"/>
  <c r="G101" i="86"/>
  <c r="H135" i="86"/>
  <c r="I159" i="86"/>
  <c r="G120" i="86"/>
  <c r="I100" i="86"/>
  <c r="H96" i="86"/>
  <c r="G95" i="86"/>
  <c r="M95" i="86" s="1"/>
  <c r="AD15" i="20"/>
  <c r="AE18" i="20"/>
  <c r="AC13" i="20"/>
  <c r="AE11" i="20"/>
  <c r="AC6" i="20"/>
  <c r="CE8" i="62"/>
  <c r="CE6" i="62"/>
  <c r="I168" i="86"/>
  <c r="I167" i="86"/>
  <c r="G166" i="86"/>
  <c r="I164" i="86"/>
  <c r="H163" i="86"/>
  <c r="I161" i="86"/>
  <c r="G157" i="86"/>
  <c r="G155" i="86"/>
  <c r="I154" i="86"/>
  <c r="I153" i="86"/>
  <c r="H152" i="86"/>
  <c r="I151" i="86"/>
  <c r="G150" i="86"/>
  <c r="G149" i="86"/>
  <c r="I146" i="86"/>
  <c r="H145" i="86"/>
  <c r="G144" i="86"/>
  <c r="H143" i="86"/>
  <c r="I140" i="86"/>
  <c r="H138" i="86"/>
  <c r="H137" i="86"/>
  <c r="G136" i="86"/>
  <c r="I133" i="86"/>
  <c r="I131" i="86"/>
  <c r="G130" i="86"/>
  <c r="I128" i="86"/>
  <c r="H126" i="86"/>
  <c r="G125" i="86"/>
  <c r="G123" i="86"/>
  <c r="I122" i="86"/>
  <c r="H121" i="86"/>
  <c r="H119" i="86"/>
  <c r="I116" i="86"/>
  <c r="I115" i="86"/>
  <c r="H168" i="86"/>
  <c r="H167" i="86"/>
  <c r="H164" i="86"/>
  <c r="G163" i="86"/>
  <c r="H161" i="86"/>
  <c r="I156" i="86"/>
  <c r="H154" i="86"/>
  <c r="H153" i="86"/>
  <c r="G152" i="86"/>
  <c r="H151" i="86"/>
  <c r="H146" i="86"/>
  <c r="G145" i="86"/>
  <c r="G143" i="86"/>
  <c r="I141" i="86"/>
  <c r="H140" i="86"/>
  <c r="G138" i="86"/>
  <c r="G137" i="86"/>
  <c r="I134" i="86"/>
  <c r="H133" i="86"/>
  <c r="H131" i="86"/>
  <c r="I129" i="86"/>
  <c r="H128" i="86"/>
  <c r="I127" i="86"/>
  <c r="G126" i="86"/>
  <c r="I124" i="86"/>
  <c r="H122" i="86"/>
  <c r="G121" i="86"/>
  <c r="G119" i="86"/>
  <c r="I118" i="86"/>
  <c r="I117" i="86"/>
  <c r="H116" i="86"/>
  <c r="H115" i="86"/>
  <c r="G113" i="86"/>
  <c r="H110" i="86"/>
  <c r="G168" i="86"/>
  <c r="G167" i="86"/>
  <c r="I166" i="86"/>
  <c r="H165" i="86"/>
  <c r="G164" i="86"/>
  <c r="G161" i="86"/>
  <c r="I158" i="86"/>
  <c r="I157" i="86"/>
  <c r="H156" i="86"/>
  <c r="I155" i="86"/>
  <c r="G154" i="86"/>
  <c r="G153" i="86"/>
  <c r="G151" i="86"/>
  <c r="I150" i="86"/>
  <c r="I149" i="86"/>
  <c r="G146" i="86"/>
  <c r="I144" i="86"/>
  <c r="H142" i="86"/>
  <c r="H141" i="86"/>
  <c r="G140" i="86"/>
  <c r="I136" i="86"/>
  <c r="H134" i="86"/>
  <c r="G133" i="86"/>
  <c r="G131" i="86"/>
  <c r="I130" i="86"/>
  <c r="H129" i="86"/>
  <c r="G128" i="86"/>
  <c r="H127" i="86"/>
  <c r="I125" i="86"/>
  <c r="H124" i="86"/>
  <c r="I123" i="86"/>
  <c r="G122" i="86"/>
  <c r="I120" i="86"/>
  <c r="H118" i="86"/>
  <c r="H166" i="86"/>
  <c r="I163" i="86"/>
  <c r="G162" i="86"/>
  <c r="H157" i="86"/>
  <c r="G156" i="86"/>
  <c r="H155" i="86"/>
  <c r="I152" i="86"/>
  <c r="H150" i="86"/>
  <c r="H149" i="86"/>
  <c r="I145" i="86"/>
  <c r="H144" i="86"/>
  <c r="I143" i="86"/>
  <c r="G141" i="86"/>
  <c r="I138" i="86"/>
  <c r="I137" i="86"/>
  <c r="G134" i="86"/>
  <c r="H130" i="86"/>
  <c r="G129" i="86"/>
  <c r="G116" i="86"/>
  <c r="M116" i="86" s="1"/>
  <c r="I114" i="86"/>
  <c r="I113" i="86"/>
  <c r="I111" i="86"/>
  <c r="G109" i="86"/>
  <c r="H106" i="86"/>
  <c r="H105" i="86"/>
  <c r="G104" i="86"/>
  <c r="I102" i="86"/>
  <c r="H94" i="86"/>
  <c r="H93" i="86"/>
  <c r="G92" i="86"/>
  <c r="G91" i="86"/>
  <c r="G89" i="86"/>
  <c r="I87" i="86"/>
  <c r="I86" i="86"/>
  <c r="I85" i="86"/>
  <c r="G84" i="86"/>
  <c r="G81" i="86"/>
  <c r="I80" i="86"/>
  <c r="H78" i="86"/>
  <c r="H77" i="86"/>
  <c r="I75" i="86"/>
  <c r="I74" i="86"/>
  <c r="I73" i="86"/>
  <c r="G72" i="86"/>
  <c r="G69" i="86"/>
  <c r="I68" i="86"/>
  <c r="H67" i="86"/>
  <c r="H66" i="86"/>
  <c r="H65" i="86"/>
  <c r="G124" i="86"/>
  <c r="I121" i="86"/>
  <c r="I112" i="86"/>
  <c r="G111" i="86"/>
  <c r="I110" i="86"/>
  <c r="H109" i="86"/>
  <c r="I108" i="86"/>
  <c r="H107" i="86"/>
  <c r="G105" i="86"/>
  <c r="I104" i="86"/>
  <c r="G102" i="86"/>
  <c r="H98" i="86"/>
  <c r="I93" i="86"/>
  <c r="H91" i="86"/>
  <c r="I90" i="86"/>
  <c r="I89" i="86"/>
  <c r="H87" i="86"/>
  <c r="G86" i="86"/>
  <c r="H84" i="86"/>
  <c r="I83" i="86"/>
  <c r="G80" i="86"/>
  <c r="G78" i="86"/>
  <c r="H75" i="86"/>
  <c r="G74" i="86"/>
  <c r="H72" i="86"/>
  <c r="I71" i="86"/>
  <c r="H70" i="86"/>
  <c r="H69" i="86"/>
  <c r="H68" i="86"/>
  <c r="I66" i="86"/>
  <c r="H64" i="86"/>
  <c r="G63" i="86"/>
  <c r="G62" i="86"/>
  <c r="H61" i="86"/>
  <c r="I59" i="86"/>
  <c r="I58" i="86"/>
  <c r="H56" i="86"/>
  <c r="G55" i="86"/>
  <c r="G54" i="86"/>
  <c r="G53" i="86"/>
  <c r="I52" i="86"/>
  <c r="H51" i="86"/>
  <c r="H50" i="86"/>
  <c r="I49" i="86"/>
  <c r="G48" i="86"/>
  <c r="H125" i="86"/>
  <c r="H113" i="86"/>
  <c r="H112" i="86"/>
  <c r="G110" i="86"/>
  <c r="M110" i="86" s="1"/>
  <c r="H108" i="86"/>
  <c r="G107" i="86"/>
  <c r="I106" i="86"/>
  <c r="H104" i="86"/>
  <c r="G98" i="86"/>
  <c r="G93" i="86"/>
  <c r="I92" i="86"/>
  <c r="H90" i="86"/>
  <c r="H89" i="86"/>
  <c r="G87" i="86"/>
  <c r="H83" i="86"/>
  <c r="H82" i="86"/>
  <c r="I77" i="86"/>
  <c r="I76" i="86"/>
  <c r="G75" i="86"/>
  <c r="H71" i="86"/>
  <c r="G70" i="86"/>
  <c r="G68" i="86"/>
  <c r="G66" i="86"/>
  <c r="G64" i="86"/>
  <c r="G61" i="86"/>
  <c r="I60" i="86"/>
  <c r="H59" i="86"/>
  <c r="H58" i="86"/>
  <c r="I57" i="86"/>
  <c r="G56" i="86"/>
  <c r="I126" i="86"/>
  <c r="G118" i="86"/>
  <c r="H117" i="86"/>
  <c r="H114" i="86"/>
  <c r="G112" i="86"/>
  <c r="G108" i="86"/>
  <c r="G106" i="86"/>
  <c r="I94" i="86"/>
  <c r="H92" i="86"/>
  <c r="G90" i="86"/>
  <c r="H85" i="86"/>
  <c r="G83" i="86"/>
  <c r="I81" i="86"/>
  <c r="G77" i="86"/>
  <c r="H76" i="86"/>
  <c r="H73" i="86"/>
  <c r="G71" i="86"/>
  <c r="I67" i="86"/>
  <c r="I65" i="86"/>
  <c r="I63" i="86"/>
  <c r="I62" i="86"/>
  <c r="H60" i="86"/>
  <c r="G59" i="86"/>
  <c r="G58" i="86"/>
  <c r="H57" i="86"/>
  <c r="I55" i="86"/>
  <c r="I54" i="86"/>
  <c r="I53" i="86"/>
  <c r="G52" i="86"/>
  <c r="G115" i="86"/>
  <c r="I105" i="86"/>
  <c r="I84" i="86"/>
  <c r="H80" i="86"/>
  <c r="G76" i="86"/>
  <c r="G67" i="86"/>
  <c r="H63" i="86"/>
  <c r="H62" i="86"/>
  <c r="I61" i="86"/>
  <c r="I56" i="86"/>
  <c r="H53" i="86"/>
  <c r="H52" i="86"/>
  <c r="I51" i="86"/>
  <c r="H47" i="86"/>
  <c r="H46" i="86"/>
  <c r="I45" i="86"/>
  <c r="G44" i="86"/>
  <c r="H40" i="86"/>
  <c r="G39" i="86"/>
  <c r="G38" i="86"/>
  <c r="H37" i="86"/>
  <c r="I35" i="86"/>
  <c r="I34" i="86"/>
  <c r="H32" i="86"/>
  <c r="G31" i="86"/>
  <c r="G30" i="86"/>
  <c r="H29" i="86"/>
  <c r="I27" i="86"/>
  <c r="I26" i="86"/>
  <c r="I25" i="86"/>
  <c r="G24" i="86"/>
  <c r="H20" i="86"/>
  <c r="G19" i="86"/>
  <c r="G18" i="86"/>
  <c r="I119" i="86"/>
  <c r="I109" i="86"/>
  <c r="H102" i="86"/>
  <c r="H101" i="86"/>
  <c r="H86" i="86"/>
  <c r="G85" i="86"/>
  <c r="H81" i="86"/>
  <c r="I72" i="86"/>
  <c r="I64" i="86"/>
  <c r="G57" i="86"/>
  <c r="G51" i="86"/>
  <c r="H49" i="86"/>
  <c r="G47" i="86"/>
  <c r="G46" i="86"/>
  <c r="H45" i="86"/>
  <c r="I42" i="86"/>
  <c r="I41" i="86"/>
  <c r="G40" i="86"/>
  <c r="G37" i="86"/>
  <c r="I36" i="86"/>
  <c r="H35" i="86"/>
  <c r="H34" i="86"/>
  <c r="I33" i="86"/>
  <c r="G32" i="86"/>
  <c r="G29" i="86"/>
  <c r="I28" i="86"/>
  <c r="H27" i="86"/>
  <c r="H26" i="86"/>
  <c r="H25" i="86"/>
  <c r="I21" i="86"/>
  <c r="G20" i="86"/>
  <c r="G127" i="86"/>
  <c r="H120" i="86"/>
  <c r="G117" i="86"/>
  <c r="I98" i="86"/>
  <c r="G94" i="86"/>
  <c r="I91" i="86"/>
  <c r="I78" i="86"/>
  <c r="H74" i="86"/>
  <c r="G73" i="86"/>
  <c r="I69" i="86"/>
  <c r="G65" i="86"/>
  <c r="I50" i="86"/>
  <c r="G49" i="86"/>
  <c r="I48" i="86"/>
  <c r="G45" i="86"/>
  <c r="I44" i="86"/>
  <c r="H42" i="86"/>
  <c r="H41" i="86"/>
  <c r="I39" i="86"/>
  <c r="I38" i="86"/>
  <c r="H36" i="86"/>
  <c r="G35" i="86"/>
  <c r="G34" i="86"/>
  <c r="H33" i="86"/>
  <c r="I31" i="86"/>
  <c r="I30" i="86"/>
  <c r="H28" i="86"/>
  <c r="G27" i="86"/>
  <c r="G26" i="86"/>
  <c r="G25" i="86"/>
  <c r="I24" i="86"/>
  <c r="H23" i="86"/>
  <c r="H21" i="86"/>
  <c r="H123" i="86"/>
  <c r="G114" i="86"/>
  <c r="H111" i="86"/>
  <c r="I107" i="86"/>
  <c r="I70" i="86"/>
  <c r="G60" i="86"/>
  <c r="H55" i="86"/>
  <c r="H54" i="86"/>
  <c r="G50" i="86"/>
  <c r="H48" i="86"/>
  <c r="I47" i="86"/>
  <c r="I46" i="86"/>
  <c r="H44" i="86"/>
  <c r="G42" i="86"/>
  <c r="G41" i="86"/>
  <c r="I40" i="86"/>
  <c r="H39" i="86"/>
  <c r="H38" i="86"/>
  <c r="I37" i="86"/>
  <c r="G36" i="86"/>
  <c r="M36" i="86" s="1"/>
  <c r="G33" i="86"/>
  <c r="I32" i="86"/>
  <c r="H31" i="86"/>
  <c r="H30" i="86"/>
  <c r="I29" i="86"/>
  <c r="G28" i="86"/>
  <c r="M28" i="86" s="1"/>
  <c r="H24" i="86"/>
  <c r="G21" i="86"/>
  <c r="I20" i="86"/>
  <c r="H19" i="86"/>
  <c r="H18" i="86"/>
  <c r="H17" i="86"/>
  <c r="I15" i="86"/>
  <c r="I14" i="86"/>
  <c r="I13" i="86"/>
  <c r="G12" i="86"/>
  <c r="I18" i="86"/>
  <c r="H15" i="86"/>
  <c r="G14" i="86"/>
  <c r="H12" i="86"/>
  <c r="H8" i="86"/>
  <c r="G7" i="86"/>
  <c r="G5" i="86"/>
  <c r="I4" i="86"/>
  <c r="H3" i="86"/>
  <c r="I2" i="86"/>
  <c r="I19" i="86"/>
  <c r="I17" i="86"/>
  <c r="I16" i="86"/>
  <c r="G15" i="86"/>
  <c r="I11" i="86"/>
  <c r="I10" i="86"/>
  <c r="I9" i="86"/>
  <c r="G8" i="86"/>
  <c r="H4" i="86"/>
  <c r="G3" i="86"/>
  <c r="G17" i="86"/>
  <c r="H16" i="86"/>
  <c r="H11" i="86"/>
  <c r="H10" i="86"/>
  <c r="H9" i="86"/>
  <c r="I7" i="86"/>
  <c r="I5" i="86"/>
  <c r="G4" i="86"/>
  <c r="G2" i="86"/>
  <c r="G16" i="86"/>
  <c r="H14" i="86"/>
  <c r="I12" i="86"/>
  <c r="G11" i="86"/>
  <c r="G10" i="86"/>
  <c r="G9" i="86"/>
  <c r="I8" i="86"/>
  <c r="H7" i="86"/>
  <c r="H5" i="86"/>
  <c r="I3" i="86"/>
  <c r="G139" i="86"/>
  <c r="H139" i="86"/>
  <c r="G97" i="86"/>
  <c r="I97" i="86"/>
  <c r="H99" i="86"/>
  <c r="H97" i="86"/>
  <c r="G99" i="86"/>
  <c r="H100" i="86"/>
  <c r="I139" i="86"/>
  <c r="I99" i="86"/>
  <c r="H88" i="86"/>
  <c r="G148" i="86"/>
  <c r="I165" i="86"/>
  <c r="AN30" i="94"/>
  <c r="AJ70" i="94"/>
  <c r="AO70" i="94" s="1"/>
  <c r="D14" i="62"/>
  <c r="D29" i="62"/>
  <c r="D10" i="62"/>
  <c r="D24" i="62"/>
  <c r="D19" i="62"/>
  <c r="D18" i="62"/>
  <c r="D12" i="62"/>
  <c r="D15" i="62"/>
  <c r="D11" i="62"/>
  <c r="D13" i="62"/>
  <c r="D21" i="62"/>
  <c r="D20" i="62"/>
  <c r="D27" i="62"/>
  <c r="D28" i="62"/>
  <c r="D17" i="62"/>
  <c r="D22" i="62"/>
  <c r="D25" i="62"/>
  <c r="D26" i="62"/>
  <c r="D16" i="62"/>
  <c r="D23" i="62"/>
  <c r="AB12" i="43"/>
  <c r="AB11" i="43"/>
  <c r="AB14" i="43"/>
  <c r="AB15" i="43"/>
  <c r="AB16" i="43"/>
  <c r="AB19" i="43"/>
  <c r="AB13" i="43"/>
  <c r="AB18" i="43"/>
  <c r="AB17" i="43"/>
  <c r="AB10" i="43"/>
  <c r="L20" i="19" l="1"/>
  <c r="I20" i="19"/>
  <c r="K44" i="19"/>
  <c r="K46" i="19" s="1"/>
  <c r="K48" i="19" s="1"/>
  <c r="K20" i="19"/>
  <c r="J20" i="19"/>
  <c r="J44" i="19" s="1"/>
  <c r="S20" i="19"/>
  <c r="U44" i="19"/>
  <c r="U46" i="19" s="1"/>
  <c r="W14" i="19"/>
  <c r="W20" i="19"/>
  <c r="V14" i="19"/>
  <c r="V20" i="19" s="1"/>
  <c r="T14" i="19"/>
  <c r="W44" i="19"/>
  <c r="W46" i="19" s="1"/>
  <c r="U14" i="19"/>
  <c r="S14" i="19"/>
  <c r="S44" i="19"/>
  <c r="S46" i="19" s="1"/>
  <c r="S48" i="19" s="1"/>
  <c r="U20" i="19"/>
  <c r="AF24" i="14"/>
  <c r="AF34" i="14"/>
  <c r="AF161" i="14"/>
  <c r="AF249" i="14"/>
  <c r="AF251" i="14"/>
  <c r="AF115" i="14"/>
  <c r="AF80" i="14"/>
  <c r="AF191" i="14"/>
  <c r="AF104" i="14"/>
  <c r="AF114" i="14"/>
  <c r="AF120" i="14"/>
  <c r="AF122" i="14"/>
  <c r="AF125" i="14"/>
  <c r="AF133" i="14"/>
  <c r="AF97" i="14"/>
  <c r="AF152" i="14"/>
  <c r="AF105" i="14"/>
  <c r="AF140" i="14"/>
  <c r="AF88" i="14"/>
  <c r="AF149" i="14"/>
  <c r="AF157" i="14"/>
  <c r="AF37" i="14"/>
  <c r="AF163" i="14"/>
  <c r="AF234" i="14"/>
  <c r="AF150" i="14"/>
  <c r="AF257" i="14"/>
  <c r="AF166" i="14"/>
  <c r="AF168" i="14"/>
  <c r="AF201" i="14"/>
  <c r="AF205" i="14"/>
  <c r="AF197" i="14"/>
  <c r="AF82" i="14"/>
  <c r="AF200" i="14"/>
  <c r="AF36" i="14"/>
  <c r="AF237" i="14"/>
  <c r="AF61" i="14"/>
  <c r="AF238" i="14"/>
  <c r="AF241" i="14"/>
  <c r="AF244" i="14"/>
  <c r="AF305" i="14"/>
  <c r="AF192" i="14"/>
  <c r="AF280" i="14"/>
  <c r="AF284" i="14"/>
  <c r="AF288" i="14"/>
  <c r="AF109" i="14"/>
  <c r="AF295" i="14"/>
  <c r="AF181" i="14"/>
  <c r="AF46" i="14"/>
  <c r="AF297" i="14"/>
  <c r="AF263" i="14"/>
  <c r="AF226" i="14"/>
  <c r="AF69" i="14"/>
  <c r="AF72" i="14"/>
  <c r="AF228" i="14"/>
  <c r="AF15" i="14"/>
  <c r="AF143" i="14"/>
  <c r="AF56" i="14"/>
  <c r="AF87" i="14"/>
  <c r="AF75" i="14"/>
  <c r="AF229" i="14"/>
  <c r="AF174" i="14"/>
  <c r="AF113" i="14"/>
  <c r="AF119" i="14"/>
  <c r="AF116" i="14"/>
  <c r="AF124" i="14"/>
  <c r="AF94" i="14"/>
  <c r="AF85" i="14"/>
  <c r="AF253" i="14"/>
  <c r="AF165" i="14"/>
  <c r="AF235" i="14"/>
  <c r="AF177" i="14"/>
  <c r="AF188" i="14"/>
  <c r="AF199" i="14"/>
  <c r="AF189" i="14"/>
  <c r="AF291" i="14"/>
  <c r="AF206" i="14"/>
  <c r="AF268" i="14"/>
  <c r="AF29" i="14"/>
  <c r="AF271" i="14"/>
  <c r="AF274" i="14"/>
  <c r="AF186" i="14"/>
  <c r="AF74" i="14"/>
  <c r="AF76" i="14"/>
  <c r="AF81" i="14"/>
  <c r="AF118" i="14"/>
  <c r="AF183" i="14"/>
  <c r="AF281" i="14"/>
  <c r="AF127" i="14"/>
  <c r="AF92" i="14"/>
  <c r="AF135" i="14"/>
  <c r="AF96" i="14"/>
  <c r="AF156" i="14"/>
  <c r="AF86" i="14"/>
  <c r="AF142" i="14"/>
  <c r="AF154" i="14"/>
  <c r="AF171" i="14"/>
  <c r="AF232" i="14"/>
  <c r="AF233" i="14"/>
  <c r="AF175" i="14"/>
  <c r="AF130" i="14"/>
  <c r="AF259" i="14"/>
  <c r="AF167" i="14"/>
  <c r="AF172" i="14"/>
  <c r="AF180" i="14"/>
  <c r="AF207" i="14"/>
  <c r="AF260" i="14"/>
  <c r="AF190" i="14"/>
  <c r="AF298" i="14"/>
  <c r="AF262" i="14"/>
  <c r="AF265" i="14"/>
  <c r="AF266" i="14"/>
  <c r="AF240" i="14"/>
  <c r="AF243" i="14"/>
  <c r="AF275" i="14"/>
  <c r="AF276" i="14"/>
  <c r="AF247" i="14"/>
  <c r="AF282" i="14"/>
  <c r="AF254" i="14"/>
  <c r="AF290" i="14"/>
  <c r="AF293" i="14"/>
  <c r="AF194" i="14"/>
  <c r="AF158" i="14"/>
  <c r="AF110" i="14"/>
  <c r="AF256" i="14"/>
  <c r="AF8" i="14"/>
  <c r="AF12" i="14"/>
  <c r="AF16" i="14"/>
  <c r="AF18" i="14"/>
  <c r="AF28" i="14"/>
  <c r="AF30" i="14"/>
  <c r="AF35" i="14"/>
  <c r="AF273" i="14"/>
  <c r="AF47" i="14"/>
  <c r="AF42" i="14"/>
  <c r="AF49" i="14"/>
  <c r="AF52" i="14"/>
  <c r="AF67" i="14"/>
  <c r="AF58" i="14"/>
  <c r="AF145" i="14"/>
  <c r="AF136" i="14"/>
  <c r="AF7" i="14"/>
  <c r="AF11" i="14"/>
  <c r="AF144" i="14"/>
  <c r="AF22" i="14"/>
  <c r="AF26" i="14"/>
  <c r="AF33" i="14"/>
  <c r="AF224" i="14"/>
  <c r="AF272" i="14"/>
  <c r="AF41" i="14"/>
  <c r="AF45" i="14"/>
  <c r="AF51" i="14"/>
  <c r="AF62" i="14"/>
  <c r="AF66" i="14"/>
  <c r="AF68" i="14"/>
  <c r="AF71" i="14"/>
  <c r="AF160" i="14"/>
  <c r="AF231" i="14"/>
  <c r="AF77" i="14"/>
  <c r="AF129" i="14"/>
  <c r="AF279" i="14"/>
  <c r="AF102" i="14"/>
  <c r="AF93" i="14"/>
  <c r="AF128" i="14"/>
  <c r="AF95" i="14"/>
  <c r="AF137" i="14"/>
  <c r="AF139" i="14"/>
  <c r="AF147" i="14"/>
  <c r="AF155" i="14"/>
  <c r="AF162" i="14"/>
  <c r="AF286" i="14"/>
  <c r="AF176" i="14"/>
  <c r="AF131" i="14"/>
  <c r="AF195" i="14"/>
  <c r="AF212" i="14"/>
  <c r="AF203" i="14"/>
  <c r="AF83" i="14"/>
  <c r="AF84" i="14"/>
  <c r="AF107" i="14"/>
  <c r="AF103" i="14"/>
  <c r="AF248" i="14"/>
  <c r="AF283" i="14"/>
  <c r="AF287" i="14"/>
  <c r="AF294" i="14"/>
  <c r="AF100" i="14"/>
  <c r="AF296" i="14"/>
  <c r="AF173" i="14"/>
  <c r="AF258" i="14"/>
  <c r="AF204" i="14"/>
  <c r="AF10" i="14"/>
  <c r="AF14" i="14"/>
  <c r="AF17" i="14"/>
  <c r="AF21" i="14"/>
  <c r="AF25" i="14"/>
  <c r="AF32" i="14"/>
  <c r="AF146" i="14"/>
  <c r="AF278" i="14"/>
  <c r="AF44" i="14"/>
  <c r="AF242" i="14"/>
  <c r="AF65" i="14"/>
  <c r="AF55" i="14"/>
  <c r="AF64" i="14"/>
  <c r="AF70" i="14"/>
  <c r="AF196" i="14"/>
  <c r="AF159" i="14"/>
  <c r="AF48" i="14"/>
  <c r="AF187" i="14"/>
  <c r="AF250" i="14"/>
  <c r="AF132" i="14"/>
  <c r="AF90" i="14"/>
  <c r="AF111" i="14"/>
  <c r="AF9" i="14"/>
  <c r="AF13" i="14"/>
  <c r="AF270" i="14"/>
  <c r="AF20" i="14"/>
  <c r="AF23" i="14"/>
  <c r="AF27" i="14"/>
  <c r="AF31" i="14"/>
  <c r="AF213" i="14"/>
  <c r="AF39" i="14"/>
  <c r="AF40" i="14"/>
  <c r="AF91" i="14"/>
  <c r="AF43" i="14"/>
  <c r="AF57" i="14"/>
  <c r="AF185" i="14"/>
  <c r="AF53" i="14"/>
  <c r="AF54" i="14"/>
  <c r="AF63" i="14"/>
  <c r="AF184" i="14"/>
  <c r="AF73" i="14"/>
  <c r="AF112" i="14"/>
  <c r="AF153" i="14"/>
  <c r="AF245" i="14"/>
  <c r="AF230" i="14"/>
  <c r="AF50" i="14"/>
  <c r="AF78" i="14"/>
  <c r="AF79" i="14"/>
  <c r="AF106" i="14"/>
  <c r="AF182" i="14"/>
  <c r="AF108" i="14"/>
  <c r="AF117" i="14"/>
  <c r="AF121" i="14"/>
  <c r="AF123" i="14"/>
  <c r="AF126" i="14"/>
  <c r="AF134" i="14"/>
  <c r="AF98" i="14"/>
  <c r="AF99" i="14"/>
  <c r="AF138" i="14"/>
  <c r="AF89" i="14"/>
  <c r="AF141" i="14"/>
  <c r="AF151" i="14"/>
  <c r="AF170" i="14"/>
  <c r="AF59" i="14"/>
  <c r="AF164" i="14"/>
  <c r="AF211" i="14"/>
  <c r="AF19" i="14"/>
  <c r="AF236" i="14"/>
  <c r="AF179" i="14"/>
  <c r="AF169" i="14"/>
  <c r="AF178" i="14"/>
  <c r="AF193" i="14"/>
  <c r="AF210" i="14"/>
  <c r="AF198" i="14"/>
  <c r="AF202" i="14"/>
  <c r="AF261" i="14"/>
  <c r="AF264" i="14"/>
  <c r="AF101" i="14"/>
  <c r="AF239" i="14"/>
  <c r="AF246" i="14"/>
  <c r="AF277" i="14"/>
  <c r="AF252" i="14"/>
  <c r="AF285" i="14"/>
  <c r="AF289" i="14"/>
  <c r="AF292" i="14"/>
  <c r="AF215" i="14"/>
  <c r="AF38" i="14"/>
  <c r="AF148" i="14"/>
  <c r="AF255" i="14"/>
  <c r="AF267" i="14"/>
  <c r="AF208" i="14"/>
  <c r="AF222" i="14"/>
  <c r="AF209" i="14"/>
  <c r="AF225" i="14"/>
  <c r="AF227" i="14"/>
  <c r="T73" i="19"/>
  <c r="Y8" i="66"/>
  <c r="F19" i="62"/>
  <c r="F18" i="62"/>
  <c r="AI9" i="66"/>
  <c r="H45" i="94"/>
  <c r="H49" i="94" s="1"/>
  <c r="AI3" i="66"/>
  <c r="AI15" i="66"/>
  <c r="M6" i="86"/>
  <c r="M149" i="86"/>
  <c r="M166" i="86"/>
  <c r="M142" i="86"/>
  <c r="M100" i="86"/>
  <c r="M74" i="86"/>
  <c r="M62" i="86"/>
  <c r="M80" i="86"/>
  <c r="M92" i="86"/>
  <c r="M141" i="86"/>
  <c r="M160" i="86"/>
  <c r="Y6" i="66"/>
  <c r="G45" i="94"/>
  <c r="G49" i="94" s="1"/>
  <c r="M4" i="86"/>
  <c r="M67" i="86"/>
  <c r="M84" i="86"/>
  <c r="M148" i="86"/>
  <c r="M118" i="86"/>
  <c r="M124" i="86"/>
  <c r="M131" i="86"/>
  <c r="M153" i="86"/>
  <c r="M128" i="86"/>
  <c r="M96" i="86"/>
  <c r="M103" i="86"/>
  <c r="M11" i="86"/>
  <c r="M13" i="86"/>
  <c r="M115" i="86"/>
  <c r="M155" i="86"/>
  <c r="M122" i="86"/>
  <c r="M167" i="86"/>
  <c r="M135" i="86"/>
  <c r="M21" i="86"/>
  <c r="M107" i="86"/>
  <c r="M73" i="86"/>
  <c r="M25" i="86"/>
  <c r="M35" i="86"/>
  <c r="M136" i="86"/>
  <c r="M150" i="86"/>
  <c r="M79" i="86"/>
  <c r="M147" i="86"/>
  <c r="L153" i="86"/>
  <c r="M14" i="86"/>
  <c r="M3" i="86"/>
  <c r="M18" i="86"/>
  <c r="M85" i="86"/>
  <c r="M89" i="86"/>
  <c r="M125" i="86"/>
  <c r="M55" i="86"/>
  <c r="M66" i="86"/>
  <c r="M78" i="86"/>
  <c r="M152" i="86"/>
  <c r="M168" i="86"/>
  <c r="M133" i="86"/>
  <c r="M154" i="86"/>
  <c r="M123" i="86"/>
  <c r="M137" i="86"/>
  <c r="M22" i="86"/>
  <c r="M69" i="86"/>
  <c r="M63" i="86"/>
  <c r="M113" i="86"/>
  <c r="M143" i="86"/>
  <c r="M161" i="86"/>
  <c r="M60" i="86"/>
  <c r="M90" i="86"/>
  <c r="M64" i="86"/>
  <c r="M87" i="86"/>
  <c r="M129" i="86"/>
  <c r="M157" i="86"/>
  <c r="M134" i="86"/>
  <c r="M9" i="86"/>
  <c r="M41" i="86"/>
  <c r="M50" i="86"/>
  <c r="M68" i="86"/>
  <c r="M93" i="86"/>
  <c r="M130" i="86"/>
  <c r="M144" i="86"/>
  <c r="M40" i="86"/>
  <c r="M109" i="86"/>
  <c r="M20" i="86"/>
  <c r="M19" i="86"/>
  <c r="M48" i="86"/>
  <c r="M119" i="86"/>
  <c r="M121" i="86"/>
  <c r="M37" i="86"/>
  <c r="M51" i="86"/>
  <c r="M54" i="86"/>
  <c r="M98" i="86"/>
  <c r="M61" i="86"/>
  <c r="M105" i="86"/>
  <c r="M163" i="86"/>
  <c r="M146" i="86"/>
  <c r="M151" i="86"/>
  <c r="M138" i="86"/>
  <c r="M164" i="86"/>
  <c r="M43" i="86"/>
  <c r="M132" i="86"/>
  <c r="M26" i="86"/>
  <c r="M44" i="86"/>
  <c r="M76" i="86"/>
  <c r="M77" i="86"/>
  <c r="M86" i="86"/>
  <c r="M127" i="86"/>
  <c r="M140" i="86"/>
  <c r="M165" i="86"/>
  <c r="M156" i="86"/>
  <c r="M158" i="86"/>
  <c r="M88" i="86"/>
  <c r="M101" i="86"/>
  <c r="M5" i="86"/>
  <c r="M16" i="86"/>
  <c r="M2" i="86"/>
  <c r="M65" i="86"/>
  <c r="M57" i="86"/>
  <c r="M23" i="86"/>
  <c r="M102" i="86"/>
  <c r="M108" i="86"/>
  <c r="M56" i="86"/>
  <c r="M72" i="86"/>
  <c r="M70" i="86"/>
  <c r="M30" i="86"/>
  <c r="M91" i="86"/>
  <c r="M120" i="86"/>
  <c r="M29" i="86"/>
  <c r="M47" i="86"/>
  <c r="M46" i="86"/>
  <c r="M94" i="86"/>
  <c r="M104" i="86"/>
  <c r="M99" i="86"/>
  <c r="M8" i="86"/>
  <c r="M58" i="86"/>
  <c r="M159" i="86"/>
  <c r="M162" i="86"/>
  <c r="M82" i="86"/>
  <c r="J13" i="86"/>
  <c r="J23" i="86"/>
  <c r="M145" i="86"/>
  <c r="M97" i="86"/>
  <c r="M7" i="86"/>
  <c r="M17" i="86"/>
  <c r="M15" i="86"/>
  <c r="M42" i="86"/>
  <c r="M114" i="86"/>
  <c r="M24" i="86"/>
  <c r="M34" i="86"/>
  <c r="M39" i="86"/>
  <c r="M45" i="86"/>
  <c r="M117" i="86"/>
  <c r="M27" i="86"/>
  <c r="M32" i="86"/>
  <c r="M38" i="86"/>
  <c r="M52" i="86"/>
  <c r="M71" i="86"/>
  <c r="M112" i="86"/>
  <c r="M126" i="86"/>
  <c r="M59" i="86"/>
  <c r="M75" i="86"/>
  <c r="M83" i="86"/>
  <c r="M106" i="86"/>
  <c r="M49" i="86"/>
  <c r="M53" i="86"/>
  <c r="M111" i="86"/>
  <c r="M81" i="86"/>
  <c r="M31" i="86"/>
  <c r="M139" i="86"/>
  <c r="M10" i="86"/>
  <c r="M12" i="86"/>
  <c r="M33" i="86"/>
  <c r="K3" i="86"/>
  <c r="J5" i="86"/>
  <c r="L7" i="86"/>
  <c r="K9" i="86"/>
  <c r="K11" i="86"/>
  <c r="L15" i="86"/>
  <c r="J17" i="86"/>
  <c r="K19" i="86"/>
  <c r="L21" i="86"/>
  <c r="K25" i="86"/>
  <c r="J27" i="86"/>
  <c r="L29" i="86"/>
  <c r="L31" i="86"/>
  <c r="L33" i="86"/>
  <c r="J35" i="86"/>
  <c r="L37" i="86"/>
  <c r="K39" i="86"/>
  <c r="L41" i="86"/>
  <c r="J43" i="86"/>
  <c r="J139" i="86"/>
  <c r="K45" i="86"/>
  <c r="K47" i="86"/>
  <c r="J49" i="86"/>
  <c r="L51" i="86"/>
  <c r="L53" i="86"/>
  <c r="J55" i="86"/>
  <c r="L57" i="86"/>
  <c r="J59" i="86"/>
  <c r="J61" i="86"/>
  <c r="L63" i="86"/>
  <c r="J65" i="86"/>
  <c r="K67" i="86"/>
  <c r="K69" i="86"/>
  <c r="K71" i="86"/>
  <c r="J73" i="86"/>
  <c r="J75" i="86"/>
  <c r="L77" i="86"/>
  <c r="K79" i="86"/>
  <c r="K81" i="86"/>
  <c r="J83" i="86"/>
  <c r="J85" i="86"/>
  <c r="J87" i="86"/>
  <c r="J89" i="86"/>
  <c r="J91" i="86"/>
  <c r="K93" i="86"/>
  <c r="L95" i="86"/>
  <c r="J97" i="86"/>
  <c r="L99" i="86"/>
  <c r="J101" i="86"/>
  <c r="K103" i="86"/>
  <c r="L105" i="86"/>
  <c r="K107" i="86"/>
  <c r="J109" i="86"/>
  <c r="J111" i="86"/>
  <c r="L113" i="86"/>
  <c r="L115" i="86"/>
  <c r="L117" i="86"/>
  <c r="L119" i="86"/>
  <c r="L121" i="86"/>
  <c r="J123" i="86"/>
  <c r="K125" i="86"/>
  <c r="L127" i="86"/>
  <c r="L129" i="86"/>
  <c r="K131" i="86"/>
  <c r="K133" i="86"/>
  <c r="K135" i="86"/>
  <c r="L137" i="86"/>
  <c r="K139" i="86"/>
  <c r="L141" i="86"/>
  <c r="L143" i="86"/>
  <c r="K145" i="86"/>
  <c r="J147" i="86"/>
  <c r="K149" i="86"/>
  <c r="K151" i="86"/>
  <c r="K153" i="86"/>
  <c r="K155" i="86"/>
  <c r="J157" i="86"/>
  <c r="J159" i="86"/>
  <c r="J161" i="86"/>
  <c r="L163" i="86"/>
  <c r="L165" i="86"/>
  <c r="K167" i="86"/>
  <c r="J2" i="86"/>
  <c r="K4" i="86"/>
  <c r="J6" i="86"/>
  <c r="J8" i="86"/>
  <c r="L10" i="86"/>
  <c r="J12" i="86"/>
  <c r="J14" i="86"/>
  <c r="L16" i="86"/>
  <c r="J18" i="86"/>
  <c r="L20" i="86"/>
  <c r="L22" i="86"/>
  <c r="K24" i="86"/>
  <c r="K26" i="86"/>
  <c r="L28" i="86"/>
  <c r="L30" i="86"/>
  <c r="J32" i="86"/>
  <c r="L34" i="86"/>
  <c r="L36" i="86"/>
  <c r="K38" i="86"/>
  <c r="L40" i="86"/>
  <c r="L42" i="86"/>
  <c r="K44" i="86"/>
  <c r="L46" i="86"/>
  <c r="J48" i="86"/>
  <c r="J50" i="86"/>
  <c r="J52" i="86"/>
  <c r="L54" i="86"/>
  <c r="L56" i="86"/>
  <c r="K58" i="86"/>
  <c r="L60" i="86"/>
  <c r="L62" i="86"/>
  <c r="L64" i="86"/>
  <c r="J66" i="86"/>
  <c r="L68" i="86"/>
  <c r="J70" i="86"/>
  <c r="K72" i="86"/>
  <c r="K74" i="86"/>
  <c r="L76" i="86"/>
  <c r="L78" i="86"/>
  <c r="L80" i="86"/>
  <c r="K82" i="86"/>
  <c r="J84" i="86"/>
  <c r="L86" i="86"/>
  <c r="L88" i="86"/>
  <c r="K90" i="86"/>
  <c r="K92" i="86"/>
  <c r="J94" i="86"/>
  <c r="J96" i="86"/>
  <c r="J98" i="86"/>
  <c r="L100" i="86"/>
  <c r="J102" i="86"/>
  <c r="J104" i="86"/>
  <c r="L106" i="86"/>
  <c r="J108" i="86"/>
  <c r="L110" i="86"/>
  <c r="L112" i="86"/>
  <c r="J114" i="86"/>
  <c r="K116" i="86"/>
  <c r="K118" i="86"/>
  <c r="L120" i="86"/>
  <c r="K122" i="86"/>
  <c r="J124" i="86"/>
  <c r="K126" i="86"/>
  <c r="K128" i="86"/>
  <c r="L130" i="86"/>
  <c r="J132" i="86"/>
  <c r="K134" i="86"/>
  <c r="J136" i="86"/>
  <c r="L138" i="86"/>
  <c r="L140" i="86"/>
  <c r="J142" i="86"/>
  <c r="K144" i="86"/>
  <c r="J146" i="86"/>
  <c r="L148" i="86"/>
  <c r="K150" i="86"/>
  <c r="K152" i="86"/>
  <c r="K154" i="86"/>
  <c r="L156" i="86"/>
  <c r="K158" i="86"/>
  <c r="J160" i="86"/>
  <c r="K162" i="86"/>
  <c r="K164" i="86"/>
  <c r="L166" i="86"/>
  <c r="J168" i="86"/>
  <c r="Y18" i="66"/>
  <c r="AI5" i="66"/>
  <c r="Y22" i="66"/>
  <c r="Y16" i="66"/>
  <c r="AI12" i="66"/>
  <c r="Y7" i="66"/>
  <c r="AI24" i="66"/>
  <c r="C31" i="94"/>
  <c r="C41" i="94" s="1"/>
  <c r="D31" i="94"/>
  <c r="B42" i="92"/>
  <c r="Y17" i="66"/>
  <c r="Y23" i="66"/>
  <c r="B51" i="92"/>
  <c r="AI10" i="66"/>
  <c r="E31" i="94"/>
  <c r="Y11" i="66"/>
  <c r="Y25" i="66"/>
  <c r="Y4" i="66"/>
  <c r="Y14" i="66"/>
  <c r="Y21" i="66"/>
  <c r="X13" i="66"/>
  <c r="X26" i="66" s="1"/>
  <c r="AG26" i="66"/>
  <c r="Z26" i="66" s="1"/>
  <c r="Z4" i="66"/>
  <c r="D40" i="94"/>
  <c r="Y19" i="66"/>
  <c r="E40" i="94"/>
  <c r="Y13" i="66"/>
  <c r="AI20" i="66"/>
  <c r="F21" i="62"/>
  <c r="F15" i="62"/>
  <c r="J130" i="86"/>
  <c r="K166" i="86"/>
  <c r="K136" i="86"/>
  <c r="L162" i="86"/>
  <c r="L154" i="86"/>
  <c r="K100" i="86"/>
  <c r="K104" i="86"/>
  <c r="J100" i="86"/>
  <c r="K112" i="86"/>
  <c r="J150" i="86"/>
  <c r="L134" i="86"/>
  <c r="L144" i="86"/>
  <c r="J134" i="86"/>
  <c r="J154" i="86"/>
  <c r="J152" i="86"/>
  <c r="L152" i="86"/>
  <c r="K148" i="86"/>
  <c r="L114" i="86"/>
  <c r="L90" i="86"/>
  <c r="L126" i="86"/>
  <c r="K96" i="86"/>
  <c r="L122" i="86"/>
  <c r="L136" i="86"/>
  <c r="L158" i="86"/>
  <c r="L124" i="86"/>
  <c r="L94" i="86"/>
  <c r="J156" i="86"/>
  <c r="K94" i="86"/>
  <c r="K84" i="86"/>
  <c r="J122" i="86"/>
  <c r="J16" i="86"/>
  <c r="J138" i="86"/>
  <c r="L168" i="86"/>
  <c r="L146" i="86"/>
  <c r="K142" i="86"/>
  <c r="J112" i="86"/>
  <c r="F29" i="62"/>
  <c r="F24" i="62"/>
  <c r="F10" i="62"/>
  <c r="F20" i="62"/>
  <c r="F11" i="62"/>
  <c r="F16" i="62"/>
  <c r="F13" i="62"/>
  <c r="F17" i="62"/>
  <c r="F14" i="62"/>
  <c r="L118" i="86"/>
  <c r="K86" i="86"/>
  <c r="J88" i="86"/>
  <c r="J162" i="86"/>
  <c r="L132" i="86"/>
  <c r="J110" i="86"/>
  <c r="L92" i="86"/>
  <c r="K156" i="86"/>
  <c r="J144" i="86"/>
  <c r="J164" i="86"/>
  <c r="L142" i="86"/>
  <c r="J116" i="86"/>
  <c r="J62" i="86"/>
  <c r="J68" i="86"/>
  <c r="L102" i="86"/>
  <c r="K88" i="86"/>
  <c r="J128" i="86"/>
  <c r="J166" i="86"/>
  <c r="L164" i="86"/>
  <c r="J158" i="86"/>
  <c r="K130" i="86"/>
  <c r="K110" i="86"/>
  <c r="L48" i="86"/>
  <c r="K78" i="86"/>
  <c r="L128" i="86"/>
  <c r="K160" i="86"/>
  <c r="L160" i="86"/>
  <c r="J126" i="86"/>
  <c r="J106" i="86"/>
  <c r="L18" i="86"/>
  <c r="J135" i="86"/>
  <c r="L74" i="86"/>
  <c r="L6" i="86"/>
  <c r="K66" i="86"/>
  <c r="K68" i="86"/>
  <c r="L24" i="86"/>
  <c r="L58" i="86"/>
  <c r="L82" i="86"/>
  <c r="L38" i="86"/>
  <c r="J22" i="86"/>
  <c r="K40" i="86"/>
  <c r="L52" i="86"/>
  <c r="K54" i="86"/>
  <c r="L70" i="86"/>
  <c r="K6" i="86"/>
  <c r="K56" i="86"/>
  <c r="K62" i="86"/>
  <c r="J78" i="86"/>
  <c r="K46" i="86"/>
  <c r="J72" i="86"/>
  <c r="K30" i="86"/>
  <c r="L147" i="86"/>
  <c r="K137" i="86"/>
  <c r="J145" i="86"/>
  <c r="K157" i="86"/>
  <c r="J141" i="86"/>
  <c r="L14" i="86"/>
  <c r="K12" i="86"/>
  <c r="L8" i="86"/>
  <c r="J60" i="86"/>
  <c r="K18" i="86"/>
  <c r="K14" i="86"/>
  <c r="J30" i="86"/>
  <c r="K102" i="86"/>
  <c r="J82" i="86"/>
  <c r="J148" i="86"/>
  <c r="J90" i="86"/>
  <c r="K16" i="86"/>
  <c r="K48" i="86"/>
  <c r="J120" i="86"/>
  <c r="L84" i="86"/>
  <c r="J140" i="86"/>
  <c r="L116" i="86"/>
  <c r="K42" i="86"/>
  <c r="K138" i="86"/>
  <c r="K124" i="86"/>
  <c r="K114" i="86"/>
  <c r="K106" i="86"/>
  <c r="K98" i="86"/>
  <c r="J92" i="86"/>
  <c r="J74" i="86"/>
  <c r="L72" i="86"/>
  <c r="K64" i="86"/>
  <c r="L50" i="86"/>
  <c r="J42" i="86"/>
  <c r="L26" i="86"/>
  <c r="K22" i="86"/>
  <c r="L2" i="86"/>
  <c r="J38" i="86"/>
  <c r="J46" i="86"/>
  <c r="L104" i="86"/>
  <c r="J54" i="86"/>
  <c r="K120" i="86"/>
  <c r="J28" i="86"/>
  <c r="J56" i="86"/>
  <c r="K146" i="86"/>
  <c r="J118" i="86"/>
  <c r="K108" i="86"/>
  <c r="L98" i="86"/>
  <c r="J86" i="86"/>
  <c r="L66" i="86"/>
  <c r="J58" i="86"/>
  <c r="J34" i="86"/>
  <c r="J24" i="86"/>
  <c r="K52" i="86"/>
  <c r="K20" i="86"/>
  <c r="L12" i="86"/>
  <c r="J26" i="86"/>
  <c r="J44" i="86"/>
  <c r="K36" i="86"/>
  <c r="K70" i="86"/>
  <c r="L44" i="86"/>
  <c r="K32" i="86"/>
  <c r="K50" i="86"/>
  <c r="L32" i="86"/>
  <c r="K80" i="86"/>
  <c r="K34" i="86"/>
  <c r="L96" i="86"/>
  <c r="K76" i="86"/>
  <c r="J64" i="86"/>
  <c r="J20" i="86"/>
  <c r="J10" i="86"/>
  <c r="K28" i="86"/>
  <c r="L150" i="86"/>
  <c r="J40" i="86"/>
  <c r="K168" i="86"/>
  <c r="J76" i="86"/>
  <c r="L108" i="86"/>
  <c r="K132" i="86"/>
  <c r="L4" i="86"/>
  <c r="K60" i="86"/>
  <c r="J80" i="86"/>
  <c r="K140" i="86"/>
  <c r="J36" i="86"/>
  <c r="K2" i="86"/>
  <c r="L145" i="86"/>
  <c r="J143" i="86"/>
  <c r="K165" i="86"/>
  <c r="K163" i="86"/>
  <c r="K8" i="86"/>
  <c r="J153" i="86"/>
  <c r="K77" i="86"/>
  <c r="L133" i="86"/>
  <c r="K129" i="86"/>
  <c r="J105" i="86"/>
  <c r="L109" i="86"/>
  <c r="L125" i="86"/>
  <c r="K117" i="86"/>
  <c r="J107" i="86"/>
  <c r="J95" i="86"/>
  <c r="L93" i="86"/>
  <c r="L67" i="86"/>
  <c r="K65" i="86"/>
  <c r="K89" i="86"/>
  <c r="L85" i="86"/>
  <c r="J67" i="86"/>
  <c r="J117" i="86"/>
  <c r="J113" i="86"/>
  <c r="K83" i="86"/>
  <c r="J63" i="86"/>
  <c r="L91" i="86"/>
  <c r="J4" i="86"/>
  <c r="K10" i="86"/>
  <c r="L17" i="86"/>
  <c r="J103" i="86"/>
  <c r="K91" i="86"/>
  <c r="L103" i="86"/>
  <c r="L49" i="86"/>
  <c r="L75" i="86"/>
  <c r="J79" i="86"/>
  <c r="K75" i="86"/>
  <c r="L79" i="86"/>
  <c r="J9" i="86"/>
  <c r="J11" i="86"/>
  <c r="J33" i="86"/>
  <c r="K15" i="86"/>
  <c r="J81" i="86"/>
  <c r="L27" i="86"/>
  <c r="K31" i="86"/>
  <c r="L59" i="86"/>
  <c r="K43" i="86"/>
  <c r="K95" i="86"/>
  <c r="L69" i="86"/>
  <c r="J69" i="86"/>
  <c r="J137" i="86"/>
  <c r="L97" i="86"/>
  <c r="L107" i="86"/>
  <c r="L139" i="86"/>
  <c r="K99" i="86"/>
  <c r="L43" i="86"/>
  <c r="L61" i="86"/>
  <c r="K113" i="86"/>
  <c r="L23" i="86"/>
  <c r="J151" i="86"/>
  <c r="K105" i="86"/>
  <c r="K111" i="86"/>
  <c r="J29" i="86"/>
  <c r="J41" i="86"/>
  <c r="J51" i="86"/>
  <c r="J167" i="86"/>
  <c r="K127" i="86"/>
  <c r="L131" i="86"/>
  <c r="J25" i="86"/>
  <c r="L83" i="86"/>
  <c r="K143" i="86"/>
  <c r="L159" i="86"/>
  <c r="L149" i="86"/>
  <c r="L161" i="86"/>
  <c r="L151" i="86"/>
  <c r="J127" i="86"/>
  <c r="J115" i="86"/>
  <c r="K101" i="86"/>
  <c r="J77" i="86"/>
  <c r="K57" i="86"/>
  <c r="J133" i="86"/>
  <c r="L87" i="86"/>
  <c r="K29" i="86"/>
  <c r="J93" i="86"/>
  <c r="L81" i="86"/>
  <c r="L11" i="86"/>
  <c r="K87" i="86"/>
  <c r="L3" i="86"/>
  <c r="L71" i="86"/>
  <c r="J57" i="86"/>
  <c r="K141" i="86"/>
  <c r="L45" i="86"/>
  <c r="J131" i="86"/>
  <c r="K55" i="86"/>
  <c r="K115" i="86"/>
  <c r="J99" i="86"/>
  <c r="J121" i="86"/>
  <c r="J119" i="86"/>
  <c r="J129" i="86"/>
  <c r="L101" i="86"/>
  <c r="K159" i="86"/>
  <c r="J163" i="86"/>
  <c r="L167" i="86"/>
  <c r="J155" i="86"/>
  <c r="K147" i="86"/>
  <c r="L157" i="86"/>
  <c r="J149" i="86"/>
  <c r="L135" i="86"/>
  <c r="J125" i="86"/>
  <c r="K109" i="86"/>
  <c r="K85" i="86"/>
  <c r="L55" i="86"/>
  <c r="L123" i="86"/>
  <c r="L89" i="86"/>
  <c r="L35" i="86"/>
  <c r="L65" i="86"/>
  <c r="K121" i="86"/>
  <c r="L111" i="86"/>
  <c r="K123" i="86"/>
  <c r="K97" i="86"/>
  <c r="K119" i="86"/>
  <c r="K161" i="86"/>
  <c r="L155" i="86"/>
  <c r="J165" i="86"/>
  <c r="J71" i="86"/>
  <c r="K27" i="86"/>
  <c r="K33" i="86"/>
  <c r="J45" i="86"/>
  <c r="J15" i="86"/>
  <c r="K23" i="86"/>
  <c r="K5" i="86"/>
  <c r="K61" i="86"/>
  <c r="K63" i="86"/>
  <c r="K49" i="86"/>
  <c r="L73" i="86"/>
  <c r="K51" i="86"/>
  <c r="K41" i="86"/>
  <c r="L19" i="86"/>
  <c r="L5" i="86"/>
  <c r="J53" i="86"/>
  <c r="K59" i="86"/>
  <c r="L47" i="86"/>
  <c r="K73" i="86"/>
  <c r="K53" i="86"/>
  <c r="L39" i="86"/>
  <c r="K35" i="86"/>
  <c r="L25" i="86"/>
  <c r="J19" i="86"/>
  <c r="J21" i="86"/>
  <c r="K37" i="86"/>
  <c r="J37" i="86"/>
  <c r="J39" i="86"/>
  <c r="J47" i="86"/>
  <c r="K7" i="86"/>
  <c r="K13" i="86"/>
  <c r="J3" i="86"/>
  <c r="L13" i="86"/>
  <c r="K17" i="86"/>
  <c r="J31" i="86"/>
  <c r="L9" i="86"/>
  <c r="K21" i="86"/>
  <c r="J7" i="86"/>
  <c r="D30" i="62"/>
  <c r="AC11" i="43"/>
  <c r="AD11" i="43"/>
  <c r="AE11" i="43" s="1"/>
  <c r="AD14" i="43"/>
  <c r="AE14" i="43" s="1"/>
  <c r="AC14" i="43"/>
  <c r="AD18" i="43"/>
  <c r="AE18" i="43" s="1"/>
  <c r="AC18" i="43"/>
  <c r="AC17" i="43"/>
  <c r="AD17" i="43"/>
  <c r="AE17" i="43" s="1"/>
  <c r="AD15" i="43"/>
  <c r="AE15" i="43" s="1"/>
  <c r="AC15" i="43"/>
  <c r="AD19" i="43"/>
  <c r="AE19" i="43" s="1"/>
  <c r="AC19" i="43"/>
  <c r="AD13" i="43"/>
  <c r="AE13" i="43" s="1"/>
  <c r="AC13" i="43"/>
  <c r="AC10" i="43"/>
  <c r="AD10" i="43"/>
  <c r="AE10" i="43" s="1"/>
  <c r="AD16" i="43"/>
  <c r="AE16" i="43" s="1"/>
  <c r="AC16" i="43"/>
  <c r="AC12" i="43"/>
  <c r="AD12" i="43"/>
  <c r="AE12" i="43" s="1"/>
  <c r="E12" i="62" l="1"/>
  <c r="G12" i="62" s="1"/>
  <c r="U48" i="19"/>
  <c r="U65" i="19" s="1"/>
  <c r="W48" i="19"/>
  <c r="J46" i="19"/>
  <c r="J75" i="19"/>
  <c r="J65" i="19"/>
  <c r="W65" i="19"/>
  <c r="S65" i="19"/>
  <c r="T65" i="19"/>
  <c r="K65" i="19"/>
  <c r="K75" i="19" s="1"/>
  <c r="I44" i="19"/>
  <c r="L44" i="19"/>
  <c r="T20" i="19"/>
  <c r="V44" i="19"/>
  <c r="V46" i="19" s="1"/>
  <c r="V48" i="19" s="1"/>
  <c r="T44" i="19"/>
  <c r="T46" i="19" s="1"/>
  <c r="T48" i="19" s="1"/>
  <c r="E41" i="94"/>
  <c r="B52" i="92"/>
  <c r="D41" i="94"/>
  <c r="Y26" i="66"/>
  <c r="AD26" i="66" s="1"/>
  <c r="I47" i="94"/>
  <c r="F30" i="62"/>
  <c r="H6" i="62" s="1"/>
  <c r="H12" i="62" l="1"/>
  <c r="CG19" i="62" s="1"/>
  <c r="CE19" i="62" s="1"/>
  <c r="E16" i="62"/>
  <c r="J48" i="19"/>
  <c r="E14" i="62" s="1"/>
  <c r="E13" i="62"/>
  <c r="E15" i="62"/>
  <c r="L46" i="19"/>
  <c r="W75" i="19"/>
  <c r="T75" i="19"/>
  <c r="T79" i="19" s="1"/>
  <c r="U75" i="19"/>
  <c r="K79" i="19"/>
  <c r="S75" i="19"/>
  <c r="W79" i="19"/>
  <c r="I46" i="19"/>
  <c r="W88" i="19"/>
  <c r="J79" i="19"/>
  <c r="V65" i="19"/>
  <c r="I45" i="94"/>
  <c r="AA26" i="66"/>
  <c r="AC26" i="66"/>
  <c r="AB26" i="66"/>
  <c r="I49" i="94"/>
  <c r="I50" i="94"/>
  <c r="I46" i="94"/>
  <c r="I48" i="94"/>
  <c r="H184" i="19"/>
  <c r="G16" i="62" l="1"/>
  <c r="H16" i="62"/>
  <c r="CF21" i="62" s="1"/>
  <c r="H15" i="62"/>
  <c r="CF20" i="62" s="1"/>
  <c r="G15" i="62"/>
  <c r="H13" i="62"/>
  <c r="G13" i="62"/>
  <c r="E17" i="62"/>
  <c r="H14" i="62"/>
  <c r="G14" i="62"/>
  <c r="T91" i="19"/>
  <c r="U79" i="19"/>
  <c r="L48" i="19"/>
  <c r="T104" i="19"/>
  <c r="J88" i="19"/>
  <c r="V79" i="19"/>
  <c r="V75" i="19"/>
  <c r="T88" i="19"/>
  <c r="K88" i="19"/>
  <c r="S79" i="19"/>
  <c r="I48" i="19"/>
  <c r="I65" i="19"/>
  <c r="W91" i="19"/>
  <c r="K91" i="19"/>
  <c r="L65" i="19"/>
  <c r="V88" i="19"/>
  <c r="CG21" i="62" l="1"/>
  <c r="CE21" i="62" s="1"/>
  <c r="E18" i="62"/>
  <c r="H18" i="62" s="1"/>
  <c r="CF23" i="62" s="1"/>
  <c r="CG20" i="62"/>
  <c r="CE20" i="62" s="1"/>
  <c r="G17" i="62"/>
  <c r="H17" i="62"/>
  <c r="CF22" i="62" s="1"/>
  <c r="S88" i="19"/>
  <c r="U88" i="19"/>
  <c r="J91" i="19"/>
  <c r="E19" i="62" s="1"/>
  <c r="K104" i="19"/>
  <c r="V91" i="19"/>
  <c r="W104" i="19"/>
  <c r="T108" i="19"/>
  <c r="T136" i="19" s="1"/>
  <c r="I75" i="19"/>
  <c r="I79" i="19" s="1"/>
  <c r="L75" i="19"/>
  <c r="L79" i="19" s="1"/>
  <c r="W108" i="19"/>
  <c r="W136" i="19" s="1"/>
  <c r="G18" i="62" l="1"/>
  <c r="CG23" i="62" s="1"/>
  <c r="CE23" i="62" s="1"/>
  <c r="G19" i="62"/>
  <c r="H19" i="62"/>
  <c r="CF24" i="62" s="1"/>
  <c r="CG22" i="62"/>
  <c r="CE22" i="62" s="1"/>
  <c r="U104" i="19"/>
  <c r="L91" i="19"/>
  <c r="L88" i="19"/>
  <c r="L104" i="19"/>
  <c r="K108" i="19"/>
  <c r="K136" i="19" s="1"/>
  <c r="S91" i="19"/>
  <c r="T143" i="19"/>
  <c r="W143" i="19"/>
  <c r="E10" i="62"/>
  <c r="J104" i="19"/>
  <c r="E20" i="62" s="1"/>
  <c r="I88" i="19"/>
  <c r="V104" i="19"/>
  <c r="U108" i="19"/>
  <c r="U136" i="19" s="1"/>
  <c r="U91" i="19"/>
  <c r="J108" i="19"/>
  <c r="J136" i="19" l="1"/>
  <c r="E22" i="62" s="1"/>
  <c r="E21" i="62"/>
  <c r="H20" i="62"/>
  <c r="CF25" i="62" s="1"/>
  <c r="G20" i="62"/>
  <c r="CG24" i="62"/>
  <c r="CE24" i="62" s="1"/>
  <c r="H10" i="62"/>
  <c r="CG17" i="62" s="1"/>
  <c r="CE17" i="62" s="1"/>
  <c r="G10" i="62"/>
  <c r="S104" i="19"/>
  <c r="S108" i="19"/>
  <c r="S136" i="19" s="1"/>
  <c r="K143" i="19"/>
  <c r="L108" i="19"/>
  <c r="W151" i="19"/>
  <c r="I91" i="19"/>
  <c r="I104" i="19" s="1"/>
  <c r="U143" i="19"/>
  <c r="W148" i="19"/>
  <c r="J148" i="19"/>
  <c r="T151" i="19"/>
  <c r="J143" i="19"/>
  <c r="E23" i="62" s="1"/>
  <c r="T148" i="19"/>
  <c r="V108" i="19"/>
  <c r="CG25" i="62" l="1"/>
  <c r="CE25" i="62" s="1"/>
  <c r="G23" i="62"/>
  <c r="H23" i="62"/>
  <c r="H21" i="62"/>
  <c r="CF26" i="62" s="1"/>
  <c r="G21" i="62"/>
  <c r="H22" i="62"/>
  <c r="CG27" i="62" s="1"/>
  <c r="CE27" i="62" s="1"/>
  <c r="G22" i="62"/>
  <c r="T154" i="19"/>
  <c r="W154" i="19"/>
  <c r="I108" i="19"/>
  <c r="I136" i="19" s="1"/>
  <c r="V136" i="19"/>
  <c r="J154" i="19"/>
  <c r="W157" i="19"/>
  <c r="W161" i="19" s="1"/>
  <c r="W183" i="19" s="1"/>
  <c r="W184" i="19" s="1"/>
  <c r="K151" i="19"/>
  <c r="J151" i="19"/>
  <c r="U151" i="19"/>
  <c r="U148" i="19"/>
  <c r="S143" i="19"/>
  <c r="S148" i="19" s="1"/>
  <c r="L136" i="19"/>
  <c r="L143" i="19"/>
  <c r="T157" i="19"/>
  <c r="T161" i="19" s="1"/>
  <c r="T183" i="19" s="1"/>
  <c r="K148" i="19"/>
  <c r="E24" i="62" s="1"/>
  <c r="T184" i="19" l="1"/>
  <c r="E25" i="62"/>
  <c r="G25" i="62" s="1"/>
  <c r="G24" i="62"/>
  <c r="H24" i="62"/>
  <c r="CG29" i="62" s="1"/>
  <c r="CE29" i="62" s="1"/>
  <c r="CF30" i="62"/>
  <c r="CG28" i="62"/>
  <c r="CE28" i="62" s="1"/>
  <c r="CG30" i="62"/>
  <c r="CG26" i="62"/>
  <c r="CE26" i="62" s="1"/>
  <c r="I143" i="19"/>
  <c r="J161" i="19"/>
  <c r="J157" i="19"/>
  <c r="E11" i="62"/>
  <c r="S151" i="19"/>
  <c r="L148" i="19"/>
  <c r="K154" i="19"/>
  <c r="K157" i="19" s="1"/>
  <c r="K161" i="19" s="1"/>
  <c r="K183" i="19" s="1"/>
  <c r="K184" i="19" s="1"/>
  <c r="U154" i="19"/>
  <c r="U157" i="19" s="1"/>
  <c r="V143" i="19"/>
  <c r="H25" i="62" l="1"/>
  <c r="E27" i="62"/>
  <c r="H27" i="62" s="1"/>
  <c r="CG32" i="62" s="1"/>
  <c r="CE32" i="62" s="1"/>
  <c r="E26" i="62"/>
  <c r="CE30" i="62"/>
  <c r="J183" i="19"/>
  <c r="E28" i="62"/>
  <c r="S157" i="19"/>
  <c r="U161" i="19"/>
  <c r="U183" i="19" s="1"/>
  <c r="U184" i="19" s="1"/>
  <c r="I148" i="19"/>
  <c r="L151" i="19"/>
  <c r="G11" i="62"/>
  <c r="H11" i="62"/>
  <c r="CG18" i="62" s="1"/>
  <c r="CE18" i="62" s="1"/>
  <c r="V148" i="19"/>
  <c r="V151" i="19" s="1"/>
  <c r="S154" i="19"/>
  <c r="S161" i="19" s="1"/>
  <c r="S183" i="19" s="1"/>
  <c r="G27" i="62" l="1"/>
  <c r="S184" i="19"/>
  <c r="E29" i="62"/>
  <c r="J184" i="19"/>
  <c r="H28" i="62"/>
  <c r="G28" i="62"/>
  <c r="E30" i="62"/>
  <c r="H30" i="62" s="1"/>
  <c r="G26" i="62"/>
  <c r="H26" i="62"/>
  <c r="CG31" i="62" s="1"/>
  <c r="CE31" i="62" s="1"/>
  <c r="I154" i="19"/>
  <c r="I151" i="19"/>
  <c r="V154" i="19"/>
  <c r="L154" i="19"/>
  <c r="L157" i="19" s="1"/>
  <c r="G29" i="62" l="1"/>
  <c r="G30" i="62" s="1"/>
  <c r="H7" i="62" s="1"/>
  <c r="H29" i="62"/>
  <c r="L161" i="19"/>
  <c r="L183" i="19" s="1"/>
  <c r="L184" i="19" s="1"/>
  <c r="I157" i="19"/>
  <c r="I161" i="19" s="1"/>
  <c r="I183" i="19" s="1"/>
  <c r="I184" i="19" s="1"/>
  <c r="V157" i="19"/>
  <c r="V161" i="19" s="1"/>
  <c r="V183" i="19" s="1"/>
  <c r="V184" i="19" s="1"/>
</calcChain>
</file>

<file path=xl/comments1.xml><?xml version="1.0" encoding="utf-8"?>
<comments xmlns="http://schemas.openxmlformats.org/spreadsheetml/2006/main">
  <authors>
    <author>Deepika Bhardwaj</author>
  </authors>
  <commentList>
    <comment ref="R195" authorId="0" shapeId="0">
      <text>
        <r>
          <rPr>
            <b/>
            <sz val="9"/>
            <color indexed="81"/>
            <rFont val="Tahoma"/>
            <family val="2"/>
          </rPr>
          <t>Deepika Bhardwaj:</t>
        </r>
        <r>
          <rPr>
            <sz val="9"/>
            <color indexed="81"/>
            <rFont val="Tahoma"/>
            <family val="2"/>
          </rPr>
          <t xml:space="preserve">
updated by phone call: 18 Oct</t>
        </r>
      </text>
    </comment>
    <comment ref="R197" authorId="0" shapeId="0">
      <text>
        <r>
          <rPr>
            <b/>
            <sz val="9"/>
            <color indexed="81"/>
            <rFont val="Tahoma"/>
            <family val="2"/>
          </rPr>
          <t>Deepika Bhardwaj:</t>
        </r>
        <r>
          <rPr>
            <sz val="9"/>
            <color indexed="81"/>
            <rFont val="Tahoma"/>
            <family val="2"/>
          </rPr>
          <t xml:space="preserve">
Updated by phone call: 18 Oct</t>
        </r>
      </text>
    </comment>
  </commentList>
</comments>
</file>

<file path=xl/comments2.xml><?xml version="1.0" encoding="utf-8"?>
<comments xmlns="http://schemas.openxmlformats.org/spreadsheetml/2006/main">
  <authors>
    <author>Soe Moe Kyi</author>
    <author>Deepika Bhardwaj</author>
  </authors>
  <commentList>
    <comment ref="H11" authorId="0" shapeId="0">
      <text>
        <r>
          <rPr>
            <b/>
            <sz val="9"/>
            <color indexed="81"/>
            <rFont val="Tahoma"/>
            <family val="2"/>
          </rPr>
          <t>Soe Moe Kyi:</t>
        </r>
        <r>
          <rPr>
            <sz val="9"/>
            <color indexed="81"/>
            <rFont val="Tahoma"/>
            <family val="2"/>
          </rPr>
          <t xml:space="preserve">
o unit in Sep report.</t>
        </r>
      </text>
    </comment>
    <comment ref="I11" authorId="0" shapeId="0">
      <text>
        <r>
          <rPr>
            <b/>
            <sz val="9"/>
            <color indexed="81"/>
            <rFont val="Tahoma"/>
            <family val="2"/>
          </rPr>
          <t>Soe Moe Kyi:</t>
        </r>
        <r>
          <rPr>
            <sz val="9"/>
            <color indexed="81"/>
            <rFont val="Tahoma"/>
            <family val="2"/>
          </rPr>
          <t xml:space="preserve">
o units in Sep report</t>
        </r>
      </text>
    </comment>
    <comment ref="J11" authorId="0" shapeId="0">
      <text>
        <r>
          <rPr>
            <b/>
            <sz val="9"/>
            <color indexed="81"/>
            <rFont val="Tahoma"/>
            <family val="2"/>
          </rPr>
          <t>Soe Moe Kyi:</t>
        </r>
        <r>
          <rPr>
            <sz val="9"/>
            <color indexed="81"/>
            <rFont val="Tahoma"/>
            <family val="2"/>
          </rPr>
          <t xml:space="preserve">
0 units in Sep report</t>
        </r>
      </text>
    </comment>
    <comment ref="M11" authorId="0" shapeId="0">
      <text>
        <r>
          <rPr>
            <b/>
            <sz val="9"/>
            <color indexed="81"/>
            <rFont val="Tahoma"/>
            <family val="2"/>
          </rPr>
          <t>Soe Moe Kyi:</t>
        </r>
        <r>
          <rPr>
            <sz val="9"/>
            <color indexed="81"/>
            <rFont val="Tahoma"/>
            <family val="2"/>
          </rPr>
          <t xml:space="preserve">
completed 
18 units in July
12 units in September Metta</t>
        </r>
      </text>
    </comment>
    <comment ref="O11" authorId="0" shapeId="0">
      <text>
        <r>
          <rPr>
            <b/>
            <sz val="9"/>
            <color indexed="81"/>
            <rFont val="Tahoma"/>
            <family val="2"/>
          </rPr>
          <t>Soe Moe Kyi:</t>
        </r>
        <r>
          <rPr>
            <sz val="9"/>
            <color indexed="81"/>
            <rFont val="Tahoma"/>
            <family val="2"/>
          </rPr>
          <t xml:space="preserve">
12 units completed in Sep. DRC</t>
        </r>
      </text>
    </comment>
    <comment ref="M12" authorId="0" shapeId="0">
      <text>
        <r>
          <rPr>
            <b/>
            <sz val="9"/>
            <color indexed="81"/>
            <rFont val="Tahoma"/>
            <family val="2"/>
          </rPr>
          <t>Soe Moe Kyi:</t>
        </r>
        <r>
          <rPr>
            <sz val="9"/>
            <color indexed="81"/>
            <rFont val="Tahoma"/>
            <family val="2"/>
          </rPr>
          <t xml:space="preserve">
10 units completed in Oct.</t>
        </r>
      </text>
    </comment>
    <comment ref="O12" authorId="0" shapeId="0">
      <text>
        <r>
          <rPr>
            <b/>
            <sz val="9"/>
            <color indexed="81"/>
            <rFont val="Tahoma"/>
            <family val="2"/>
          </rPr>
          <t>Soe Moe Kyi:</t>
        </r>
        <r>
          <rPr>
            <sz val="9"/>
            <color indexed="81"/>
            <rFont val="Tahoma"/>
            <family val="2"/>
          </rPr>
          <t xml:space="preserve">
18 units completed in July.
3 units completed in Sep.</t>
        </r>
      </text>
    </comment>
    <comment ref="M38" authorId="0" shapeId="0">
      <text>
        <r>
          <rPr>
            <b/>
            <sz val="9"/>
            <color indexed="81"/>
            <rFont val="Tahoma"/>
            <family val="2"/>
          </rPr>
          <t>Soe Moe Kyi:</t>
        </r>
        <r>
          <rPr>
            <sz val="9"/>
            <color indexed="81"/>
            <rFont val="Tahoma"/>
            <family val="2"/>
          </rPr>
          <t xml:space="preserve">
18 units private donor (Completed)
25 units MHF (Planned)
</t>
        </r>
      </text>
    </comment>
    <comment ref="H41" authorId="0" shapeId="0">
      <text>
        <r>
          <rPr>
            <b/>
            <sz val="9"/>
            <color indexed="81"/>
            <rFont val="Tahoma"/>
            <family val="2"/>
          </rPr>
          <t>Soe Moe Kyi:</t>
        </r>
        <r>
          <rPr>
            <sz val="9"/>
            <color indexed="81"/>
            <rFont val="Tahoma"/>
            <family val="2"/>
          </rPr>
          <t xml:space="preserve">
20 in Sep report</t>
        </r>
      </text>
    </comment>
    <comment ref="M42" authorId="0" shapeId="0">
      <text>
        <r>
          <rPr>
            <b/>
            <sz val="9"/>
            <color indexed="81"/>
            <rFont val="Tahoma"/>
            <family val="2"/>
          </rPr>
          <t>Soe Moe Kyi:</t>
        </r>
        <r>
          <rPr>
            <sz val="9"/>
            <color indexed="81"/>
            <rFont val="Tahoma"/>
            <family val="2"/>
          </rPr>
          <t xml:space="preserve">
NRC 12, MHF 13</t>
        </r>
      </text>
    </comment>
    <comment ref="H51" authorId="0" shapeId="0">
      <text>
        <r>
          <rPr>
            <b/>
            <sz val="9"/>
            <color indexed="81"/>
            <rFont val="Tahoma"/>
            <family val="2"/>
          </rPr>
          <t>Soe Moe Kyi:</t>
        </r>
        <r>
          <rPr>
            <sz val="9"/>
            <color indexed="81"/>
            <rFont val="Tahoma"/>
            <family val="2"/>
          </rPr>
          <t xml:space="preserve">
32 units in KMSS-L July report.</t>
        </r>
      </text>
    </comment>
    <comment ref="I51" authorId="0" shapeId="0">
      <text>
        <r>
          <rPr>
            <b/>
            <sz val="9"/>
            <color indexed="81"/>
            <rFont val="Tahoma"/>
            <family val="2"/>
          </rPr>
          <t>Soe Moe Kyi:</t>
        </r>
        <r>
          <rPr>
            <sz val="9"/>
            <color indexed="81"/>
            <rFont val="Tahoma"/>
            <family val="2"/>
          </rPr>
          <t xml:space="preserve">
32 units in KMSS-L July report.</t>
        </r>
      </text>
    </comment>
    <comment ref="H52" authorId="0" shapeId="0">
      <text>
        <r>
          <rPr>
            <b/>
            <sz val="9"/>
            <color indexed="81"/>
            <rFont val="Tahoma"/>
            <family val="2"/>
          </rPr>
          <t>Soe Moe Kyi:</t>
        </r>
        <r>
          <rPr>
            <sz val="9"/>
            <color indexed="81"/>
            <rFont val="Tahoma"/>
            <family val="2"/>
          </rPr>
          <t xml:space="preserve">
7 units in July report</t>
        </r>
      </text>
    </comment>
    <comment ref="I52" authorId="0" shapeId="0">
      <text>
        <r>
          <rPr>
            <b/>
            <sz val="9"/>
            <color indexed="81"/>
            <rFont val="Tahoma"/>
            <family val="2"/>
          </rPr>
          <t>Soe Moe Kyi:</t>
        </r>
        <r>
          <rPr>
            <sz val="9"/>
            <color indexed="81"/>
            <rFont val="Tahoma"/>
            <family val="2"/>
          </rPr>
          <t xml:space="preserve">
7 units in July report</t>
        </r>
      </text>
    </comment>
    <comment ref="J52" authorId="0" shapeId="0">
      <text>
        <r>
          <rPr>
            <b/>
            <sz val="9"/>
            <color indexed="81"/>
            <rFont val="Tahoma"/>
            <family val="2"/>
          </rPr>
          <t>Soe Moe Kyi:</t>
        </r>
        <r>
          <rPr>
            <sz val="9"/>
            <color indexed="81"/>
            <rFont val="Tahoma"/>
            <family val="2"/>
          </rPr>
          <t xml:space="preserve">
for kitchen.</t>
        </r>
      </text>
    </comment>
    <comment ref="M52" authorId="0" shapeId="0">
      <text>
        <r>
          <rPr>
            <b/>
            <sz val="9"/>
            <color indexed="81"/>
            <rFont val="Tahoma"/>
            <family val="2"/>
          </rPr>
          <t>Soe Moe Kyi:</t>
        </r>
        <r>
          <rPr>
            <sz val="9"/>
            <color indexed="81"/>
            <rFont val="Tahoma"/>
            <family val="2"/>
          </rPr>
          <t xml:space="preserve">
7 units in July report</t>
        </r>
      </text>
    </comment>
    <comment ref="N52" authorId="0" shapeId="0">
      <text>
        <r>
          <rPr>
            <b/>
            <sz val="9"/>
            <color indexed="81"/>
            <rFont val="Tahoma"/>
            <family val="2"/>
          </rPr>
          <t>Soe Moe Kyi:</t>
        </r>
        <r>
          <rPr>
            <sz val="9"/>
            <color indexed="81"/>
            <rFont val="Tahoma"/>
            <family val="2"/>
          </rPr>
          <t xml:space="preserve">
7 units in July report</t>
        </r>
      </text>
    </comment>
    <comment ref="J57" authorId="0" shapeId="0">
      <text>
        <r>
          <rPr>
            <b/>
            <sz val="9"/>
            <color indexed="81"/>
            <rFont val="Tahoma"/>
            <family val="2"/>
          </rPr>
          <t>Soe Moe Kyi:</t>
        </r>
        <r>
          <rPr>
            <sz val="9"/>
            <color indexed="81"/>
            <rFont val="Tahoma"/>
            <family val="2"/>
          </rPr>
          <t xml:space="preserve">
NSS June cluster minutes</t>
        </r>
      </text>
    </comment>
    <comment ref="H59" authorId="0" shapeId="0">
      <text>
        <r>
          <rPr>
            <b/>
            <sz val="9"/>
            <color indexed="81"/>
            <rFont val="Tahoma"/>
            <family val="2"/>
          </rPr>
          <t>Soe Moe Kyi:</t>
        </r>
        <r>
          <rPr>
            <sz val="9"/>
            <color indexed="81"/>
            <rFont val="Tahoma"/>
            <family val="2"/>
          </rPr>
          <t xml:space="preserve">
0 units in Oct report
</t>
        </r>
      </text>
    </comment>
    <comment ref="M59" authorId="0" shapeId="0">
      <text>
        <r>
          <rPr>
            <b/>
            <sz val="9"/>
            <color indexed="81"/>
            <rFont val="Tahoma"/>
            <family val="2"/>
          </rPr>
          <t>Soe Moe Kyi:</t>
        </r>
        <r>
          <rPr>
            <sz val="9"/>
            <color indexed="81"/>
            <rFont val="Tahoma"/>
            <family val="2"/>
          </rPr>
          <t xml:space="preserve">
0 unit in Oct report</t>
        </r>
      </text>
    </comment>
    <comment ref="H60" authorId="0" shapeId="0">
      <text>
        <r>
          <rPr>
            <b/>
            <sz val="9"/>
            <color indexed="81"/>
            <rFont val="Tahoma"/>
            <family val="2"/>
          </rPr>
          <t>Soe Moe Kyi:</t>
        </r>
        <r>
          <rPr>
            <sz val="9"/>
            <color indexed="81"/>
            <rFont val="Tahoma"/>
            <family val="2"/>
          </rPr>
          <t xml:space="preserve">
12 units gaps in KBC's July report</t>
        </r>
      </text>
    </comment>
    <comment ref="I60" authorId="0" shapeId="0">
      <text>
        <r>
          <rPr>
            <b/>
            <sz val="9"/>
            <color indexed="81"/>
            <rFont val="Tahoma"/>
            <family val="2"/>
          </rPr>
          <t>Soe Moe Kyi:</t>
        </r>
        <r>
          <rPr>
            <sz val="9"/>
            <color indexed="81"/>
            <rFont val="Tahoma"/>
            <family val="2"/>
          </rPr>
          <t xml:space="preserve">
12 units gaps in KBC July report</t>
        </r>
      </text>
    </comment>
    <comment ref="M60" authorId="0" shapeId="0">
      <text>
        <r>
          <rPr>
            <b/>
            <sz val="9"/>
            <color indexed="81"/>
            <rFont val="Tahoma"/>
            <family val="2"/>
          </rPr>
          <t>Soe Moe Kyi:</t>
        </r>
        <r>
          <rPr>
            <sz val="9"/>
            <color indexed="81"/>
            <rFont val="Tahoma"/>
            <family val="2"/>
          </rPr>
          <t xml:space="preserve">
0 unit in July report</t>
        </r>
      </text>
    </comment>
    <comment ref="N60" authorId="0" shapeId="0">
      <text>
        <r>
          <rPr>
            <b/>
            <sz val="9"/>
            <color indexed="81"/>
            <rFont val="Tahoma"/>
            <family val="2"/>
          </rPr>
          <t>Soe Moe Kyi:</t>
        </r>
        <r>
          <rPr>
            <sz val="9"/>
            <color indexed="81"/>
            <rFont val="Tahoma"/>
            <family val="2"/>
          </rPr>
          <t xml:space="preserve">
0 units in July report</t>
        </r>
      </text>
    </comment>
    <comment ref="M67" authorId="0" shapeId="0">
      <text>
        <r>
          <rPr>
            <b/>
            <sz val="9"/>
            <color indexed="81"/>
            <rFont val="Tahoma"/>
            <family val="2"/>
          </rPr>
          <t>Soe Moe Kyi:</t>
        </r>
        <r>
          <rPr>
            <sz val="9"/>
            <color indexed="81"/>
            <rFont val="Tahoma"/>
            <family val="2"/>
          </rPr>
          <t xml:space="preserve">
completed</t>
        </r>
      </text>
    </comment>
    <comment ref="N67" authorId="0" shapeId="0">
      <text>
        <r>
          <rPr>
            <b/>
            <sz val="9"/>
            <color indexed="81"/>
            <rFont val="Tahoma"/>
            <family val="2"/>
          </rPr>
          <t>Soe Moe Kyi:</t>
        </r>
        <r>
          <rPr>
            <sz val="9"/>
            <color indexed="81"/>
            <rFont val="Tahoma"/>
            <family val="2"/>
          </rPr>
          <t xml:space="preserve">
completed</t>
        </r>
      </text>
    </comment>
    <comment ref="H70" authorId="0" shapeId="0">
      <text>
        <r>
          <rPr>
            <b/>
            <sz val="9"/>
            <color indexed="81"/>
            <rFont val="Tahoma"/>
            <family val="2"/>
          </rPr>
          <t>Soe Moe Kyi:</t>
        </r>
        <r>
          <rPr>
            <sz val="9"/>
            <color indexed="81"/>
            <rFont val="Tahoma"/>
            <family val="2"/>
          </rPr>
          <t xml:space="preserve">
30 units in July report.</t>
        </r>
      </text>
    </comment>
    <comment ref="I70" authorId="0" shapeId="0">
      <text>
        <r>
          <rPr>
            <b/>
            <sz val="9"/>
            <color indexed="81"/>
            <rFont val="Tahoma"/>
            <family val="2"/>
          </rPr>
          <t>Soe Moe Kyi:</t>
        </r>
        <r>
          <rPr>
            <sz val="9"/>
            <color indexed="81"/>
            <rFont val="Tahoma"/>
            <family val="2"/>
          </rPr>
          <t xml:space="preserve">
30 units in July report.</t>
        </r>
      </text>
    </comment>
    <comment ref="K70" authorId="0" shapeId="0">
      <text>
        <r>
          <rPr>
            <b/>
            <sz val="9"/>
            <color indexed="81"/>
            <rFont val="Tahoma"/>
            <family val="2"/>
          </rPr>
          <t>Soe Moe Kyi:</t>
        </r>
        <r>
          <rPr>
            <sz val="9"/>
            <color indexed="81"/>
            <rFont val="Tahoma"/>
            <family val="2"/>
          </rPr>
          <t xml:space="preserve">
76 unit in July report</t>
        </r>
      </text>
    </comment>
    <comment ref="K74" authorId="0" shapeId="0">
      <text>
        <r>
          <rPr>
            <b/>
            <sz val="9"/>
            <color indexed="81"/>
            <rFont val="Tahoma"/>
            <family val="2"/>
          </rPr>
          <t>Soe Moe Kyi:</t>
        </r>
        <r>
          <rPr>
            <sz val="9"/>
            <color indexed="81"/>
            <rFont val="Tahoma"/>
            <family val="2"/>
          </rPr>
          <t xml:space="preserve">
gaps in July report</t>
        </r>
      </text>
    </comment>
    <comment ref="V80" authorId="0" shapeId="0">
      <text>
        <r>
          <rPr>
            <b/>
            <sz val="9"/>
            <color indexed="81"/>
            <rFont val="Tahoma"/>
            <family val="2"/>
          </rPr>
          <t>Soe Moe Kyi:</t>
        </r>
        <r>
          <rPr>
            <sz val="9"/>
            <color indexed="81"/>
            <rFont val="Tahoma"/>
            <family val="2"/>
          </rPr>
          <t xml:space="preserve">
0 units in July report</t>
        </r>
      </text>
    </comment>
    <comment ref="L92" authorId="0" shapeId="0">
      <text>
        <r>
          <rPr>
            <b/>
            <sz val="9"/>
            <color indexed="81"/>
            <rFont val="Tahoma"/>
            <family val="2"/>
          </rPr>
          <t>Soe Moe Kyi:</t>
        </r>
        <r>
          <rPr>
            <sz val="9"/>
            <color indexed="81"/>
            <rFont val="Tahoma"/>
            <family val="2"/>
          </rPr>
          <t xml:space="preserve">
gap for ware house.
Reported by KMSS-M in June report.</t>
        </r>
      </text>
    </comment>
    <comment ref="M93" authorId="0" shapeId="0">
      <text>
        <r>
          <rPr>
            <b/>
            <sz val="9"/>
            <color indexed="81"/>
            <rFont val="Tahoma"/>
            <family val="2"/>
          </rPr>
          <t>Soe Moe Kyi:</t>
        </r>
        <r>
          <rPr>
            <sz val="9"/>
            <color indexed="81"/>
            <rFont val="Tahoma"/>
            <family val="2"/>
          </rPr>
          <t xml:space="preserve">
0 units in July</t>
        </r>
      </text>
    </comment>
    <comment ref="O93" authorId="0" shapeId="0">
      <text>
        <r>
          <rPr>
            <b/>
            <sz val="9"/>
            <color indexed="81"/>
            <rFont val="Tahoma"/>
            <family val="2"/>
          </rPr>
          <t>Soe Moe Kyi:</t>
        </r>
        <r>
          <rPr>
            <sz val="9"/>
            <color indexed="81"/>
            <rFont val="Tahoma"/>
            <family val="2"/>
          </rPr>
          <t xml:space="preserve">
0 unit in July</t>
        </r>
      </text>
    </comment>
    <comment ref="L94" authorId="0" shapeId="0">
      <text>
        <r>
          <rPr>
            <b/>
            <sz val="9"/>
            <color indexed="81"/>
            <rFont val="Tahoma"/>
            <family val="2"/>
          </rPr>
          <t>Soe Moe Kyi:</t>
        </r>
        <r>
          <rPr>
            <sz val="9"/>
            <color indexed="81"/>
            <rFont val="Tahoma"/>
            <family val="2"/>
          </rPr>
          <t xml:space="preserve">
sub offices with kitchen attached.
KMSS-M's June report.</t>
        </r>
      </text>
    </comment>
    <comment ref="M94" authorId="0" shapeId="0">
      <text>
        <r>
          <rPr>
            <b/>
            <sz val="9"/>
            <color indexed="81"/>
            <rFont val="Tahoma"/>
            <family val="2"/>
          </rPr>
          <t>Soe Moe Kyi:</t>
        </r>
        <r>
          <rPr>
            <sz val="9"/>
            <color indexed="81"/>
            <rFont val="Tahoma"/>
            <family val="2"/>
          </rPr>
          <t xml:space="preserve">
</t>
        </r>
        <r>
          <rPr>
            <sz val="9"/>
            <color indexed="81"/>
            <rFont val="Calibri"/>
            <family val="2"/>
            <scheme val="minor"/>
          </rPr>
          <t>29 unit with UNHCR/KMSS-M and 30 unit with CORDAID/KMSS-M</t>
        </r>
      </text>
    </comment>
    <comment ref="N94" authorId="0" shapeId="0">
      <text>
        <r>
          <rPr>
            <b/>
            <sz val="9"/>
            <color indexed="81"/>
            <rFont val="Tahoma"/>
            <family val="2"/>
          </rPr>
          <t>Soe Moe Kyi:</t>
        </r>
        <r>
          <rPr>
            <sz val="9"/>
            <color indexed="81"/>
            <rFont val="Tahoma"/>
            <family val="2"/>
          </rPr>
          <t xml:space="preserve">
</t>
        </r>
        <r>
          <rPr>
            <sz val="9"/>
            <color indexed="81"/>
            <rFont val="Calibri"/>
            <family val="2"/>
            <scheme val="minor"/>
          </rPr>
          <t>29 unit with UNHCR/KMSS-M and 30 unit with CORDAID/KMSS-M</t>
        </r>
      </text>
    </comment>
    <comment ref="O94" authorId="0" shapeId="0">
      <text>
        <r>
          <rPr>
            <b/>
            <sz val="9"/>
            <color indexed="81"/>
            <rFont val="Tahoma"/>
            <family val="2"/>
          </rPr>
          <t>Soe Moe Kyi:</t>
        </r>
        <r>
          <rPr>
            <sz val="9"/>
            <color indexed="81"/>
            <rFont val="Tahoma"/>
            <family val="2"/>
          </rPr>
          <t xml:space="preserve">
0 units in Oct report.</t>
        </r>
      </text>
    </comment>
    <comment ref="M101" authorId="1" shapeId="0">
      <text>
        <r>
          <rPr>
            <b/>
            <sz val="9"/>
            <color indexed="81"/>
            <rFont val="Tahoma"/>
            <family val="2"/>
          </rPr>
          <t>Deepika Bhardwaj:</t>
        </r>
        <r>
          <rPr>
            <sz val="9"/>
            <color indexed="81"/>
            <rFont val="Tahoma"/>
            <family val="2"/>
          </rPr>
          <t xml:space="preserve">
19 by CordAid and rest by Metta</t>
        </r>
      </text>
    </comment>
    <comment ref="H107" authorId="0" shapeId="0">
      <text>
        <r>
          <rPr>
            <b/>
            <sz val="9"/>
            <color indexed="81"/>
            <rFont val="Tahoma"/>
            <family val="2"/>
          </rPr>
          <t>Soe Moe Kyi:</t>
        </r>
        <r>
          <rPr>
            <sz val="9"/>
            <color indexed="81"/>
            <rFont val="Tahoma"/>
            <family val="2"/>
          </rPr>
          <t xml:space="preserve">
90 gaps
NSS June cluster minutes</t>
        </r>
      </text>
    </comment>
    <comment ref="M110" authorId="0" shapeId="0">
      <text>
        <r>
          <rPr>
            <b/>
            <sz val="9"/>
            <color indexed="81"/>
            <rFont val="Tahoma"/>
            <family val="2"/>
          </rPr>
          <t>Soe Moe Kyi:</t>
        </r>
        <r>
          <rPr>
            <sz val="9"/>
            <color indexed="81"/>
            <rFont val="Tahoma"/>
            <family val="2"/>
          </rPr>
          <t xml:space="preserve">
on going</t>
        </r>
      </text>
    </comment>
    <comment ref="P114" authorId="0" shapeId="0">
      <text>
        <r>
          <rPr>
            <b/>
            <sz val="9"/>
            <color indexed="81"/>
            <rFont val="Tahoma"/>
            <family val="2"/>
          </rPr>
          <t>Soe Moe Kyi:</t>
        </r>
        <r>
          <rPr>
            <sz val="9"/>
            <color indexed="81"/>
            <rFont val="Tahoma"/>
            <family val="2"/>
          </rPr>
          <t xml:space="preserve">
completed</t>
        </r>
      </text>
    </comment>
    <comment ref="I115" authorId="0" shapeId="0">
      <text>
        <r>
          <rPr>
            <b/>
            <sz val="9"/>
            <color indexed="81"/>
            <rFont val="Tahoma"/>
            <family val="2"/>
          </rPr>
          <t>Soe Moe Kyi:</t>
        </r>
        <r>
          <rPr>
            <sz val="9"/>
            <color indexed="81"/>
            <rFont val="Tahoma"/>
            <family val="2"/>
          </rPr>
          <t xml:space="preserve">
0 unit in KBC's June report.</t>
        </r>
      </text>
    </comment>
    <comment ref="M115" authorId="0" shapeId="0">
      <text>
        <r>
          <rPr>
            <b/>
            <sz val="9"/>
            <color indexed="81"/>
            <rFont val="Tahoma"/>
            <family val="2"/>
          </rPr>
          <t>Soe Moe Kyi:</t>
        </r>
        <r>
          <rPr>
            <sz val="9"/>
            <color indexed="81"/>
            <rFont val="Tahoma"/>
            <family val="2"/>
          </rPr>
          <t xml:space="preserve">
on going</t>
        </r>
      </text>
    </comment>
    <comment ref="K116" authorId="0" shapeId="0">
      <text>
        <r>
          <rPr>
            <b/>
            <sz val="9"/>
            <color indexed="81"/>
            <rFont val="Tahoma"/>
            <family val="2"/>
          </rPr>
          <t>Soe Moe Kyi:</t>
        </r>
        <r>
          <rPr>
            <sz val="9"/>
            <color indexed="81"/>
            <rFont val="Tahoma"/>
            <family val="2"/>
          </rPr>
          <t xml:space="preserve">
0 unit in Sep report</t>
        </r>
      </text>
    </comment>
    <comment ref="M121" authorId="1" shapeId="0">
      <text>
        <r>
          <rPr>
            <b/>
            <sz val="9"/>
            <color indexed="81"/>
            <rFont val="Tahoma"/>
            <family val="2"/>
          </rPr>
          <t>Deepika Bhardwaj:</t>
        </r>
        <r>
          <rPr>
            <sz val="9"/>
            <color indexed="81"/>
            <rFont val="Tahoma"/>
            <family val="2"/>
          </rPr>
          <t xml:space="preserve">
50 by MHF, 15 by ICRC</t>
        </r>
      </text>
    </comment>
    <comment ref="H122" authorId="0" shapeId="0">
      <text>
        <r>
          <rPr>
            <b/>
            <sz val="9"/>
            <color indexed="81"/>
            <rFont val="Tahoma"/>
            <family val="2"/>
          </rPr>
          <t>Soe Moe Kyi:</t>
        </r>
        <r>
          <rPr>
            <sz val="9"/>
            <color indexed="81"/>
            <rFont val="Tahoma"/>
            <family val="2"/>
          </rPr>
          <t xml:space="preserve">
30 units in Oct report</t>
        </r>
      </text>
    </comment>
    <comment ref="M122" authorId="0" shapeId="0">
      <text>
        <r>
          <rPr>
            <b/>
            <sz val="9"/>
            <color indexed="81"/>
            <rFont val="Tahoma"/>
            <family val="2"/>
          </rPr>
          <t>Soe Moe Kyi:</t>
        </r>
        <r>
          <rPr>
            <sz val="9"/>
            <color indexed="81"/>
            <rFont val="Tahoma"/>
            <family val="2"/>
          </rPr>
          <t xml:space="preserve">
30 units in Oct report</t>
        </r>
      </text>
    </comment>
    <comment ref="J126" authorId="1" shapeId="0">
      <text>
        <r>
          <rPr>
            <b/>
            <sz val="9"/>
            <color indexed="81"/>
            <rFont val="Tahoma"/>
            <family val="2"/>
          </rPr>
          <t>Deepika Bhardwaj:</t>
        </r>
        <r>
          <rPr>
            <sz val="9"/>
            <color indexed="81"/>
            <rFont val="Tahoma"/>
            <family val="2"/>
          </rPr>
          <t xml:space="preserve">
KBC? Gaps??</t>
        </r>
      </text>
    </comment>
    <comment ref="X128" authorId="1" shapeId="0">
      <text>
        <r>
          <rPr>
            <b/>
            <sz val="9"/>
            <color indexed="81"/>
            <rFont val="Tahoma"/>
            <family val="2"/>
          </rPr>
          <t>Deepika Bhardwaj:</t>
        </r>
        <r>
          <rPr>
            <sz val="9"/>
            <color indexed="81"/>
            <rFont val="Tahoma"/>
            <family val="2"/>
          </rPr>
          <t xml:space="preserve">
out of church compound 70 -ICRC, 100- KMSS/HARP</t>
        </r>
      </text>
    </comment>
    <comment ref="Y128" authorId="1" shapeId="0">
      <text>
        <r>
          <rPr>
            <b/>
            <sz val="9"/>
            <color indexed="81"/>
            <rFont val="Tahoma"/>
            <family val="2"/>
          </rPr>
          <t>Deepika Bhardwaj:</t>
        </r>
        <r>
          <rPr>
            <sz val="9"/>
            <color indexed="81"/>
            <rFont val="Tahoma"/>
            <family val="2"/>
          </rPr>
          <t xml:space="preserve">
in church compound/ICRC</t>
        </r>
      </text>
    </comment>
    <comment ref="K145" authorId="0" shapeId="0">
      <text>
        <r>
          <rPr>
            <b/>
            <sz val="9"/>
            <color indexed="81"/>
            <rFont val="Tahoma"/>
            <family val="2"/>
          </rPr>
          <t>Soe Moe Kyi:</t>
        </r>
        <r>
          <rPr>
            <sz val="9"/>
            <color indexed="81"/>
            <rFont val="Tahoma"/>
            <family val="2"/>
          </rPr>
          <t xml:space="preserve">
0 units in KMSS-L's June report.</t>
        </r>
      </text>
    </comment>
    <comment ref="M145" authorId="1" shapeId="0">
      <text>
        <r>
          <rPr>
            <b/>
            <sz val="9"/>
            <color indexed="81"/>
            <rFont val="Tahoma"/>
            <family val="2"/>
          </rPr>
          <t>Deepika Bhardwaj:</t>
        </r>
        <r>
          <rPr>
            <sz val="9"/>
            <color indexed="81"/>
            <rFont val="Tahoma"/>
            <family val="2"/>
          </rPr>
          <t xml:space="preserve">
NRC
</t>
        </r>
      </text>
    </comment>
    <comment ref="P145" authorId="0" shapeId="0">
      <text>
        <r>
          <rPr>
            <b/>
            <sz val="9"/>
            <color indexed="81"/>
            <rFont val="Tahoma"/>
            <family val="2"/>
          </rPr>
          <t>Soe Moe Kyi:</t>
        </r>
        <r>
          <rPr>
            <sz val="9"/>
            <color indexed="81"/>
            <rFont val="Tahoma"/>
            <family val="2"/>
          </rPr>
          <t xml:space="preserve">
completed</t>
        </r>
      </text>
    </comment>
    <comment ref="H146" authorId="0" shapeId="0">
      <text>
        <r>
          <rPr>
            <b/>
            <sz val="9"/>
            <color indexed="81"/>
            <rFont val="Tahoma"/>
            <family val="2"/>
          </rPr>
          <t>Soe Moe Kyi:</t>
        </r>
        <r>
          <rPr>
            <sz val="9"/>
            <color indexed="81"/>
            <rFont val="Tahoma"/>
            <family val="2"/>
          </rPr>
          <t xml:space="preserve">
32 units in KBC's June report.</t>
        </r>
      </text>
    </comment>
    <comment ref="I146" authorId="0" shapeId="0">
      <text>
        <r>
          <rPr>
            <b/>
            <sz val="9"/>
            <color indexed="81"/>
            <rFont val="Tahoma"/>
            <family val="2"/>
          </rPr>
          <t>Soe Moe Kyi:</t>
        </r>
        <r>
          <rPr>
            <sz val="9"/>
            <color indexed="81"/>
            <rFont val="Tahoma"/>
            <family val="2"/>
          </rPr>
          <t xml:space="preserve">
32 units in KBC's June report.</t>
        </r>
      </text>
    </comment>
    <comment ref="O147" authorId="0" shapeId="0">
      <text>
        <r>
          <rPr>
            <b/>
            <sz val="9"/>
            <color indexed="81"/>
            <rFont val="Tahoma"/>
            <family val="2"/>
          </rPr>
          <t>Soe Moe Kyi:</t>
        </r>
        <r>
          <rPr>
            <sz val="9"/>
            <color indexed="81"/>
            <rFont val="Tahoma"/>
            <family val="2"/>
          </rPr>
          <t xml:space="preserve">
completed</t>
        </r>
      </text>
    </comment>
    <comment ref="H156" authorId="0" shapeId="0">
      <text>
        <r>
          <rPr>
            <b/>
            <sz val="9"/>
            <color indexed="81"/>
            <rFont val="Tahoma"/>
            <family val="2"/>
          </rPr>
          <t>Soe Moe Kyi:</t>
        </r>
        <r>
          <rPr>
            <sz val="9"/>
            <color indexed="81"/>
            <rFont val="Tahoma"/>
            <family val="2"/>
          </rPr>
          <t xml:space="preserve">
68 units in July report</t>
        </r>
      </text>
    </comment>
    <comment ref="I156" authorId="0" shapeId="0">
      <text>
        <r>
          <rPr>
            <b/>
            <sz val="9"/>
            <color indexed="81"/>
            <rFont val="Tahoma"/>
            <family val="2"/>
          </rPr>
          <t>Soe Moe Kyi:</t>
        </r>
        <r>
          <rPr>
            <sz val="9"/>
            <color indexed="81"/>
            <rFont val="Tahoma"/>
            <family val="2"/>
          </rPr>
          <t xml:space="preserve">
68 units in July report</t>
        </r>
      </text>
    </comment>
    <comment ref="H168" authorId="1" shapeId="0">
      <text>
        <r>
          <rPr>
            <b/>
            <sz val="9"/>
            <color indexed="81"/>
            <rFont val="Tahoma"/>
            <family val="2"/>
          </rPr>
          <t>Deepika Bhardwaj:</t>
        </r>
        <r>
          <rPr>
            <sz val="9"/>
            <color indexed="81"/>
            <rFont val="Tahoma"/>
            <family val="2"/>
          </rPr>
          <t xml:space="preserve">
New Arrival gap</t>
        </r>
      </text>
    </comment>
    <comment ref="I168" authorId="1" shapeId="0">
      <text>
        <r>
          <rPr>
            <b/>
            <sz val="9"/>
            <color indexed="81"/>
            <rFont val="Tahoma"/>
            <family val="2"/>
          </rPr>
          <t>Deepika Bhardwaj:</t>
        </r>
        <r>
          <rPr>
            <sz val="9"/>
            <color indexed="81"/>
            <rFont val="Tahoma"/>
            <family val="2"/>
          </rPr>
          <t xml:space="preserve">
New Arrival Gap</t>
        </r>
      </text>
    </comment>
    <comment ref="M168" authorId="0" shapeId="0">
      <text>
        <r>
          <rPr>
            <b/>
            <sz val="9"/>
            <color indexed="81"/>
            <rFont val="Tahoma"/>
            <family val="2"/>
          </rPr>
          <t>Soe Moe Kyi:</t>
        </r>
        <r>
          <rPr>
            <sz val="9"/>
            <color indexed="81"/>
            <rFont val="Tahoma"/>
            <family val="2"/>
          </rPr>
          <t xml:space="preserve">
completed</t>
        </r>
      </text>
    </comment>
    <comment ref="M169" authorId="0" shapeId="0">
      <text>
        <r>
          <rPr>
            <b/>
            <sz val="9"/>
            <color indexed="81"/>
            <rFont val="Tahoma"/>
            <family val="2"/>
          </rPr>
          <t>Soe Moe Kyi:</t>
        </r>
        <r>
          <rPr>
            <sz val="9"/>
            <color indexed="81"/>
            <rFont val="Tahoma"/>
            <family val="2"/>
          </rPr>
          <t xml:space="preserve">
0 units in July report</t>
        </r>
      </text>
    </comment>
    <comment ref="N169" authorId="0" shapeId="0">
      <text>
        <r>
          <rPr>
            <b/>
            <sz val="9"/>
            <color indexed="81"/>
            <rFont val="Tahoma"/>
            <family val="2"/>
          </rPr>
          <t>Soe Moe Kyi:</t>
        </r>
        <r>
          <rPr>
            <sz val="9"/>
            <color indexed="81"/>
            <rFont val="Tahoma"/>
            <family val="2"/>
          </rPr>
          <t xml:space="preserve">
0 units in July report</t>
        </r>
      </text>
    </comment>
    <comment ref="M181" authorId="0" shapeId="0">
      <text>
        <r>
          <rPr>
            <b/>
            <sz val="9"/>
            <color indexed="81"/>
            <rFont val="Tahoma"/>
            <family val="2"/>
          </rPr>
          <t>Soe Moe Kyi:</t>
        </r>
        <r>
          <rPr>
            <sz val="9"/>
            <color indexed="81"/>
            <rFont val="Tahoma"/>
            <family val="2"/>
          </rPr>
          <t xml:space="preserve">
NRC 30 units
ICRC 5 units</t>
        </r>
      </text>
    </comment>
    <comment ref="H182" authorId="0" shapeId="0">
      <text>
        <r>
          <rPr>
            <b/>
            <sz val="9"/>
            <color indexed="81"/>
            <rFont val="Tahoma"/>
            <family val="2"/>
          </rPr>
          <t>Soe Moe Kyi:</t>
        </r>
        <r>
          <rPr>
            <sz val="9"/>
            <color indexed="81"/>
            <rFont val="Tahoma"/>
            <family val="2"/>
          </rPr>
          <t xml:space="preserve">
700 HH host family living in host couldn’t afford the room rental any more.</t>
        </r>
      </text>
    </comment>
    <comment ref="I182" authorId="0" shapeId="0">
      <text>
        <r>
          <rPr>
            <b/>
            <sz val="9"/>
            <color indexed="81"/>
            <rFont val="Tahoma"/>
            <family val="2"/>
          </rPr>
          <t>Soe Moe Kyi:</t>
        </r>
        <r>
          <rPr>
            <sz val="9"/>
            <color indexed="81"/>
            <rFont val="Tahoma"/>
            <family val="2"/>
          </rPr>
          <t xml:space="preserve">
733 units in KMSS-M's June report.</t>
        </r>
      </text>
    </comment>
    <comment ref="J182" authorId="0" shapeId="0">
      <text>
        <r>
          <rPr>
            <b/>
            <sz val="9"/>
            <color indexed="81"/>
            <rFont val="Tahoma"/>
            <family val="2"/>
          </rPr>
          <t>Soe Moe Kyi:</t>
        </r>
        <r>
          <rPr>
            <sz val="9"/>
            <color indexed="81"/>
            <rFont val="Tahoma"/>
            <family val="2"/>
          </rPr>
          <t xml:space="preserve">
Camp Office renovation.
(As per KMSS-M's June report)</t>
        </r>
      </text>
    </comment>
    <comment ref="M182" authorId="0" shapeId="0">
      <text>
        <r>
          <rPr>
            <b/>
            <sz val="9"/>
            <color indexed="81"/>
            <rFont val="Tahoma"/>
            <family val="2"/>
          </rPr>
          <t>Soe Moe Kyi:</t>
        </r>
        <r>
          <rPr>
            <sz val="9"/>
            <color indexed="81"/>
            <rFont val="Tahoma"/>
            <family val="2"/>
          </rPr>
          <t xml:space="preserve">
to be comfirm with Metta.</t>
        </r>
      </text>
    </comment>
  </commentList>
</comments>
</file>

<file path=xl/comments3.xml><?xml version="1.0" encoding="utf-8"?>
<comments xmlns="http://schemas.openxmlformats.org/spreadsheetml/2006/main">
  <authors>
    <author>Deepika Bhardwaj</author>
    <author>Soe Moe Kyi</author>
  </authors>
  <commentList>
    <comment ref="H8" authorId="0" shapeId="0">
      <text>
        <r>
          <rPr>
            <b/>
            <sz val="9"/>
            <color indexed="81"/>
            <rFont val="Tahoma"/>
            <family val="2"/>
          </rPr>
          <t>Deepika
5 completed</t>
        </r>
      </text>
    </comment>
    <comment ref="J8" authorId="0" shapeId="0">
      <text>
        <r>
          <rPr>
            <b/>
            <sz val="9"/>
            <color indexed="81"/>
            <rFont val="Tahoma"/>
            <family val="2"/>
          </rPr>
          <t>Deepika Bhardwaj:</t>
        </r>
        <r>
          <rPr>
            <sz val="9"/>
            <color indexed="81"/>
            <rFont val="Tahoma"/>
            <family val="2"/>
          </rPr>
          <t xml:space="preserve">
5 completed</t>
        </r>
      </text>
    </comment>
    <comment ref="L8" authorId="0" shapeId="0">
      <text>
        <r>
          <rPr>
            <b/>
            <sz val="9"/>
            <color indexed="81"/>
            <rFont val="Tahoma"/>
            <family val="2"/>
          </rPr>
          <t>Deepika Bhardwaj:</t>
        </r>
        <r>
          <rPr>
            <sz val="9"/>
            <color indexed="81"/>
            <rFont val="Tahoma"/>
            <family val="2"/>
          </rPr>
          <t xml:space="preserve">
5 completed</t>
        </r>
      </text>
    </comment>
    <comment ref="N8" authorId="0" shapeId="0">
      <text>
        <r>
          <rPr>
            <b/>
            <sz val="9"/>
            <color indexed="81"/>
            <rFont val="Tahoma"/>
            <family val="2"/>
          </rPr>
          <t>Deepika Bhardwaj:</t>
        </r>
        <r>
          <rPr>
            <sz val="9"/>
            <color indexed="81"/>
            <rFont val="Tahoma"/>
            <family val="2"/>
          </rPr>
          <t xml:space="preserve">
56 completed</t>
        </r>
      </text>
    </comment>
    <comment ref="J9" authorId="0" shapeId="0">
      <text>
        <r>
          <rPr>
            <b/>
            <sz val="9"/>
            <color indexed="81"/>
            <rFont val="Tahoma"/>
            <family val="2"/>
          </rPr>
          <t>Deepika Bhardwaj:</t>
        </r>
        <r>
          <rPr>
            <sz val="9"/>
            <color indexed="81"/>
            <rFont val="Tahoma"/>
            <family val="2"/>
          </rPr>
          <t xml:space="preserve">
5 completed</t>
        </r>
      </text>
    </comment>
    <comment ref="N9" authorId="0" shapeId="0">
      <text>
        <r>
          <rPr>
            <b/>
            <sz val="9"/>
            <color indexed="81"/>
            <rFont val="Tahoma"/>
            <family val="2"/>
          </rPr>
          <t>Deepika Bhardwaj
14 completed</t>
        </r>
      </text>
    </comment>
    <comment ref="H11" authorId="1" shapeId="0">
      <text>
        <r>
          <rPr>
            <b/>
            <sz val="9"/>
            <color indexed="81"/>
            <rFont val="Tahoma"/>
            <family val="2"/>
          </rPr>
          <t>Soe Moe Kyi:</t>
        </r>
        <r>
          <rPr>
            <sz val="9"/>
            <color indexed="81"/>
            <rFont val="Tahoma"/>
            <family val="2"/>
          </rPr>
          <t xml:space="preserve">
metta 18 units.
BMO June cluster minutes.</t>
        </r>
      </text>
    </comment>
    <comment ref="H12" authorId="0" shapeId="0">
      <text>
        <r>
          <rPr>
            <b/>
            <sz val="9"/>
            <color indexed="81"/>
            <rFont val="Tahoma"/>
            <family val="2"/>
          </rPr>
          <t>Deepika Bhardwaj:</t>
        </r>
        <r>
          <rPr>
            <sz val="9"/>
            <color indexed="81"/>
            <rFont val="Tahoma"/>
            <family val="2"/>
          </rPr>
          <t xml:space="preserve">
80 completed-metta</t>
        </r>
      </text>
    </comment>
    <comment ref="J12" authorId="0" shapeId="0">
      <text>
        <r>
          <rPr>
            <b/>
            <sz val="9"/>
            <color indexed="81"/>
            <rFont val="Tahoma"/>
            <family val="2"/>
          </rPr>
          <t>Deepika Bhardwaj:</t>
        </r>
        <r>
          <rPr>
            <sz val="9"/>
            <color indexed="81"/>
            <rFont val="Tahoma"/>
            <family val="2"/>
          </rPr>
          <t xml:space="preserve">
80 completed metta</t>
        </r>
      </text>
    </comment>
    <comment ref="L12" authorId="1" shapeId="0">
      <text>
        <r>
          <rPr>
            <b/>
            <sz val="9"/>
            <color indexed="81"/>
            <rFont val="Tahoma"/>
            <family val="2"/>
          </rPr>
          <t>Soe Moe Kyi:</t>
        </r>
        <r>
          <rPr>
            <sz val="9"/>
            <color indexed="81"/>
            <rFont val="Tahoma"/>
            <family val="2"/>
          </rPr>
          <t xml:space="preserve">
18 metta plan</t>
        </r>
      </text>
    </comment>
    <comment ref="L15" authorId="0" shapeId="0">
      <text>
        <r>
          <rPr>
            <b/>
            <sz val="9"/>
            <color indexed="81"/>
            <rFont val="Tahoma"/>
            <family val="2"/>
          </rPr>
          <t>Deepika Bhardwaj:</t>
        </r>
        <r>
          <rPr>
            <sz val="9"/>
            <color indexed="81"/>
            <rFont val="Tahoma"/>
            <family val="2"/>
          </rPr>
          <t xml:space="preserve">
18 completed</t>
        </r>
      </text>
    </comment>
    <comment ref="N15" authorId="0" shapeId="0">
      <text>
        <r>
          <rPr>
            <b/>
            <sz val="9"/>
            <color indexed="81"/>
            <rFont val="Tahoma"/>
            <family val="2"/>
          </rPr>
          <t>Deepika Bhardwaj:</t>
        </r>
        <r>
          <rPr>
            <sz val="9"/>
            <color indexed="81"/>
            <rFont val="Tahoma"/>
            <family val="2"/>
          </rPr>
          <t xml:space="preserve">
20 completed</t>
        </r>
      </text>
    </comment>
    <comment ref="L16" authorId="0" shapeId="0">
      <text>
        <r>
          <rPr>
            <b/>
            <sz val="9"/>
            <color indexed="81"/>
            <rFont val="Tahoma"/>
            <family val="2"/>
          </rPr>
          <t>Deepika Bhardwaj:</t>
        </r>
        <r>
          <rPr>
            <sz val="9"/>
            <color indexed="81"/>
            <rFont val="Tahoma"/>
            <family val="2"/>
          </rPr>
          <t xml:space="preserve">
8 completed</t>
        </r>
      </text>
    </comment>
    <comment ref="N16" authorId="0" shapeId="0">
      <text>
        <r>
          <rPr>
            <b/>
            <sz val="9"/>
            <color indexed="81"/>
            <rFont val="Tahoma"/>
            <family val="2"/>
          </rPr>
          <t>Deepika Bhardwaj:</t>
        </r>
        <r>
          <rPr>
            <sz val="9"/>
            <color indexed="81"/>
            <rFont val="Tahoma"/>
            <family val="2"/>
          </rPr>
          <t xml:space="preserve">
35 completed</t>
        </r>
      </text>
    </comment>
    <comment ref="L22" authorId="0" shapeId="0">
      <text>
        <r>
          <rPr>
            <b/>
            <sz val="9"/>
            <color indexed="81"/>
            <rFont val="Tahoma"/>
            <family val="2"/>
          </rPr>
          <t>Deepika Bhardwaj:</t>
        </r>
        <r>
          <rPr>
            <sz val="9"/>
            <color indexed="81"/>
            <rFont val="Tahoma"/>
            <family val="2"/>
          </rPr>
          <t xml:space="preserve">
10 completed</t>
        </r>
      </text>
    </comment>
    <comment ref="N23" authorId="0" shapeId="0">
      <text>
        <r>
          <rPr>
            <b/>
            <sz val="9"/>
            <color indexed="81"/>
            <rFont val="Tahoma"/>
            <family val="2"/>
          </rPr>
          <t>Deepika Bhardwaj:</t>
        </r>
        <r>
          <rPr>
            <sz val="9"/>
            <color indexed="81"/>
            <rFont val="Tahoma"/>
            <family val="2"/>
          </rPr>
          <t xml:space="preserve">
2 completed</t>
        </r>
      </text>
    </comment>
    <comment ref="H25" authorId="0" shapeId="0">
      <text>
        <r>
          <rPr>
            <b/>
            <sz val="9"/>
            <color indexed="81"/>
            <rFont val="Tahoma"/>
            <family val="2"/>
          </rPr>
          <t>Deepika Bhardwaj:</t>
        </r>
        <r>
          <rPr>
            <sz val="9"/>
            <color indexed="81"/>
            <rFont val="Tahoma"/>
            <family val="2"/>
          </rPr>
          <t xml:space="preserve">
5 completed</t>
        </r>
      </text>
    </comment>
    <comment ref="N25" authorId="0" shapeId="0">
      <text>
        <r>
          <rPr>
            <b/>
            <sz val="9"/>
            <color indexed="81"/>
            <rFont val="Tahoma"/>
            <family val="2"/>
          </rPr>
          <t>Deepika Bhardwaj:</t>
        </r>
        <r>
          <rPr>
            <sz val="9"/>
            <color indexed="81"/>
            <rFont val="Tahoma"/>
            <family val="2"/>
          </rPr>
          <t xml:space="preserve">
10 completed</t>
        </r>
      </text>
    </comment>
    <comment ref="J32" authorId="0" shapeId="0">
      <text>
        <r>
          <rPr>
            <b/>
            <sz val="9"/>
            <color indexed="81"/>
            <rFont val="Tahoma"/>
            <family val="2"/>
          </rPr>
          <t>Deepika Bhardwaj:</t>
        </r>
        <r>
          <rPr>
            <sz val="9"/>
            <color indexed="81"/>
            <rFont val="Tahoma"/>
            <family val="2"/>
          </rPr>
          <t xml:space="preserve">
53 completed</t>
        </r>
      </text>
    </comment>
    <comment ref="N33" authorId="0" shapeId="0">
      <text>
        <r>
          <rPr>
            <b/>
            <sz val="9"/>
            <color indexed="81"/>
            <rFont val="Tahoma"/>
            <family val="2"/>
          </rPr>
          <t>Deepika Bhardwaj:</t>
        </r>
        <r>
          <rPr>
            <sz val="9"/>
            <color indexed="81"/>
            <rFont val="Tahoma"/>
            <family val="2"/>
          </rPr>
          <t xml:space="preserve">
4 completed</t>
        </r>
      </text>
    </comment>
    <comment ref="L43" authorId="0" shapeId="0">
      <text>
        <r>
          <rPr>
            <b/>
            <sz val="9"/>
            <color indexed="81"/>
            <rFont val="Tahoma"/>
            <family val="2"/>
          </rPr>
          <t>Deepika Bhardwaj:</t>
        </r>
        <r>
          <rPr>
            <sz val="9"/>
            <color indexed="81"/>
            <rFont val="Tahoma"/>
            <family val="2"/>
          </rPr>
          <t xml:space="preserve">
16 completed</t>
        </r>
      </text>
    </comment>
    <comment ref="H52" authorId="1" shapeId="0">
      <text>
        <r>
          <rPr>
            <b/>
            <sz val="9"/>
            <color indexed="81"/>
            <rFont val="Tahoma"/>
            <family val="2"/>
          </rPr>
          <t>Soe Moe Kyi:</t>
        </r>
        <r>
          <rPr>
            <sz val="9"/>
            <color indexed="81"/>
            <rFont val="Tahoma"/>
            <family val="2"/>
          </rPr>
          <t xml:space="preserve">
Completed.
MHF 5 units
ICRC 7 units
NSS June cluster minutes</t>
        </r>
      </text>
    </comment>
    <comment ref="H56" authorId="1" shapeId="0">
      <text>
        <r>
          <rPr>
            <b/>
            <sz val="9"/>
            <color indexed="81"/>
            <rFont val="Tahoma"/>
            <family val="2"/>
          </rPr>
          <t>Soe Moe Kyi:</t>
        </r>
        <r>
          <rPr>
            <sz val="9"/>
            <color indexed="81"/>
            <rFont val="Tahoma"/>
            <family val="2"/>
          </rPr>
          <t xml:space="preserve">
ICRC will cover for 32</t>
        </r>
      </text>
    </comment>
    <comment ref="H59" authorId="1" shapeId="0">
      <text>
        <r>
          <rPr>
            <b/>
            <sz val="9"/>
            <color indexed="81"/>
            <rFont val="Tahoma"/>
            <family val="2"/>
          </rPr>
          <t>Soe Moe Kyi:</t>
        </r>
        <r>
          <rPr>
            <sz val="9"/>
            <color indexed="81"/>
            <rFont val="Tahoma"/>
            <family val="2"/>
          </rPr>
          <t xml:space="preserve">
Completed.
NSS cluster minutes.</t>
        </r>
      </text>
    </comment>
    <comment ref="H62" authorId="0" shapeId="0">
      <text>
        <r>
          <rPr>
            <b/>
            <sz val="9"/>
            <color indexed="81"/>
            <rFont val="Tahoma"/>
            <family val="2"/>
          </rPr>
          <t>Deepika Bhardwaj:</t>
        </r>
        <r>
          <rPr>
            <sz val="9"/>
            <color indexed="81"/>
            <rFont val="Tahoma"/>
            <family val="2"/>
          </rPr>
          <t xml:space="preserve">
9 by Metta and 32 by Cordaid</t>
        </r>
      </text>
    </comment>
    <comment ref="J62" authorId="0" shapeId="0">
      <text>
        <r>
          <rPr>
            <b/>
            <sz val="9"/>
            <color indexed="81"/>
            <rFont val="Tahoma"/>
            <family val="2"/>
          </rPr>
          <t>Deepika Bhardwaj:</t>
        </r>
        <r>
          <rPr>
            <sz val="9"/>
            <color indexed="81"/>
            <rFont val="Tahoma"/>
            <family val="2"/>
          </rPr>
          <t xml:space="preserve">
9 by Metta and 32 by Cordaid</t>
        </r>
      </text>
    </comment>
    <comment ref="H66" authorId="0" shapeId="0">
      <text>
        <r>
          <rPr>
            <b/>
            <sz val="9"/>
            <color indexed="81"/>
            <rFont val="Tahoma"/>
            <family val="2"/>
          </rPr>
          <t>Deepika Bhardwaj:</t>
        </r>
        <r>
          <rPr>
            <sz val="9"/>
            <color indexed="81"/>
            <rFont val="Tahoma"/>
            <family val="2"/>
          </rPr>
          <t xml:space="preserve">
30 completed</t>
        </r>
      </text>
    </comment>
    <comment ref="J66" authorId="0" shapeId="0">
      <text>
        <r>
          <rPr>
            <b/>
            <sz val="9"/>
            <color indexed="81"/>
            <rFont val="Tahoma"/>
            <family val="2"/>
          </rPr>
          <t>Deepika Bhardwaj:</t>
        </r>
        <r>
          <rPr>
            <sz val="9"/>
            <color indexed="81"/>
            <rFont val="Tahoma"/>
            <family val="2"/>
          </rPr>
          <t xml:space="preserve">
30 completed</t>
        </r>
      </text>
    </comment>
    <comment ref="L71" authorId="1" shapeId="0">
      <text>
        <r>
          <rPr>
            <b/>
            <sz val="9"/>
            <color indexed="81"/>
            <rFont val="Tahoma"/>
            <family val="2"/>
          </rPr>
          <t>Soe Moe 
72 completed Metta</t>
        </r>
      </text>
    </comment>
    <comment ref="H72" authorId="1" shapeId="0">
      <text>
        <r>
          <rPr>
            <b/>
            <sz val="9"/>
            <color indexed="81"/>
            <rFont val="Tahoma"/>
            <family val="2"/>
          </rPr>
          <t>Soe Moe Kyi:</t>
        </r>
        <r>
          <rPr>
            <sz val="9"/>
            <color indexed="81"/>
            <rFont val="Tahoma"/>
            <family val="2"/>
          </rPr>
          <t xml:space="preserve">
KMSSB 36 units (Irish) completed in March18
KBC    231 units completed on 15 June .</t>
        </r>
      </text>
    </comment>
    <comment ref="H73" authorId="1" shapeId="0">
      <text>
        <r>
          <rPr>
            <b/>
            <sz val="9"/>
            <color indexed="81"/>
            <rFont val="Tahoma"/>
            <family val="2"/>
          </rPr>
          <t>Soe Moe Kyi:</t>
        </r>
        <r>
          <rPr>
            <sz val="9"/>
            <color indexed="81"/>
            <rFont val="Tahoma"/>
            <family val="2"/>
          </rPr>
          <t xml:space="preserve">
NSS cluster minutes/completed</t>
        </r>
      </text>
    </comment>
    <comment ref="N77" authorId="1" shapeId="0">
      <text>
        <r>
          <rPr>
            <b/>
            <sz val="9"/>
            <color indexed="81"/>
            <rFont val="Tahoma"/>
            <family val="2"/>
          </rPr>
          <t>Soe Moe Kyi:</t>
        </r>
        <r>
          <rPr>
            <sz val="9"/>
            <color indexed="81"/>
            <rFont val="Tahoma"/>
            <family val="2"/>
          </rPr>
          <t xml:space="preserve">
20 completed UNHCR</t>
        </r>
      </text>
    </comment>
    <comment ref="H89" authorId="0" shapeId="0">
      <text>
        <r>
          <rPr>
            <b/>
            <sz val="9"/>
            <color indexed="81"/>
            <rFont val="Tahoma"/>
            <family val="2"/>
          </rPr>
          <t>Deepika Bhardwaj:</t>
        </r>
        <r>
          <rPr>
            <sz val="9"/>
            <color indexed="81"/>
            <rFont val="Tahoma"/>
            <family val="2"/>
          </rPr>
          <t xml:space="preserve">
11 completed</t>
        </r>
      </text>
    </comment>
    <comment ref="J89" authorId="0" shapeId="0">
      <text>
        <r>
          <rPr>
            <b/>
            <sz val="9"/>
            <color indexed="81"/>
            <rFont val="Tahoma"/>
            <family val="2"/>
          </rPr>
          <t>Deepika Bhardwaj:</t>
        </r>
        <r>
          <rPr>
            <sz val="9"/>
            <color indexed="81"/>
            <rFont val="Tahoma"/>
            <family val="2"/>
          </rPr>
          <t xml:space="preserve">
11 completed</t>
        </r>
      </text>
    </comment>
    <comment ref="H92" authorId="1" shapeId="0">
      <text>
        <r>
          <rPr>
            <b/>
            <sz val="9"/>
            <color indexed="81"/>
            <rFont val="Tahoma"/>
            <family val="2"/>
          </rPr>
          <t>Soe Moe Kyi:</t>
        </r>
        <r>
          <rPr>
            <sz val="9"/>
            <color indexed="81"/>
            <rFont val="Tahoma"/>
            <family val="2"/>
          </rPr>
          <t xml:space="preserve">
0 unit cover in KMSS-M's June report.</t>
        </r>
      </text>
    </comment>
    <comment ref="L92" authorId="1" shapeId="0">
      <text>
        <r>
          <rPr>
            <b/>
            <sz val="9"/>
            <color indexed="81"/>
            <rFont val="Tahoma"/>
            <family val="2"/>
          </rPr>
          <t>Soe Moe Kyi:</t>
        </r>
        <r>
          <rPr>
            <sz val="9"/>
            <color indexed="81"/>
            <rFont val="Tahoma"/>
            <family val="2"/>
          </rPr>
          <t xml:space="preserve">
0 units in KMSS-M's June report.</t>
        </r>
      </text>
    </comment>
    <comment ref="H93" authorId="1" shapeId="0">
      <text>
        <r>
          <rPr>
            <b/>
            <sz val="9"/>
            <color indexed="81"/>
            <rFont val="Tahoma"/>
            <family val="2"/>
          </rPr>
          <t>Soe Moe Kyi:</t>
        </r>
        <r>
          <rPr>
            <sz val="9"/>
            <color indexed="81"/>
            <rFont val="Tahoma"/>
            <family val="2"/>
          </rPr>
          <t xml:space="preserve">
29 units KMSS/UNHCR- ongoing
</t>
        </r>
      </text>
    </comment>
    <comment ref="J93" authorId="0" shapeId="0">
      <text>
        <r>
          <rPr>
            <b/>
            <sz val="9"/>
            <color indexed="81"/>
            <rFont val="Tahoma"/>
            <family val="2"/>
          </rPr>
          <t>Deepika Bhardwaj:</t>
        </r>
        <r>
          <rPr>
            <sz val="9"/>
            <color indexed="81"/>
            <rFont val="Tahoma"/>
            <family val="2"/>
          </rPr>
          <t xml:space="preserve">
29 UNHCR ongoing
</t>
        </r>
      </text>
    </comment>
    <comment ref="L93" authorId="1" shapeId="0">
      <text>
        <r>
          <rPr>
            <b/>
            <sz val="9"/>
            <color indexed="81"/>
            <rFont val="Tahoma"/>
            <family val="2"/>
          </rPr>
          <t>Soe Moe Kyi:</t>
        </r>
        <r>
          <rPr>
            <sz val="9"/>
            <color indexed="81"/>
            <rFont val="Tahoma"/>
            <family val="2"/>
          </rPr>
          <t xml:space="preserve">
ICRC will cover 532 units as per KMSS June report</t>
        </r>
      </text>
    </comment>
    <comment ref="J95" authorId="0" shapeId="0">
      <text>
        <r>
          <rPr>
            <b/>
            <sz val="9"/>
            <color indexed="81"/>
            <rFont val="Tahoma"/>
            <family val="2"/>
          </rPr>
          <t>Deepika Bhardwaj:</t>
        </r>
        <r>
          <rPr>
            <sz val="9"/>
            <color indexed="81"/>
            <rFont val="Tahoma"/>
            <family val="2"/>
          </rPr>
          <t xml:space="preserve">
20 completed</t>
        </r>
      </text>
    </comment>
    <comment ref="H96" authorId="1" shapeId="0">
      <text>
        <r>
          <rPr>
            <b/>
            <sz val="9"/>
            <color indexed="81"/>
            <rFont val="Tahoma"/>
            <family val="2"/>
          </rPr>
          <t>Soe Moe Kyi:</t>
        </r>
        <r>
          <rPr>
            <sz val="9"/>
            <color indexed="81"/>
            <rFont val="Tahoma"/>
            <family val="2"/>
          </rPr>
          <t xml:space="preserve">
52 completed-DRC/MHF</t>
        </r>
      </text>
    </comment>
    <comment ref="L96" authorId="0" shapeId="0">
      <text>
        <r>
          <rPr>
            <b/>
            <sz val="9"/>
            <color indexed="81"/>
            <rFont val="Tahoma"/>
            <family val="2"/>
          </rPr>
          <t>Deepika Bhardwaj:</t>
        </r>
        <r>
          <rPr>
            <sz val="9"/>
            <color indexed="81"/>
            <rFont val="Tahoma"/>
            <family val="2"/>
          </rPr>
          <t xml:space="preserve">
12 completed-UNHCR</t>
        </r>
      </text>
    </comment>
    <comment ref="L97" authorId="0" shapeId="0">
      <text>
        <r>
          <rPr>
            <b/>
            <sz val="9"/>
            <color indexed="81"/>
            <rFont val="Tahoma"/>
            <family val="2"/>
          </rPr>
          <t>Deepika Bhardwaj:</t>
        </r>
        <r>
          <rPr>
            <sz val="9"/>
            <color indexed="81"/>
            <rFont val="Tahoma"/>
            <family val="2"/>
          </rPr>
          <t xml:space="preserve">
3 completed</t>
        </r>
      </text>
    </comment>
    <comment ref="L99" authorId="1" shapeId="0">
      <text>
        <r>
          <rPr>
            <b/>
            <sz val="9"/>
            <color indexed="81"/>
            <rFont val="Tahoma"/>
            <family val="2"/>
          </rPr>
          <t>Soe Moe Kyi:</t>
        </r>
        <r>
          <rPr>
            <sz val="9"/>
            <color indexed="81"/>
            <rFont val="Tahoma"/>
            <family val="2"/>
          </rPr>
          <t xml:space="preserve">
KBC 20 units- completed
Metta 86 units- completed</t>
        </r>
      </text>
    </comment>
    <comment ref="M99" authorId="0" shapeId="0">
      <text>
        <r>
          <rPr>
            <b/>
            <sz val="9"/>
            <color indexed="81"/>
            <rFont val="Tahoma"/>
            <family val="2"/>
          </rPr>
          <t>Deepika Bhardwaj:</t>
        </r>
        <r>
          <rPr>
            <sz val="9"/>
            <color indexed="81"/>
            <rFont val="Tahoma"/>
            <family val="2"/>
          </rPr>
          <t xml:space="preserve">
by KBC</t>
        </r>
      </text>
    </comment>
    <comment ref="H101" authorId="0" shapeId="0">
      <text>
        <r>
          <rPr>
            <b/>
            <sz val="9"/>
            <color indexed="81"/>
            <rFont val="Tahoma"/>
            <family val="2"/>
          </rPr>
          <t>Deepika Bhardwaj:</t>
        </r>
        <r>
          <rPr>
            <sz val="9"/>
            <color indexed="81"/>
            <rFont val="Tahoma"/>
            <family val="2"/>
          </rPr>
          <t xml:space="preserve">
15 completed</t>
        </r>
      </text>
    </comment>
    <comment ref="J101" authorId="0" shapeId="0">
      <text>
        <r>
          <rPr>
            <b/>
            <sz val="9"/>
            <color indexed="81"/>
            <rFont val="Tahoma"/>
            <family val="2"/>
          </rPr>
          <t>Deepika Bhardwaj:</t>
        </r>
        <r>
          <rPr>
            <sz val="9"/>
            <color indexed="81"/>
            <rFont val="Tahoma"/>
            <family val="2"/>
          </rPr>
          <t xml:space="preserve">
15 completed</t>
        </r>
      </text>
    </comment>
    <comment ref="H106" authorId="1" shapeId="0">
      <text>
        <r>
          <rPr>
            <b/>
            <sz val="9"/>
            <color indexed="81"/>
            <rFont val="Tahoma"/>
            <family val="2"/>
          </rPr>
          <t>Soe Moe Kyi:</t>
        </r>
        <r>
          <rPr>
            <sz val="9"/>
            <color indexed="81"/>
            <rFont val="Tahoma"/>
            <family val="2"/>
          </rPr>
          <t xml:space="preserve">
METTA covered.
NSS June cluster minutes</t>
        </r>
      </text>
    </comment>
    <comment ref="H109" authorId="0" shapeId="0">
      <text>
        <r>
          <rPr>
            <b/>
            <sz val="9"/>
            <color indexed="81"/>
            <rFont val="Tahoma"/>
            <family val="2"/>
          </rPr>
          <t>Deepika Bhardwaj:</t>
        </r>
        <r>
          <rPr>
            <sz val="9"/>
            <color indexed="81"/>
            <rFont val="Tahoma"/>
            <family val="2"/>
          </rPr>
          <t xml:space="preserve">
23 planned/ICRC</t>
        </r>
      </text>
    </comment>
    <comment ref="J109" authorId="0" shapeId="0">
      <text>
        <r>
          <rPr>
            <b/>
            <sz val="9"/>
            <color indexed="81"/>
            <rFont val="Tahoma"/>
            <family val="2"/>
          </rPr>
          <t>Deepika Bhardwaj:</t>
        </r>
        <r>
          <rPr>
            <sz val="9"/>
            <color indexed="81"/>
            <rFont val="Tahoma"/>
            <family val="2"/>
          </rPr>
          <t xml:space="preserve">
23 Completed/ICRC</t>
        </r>
      </text>
    </comment>
    <comment ref="N109" authorId="0" shapeId="0">
      <text>
        <r>
          <rPr>
            <b/>
            <sz val="9"/>
            <color indexed="81"/>
            <rFont val="Tahoma"/>
            <family val="2"/>
          </rPr>
          <t>Deepika Bhardwaj:</t>
        </r>
        <r>
          <rPr>
            <sz val="9"/>
            <color indexed="81"/>
            <rFont val="Tahoma"/>
            <family val="2"/>
          </rPr>
          <t xml:space="preserve">
UNHCR</t>
        </r>
      </text>
    </comment>
    <comment ref="N113" authorId="0" shapeId="0">
      <text>
        <r>
          <rPr>
            <b/>
            <sz val="9"/>
            <color indexed="81"/>
            <rFont val="Tahoma"/>
            <family val="2"/>
          </rPr>
          <t>Deepika Bhardwaj:</t>
        </r>
        <r>
          <rPr>
            <sz val="9"/>
            <color indexed="81"/>
            <rFont val="Tahoma"/>
            <family val="2"/>
          </rPr>
          <t xml:space="preserve">
60 completed</t>
        </r>
      </text>
    </comment>
    <comment ref="H114" authorId="0" shapeId="0">
      <text>
        <r>
          <rPr>
            <b/>
            <sz val="9"/>
            <color indexed="81"/>
            <rFont val="Tahoma"/>
            <family val="2"/>
          </rPr>
          <t>Deepika Bhardwaj:</t>
        </r>
        <r>
          <rPr>
            <sz val="9"/>
            <color indexed="81"/>
            <rFont val="Tahoma"/>
            <family val="2"/>
          </rPr>
          <t xml:space="preserve">
planned ICRC</t>
        </r>
      </text>
    </comment>
    <comment ref="N115" authorId="0" shapeId="0">
      <text>
        <r>
          <rPr>
            <b/>
            <sz val="9"/>
            <color indexed="81"/>
            <rFont val="Tahoma"/>
            <family val="2"/>
          </rPr>
          <t>Deepika Bhardwaj:</t>
        </r>
        <r>
          <rPr>
            <sz val="9"/>
            <color indexed="81"/>
            <rFont val="Tahoma"/>
            <family val="2"/>
          </rPr>
          <t xml:space="preserve">
46 completed</t>
        </r>
      </text>
    </comment>
    <comment ref="N116" authorId="0" shapeId="0">
      <text>
        <r>
          <rPr>
            <b/>
            <sz val="9"/>
            <color indexed="81"/>
            <rFont val="Tahoma"/>
            <family val="2"/>
          </rPr>
          <t>Deepika Bhardwaj:</t>
        </r>
        <r>
          <rPr>
            <sz val="9"/>
            <color indexed="81"/>
            <rFont val="Tahoma"/>
            <family val="2"/>
          </rPr>
          <t xml:space="preserve">
20 completed</t>
        </r>
      </text>
    </comment>
    <comment ref="N118" authorId="0" shapeId="0">
      <text>
        <r>
          <rPr>
            <b/>
            <sz val="9"/>
            <color indexed="81"/>
            <rFont val="Tahoma"/>
            <family val="2"/>
          </rPr>
          <t>Deepika Bhardwaj:</t>
        </r>
        <r>
          <rPr>
            <sz val="9"/>
            <color indexed="81"/>
            <rFont val="Tahoma"/>
            <family val="2"/>
          </rPr>
          <t xml:space="preserve">
58 completed</t>
        </r>
      </text>
    </comment>
    <comment ref="H120" authorId="0" shapeId="0">
      <text>
        <r>
          <rPr>
            <b/>
            <sz val="9"/>
            <color indexed="81"/>
            <rFont val="Tahoma"/>
            <family val="2"/>
          </rPr>
          <t>Deepika Bhardwaj
ICRC/Completed</t>
        </r>
      </text>
    </comment>
    <comment ref="J120" authorId="0" shapeId="0">
      <text>
        <r>
          <rPr>
            <b/>
            <sz val="9"/>
            <color indexed="81"/>
            <rFont val="Tahoma"/>
            <family val="2"/>
          </rPr>
          <t>Deepika Bhardwaj:</t>
        </r>
        <r>
          <rPr>
            <sz val="9"/>
            <color indexed="81"/>
            <rFont val="Tahoma"/>
            <family val="2"/>
          </rPr>
          <t xml:space="preserve">
ICRC/Completed</t>
        </r>
      </text>
    </comment>
    <comment ref="N120" authorId="0" shapeId="0">
      <text>
        <r>
          <rPr>
            <b/>
            <sz val="9"/>
            <color indexed="81"/>
            <rFont val="Tahoma"/>
            <family val="2"/>
          </rPr>
          <t>Deepika Bhardwaj:</t>
        </r>
        <r>
          <rPr>
            <sz val="9"/>
            <color indexed="81"/>
            <rFont val="Tahoma"/>
            <family val="2"/>
          </rPr>
          <t xml:space="preserve">
40 completed-UNHCR</t>
        </r>
      </text>
    </comment>
    <comment ref="N123" authorId="0" shapeId="0">
      <text>
        <r>
          <rPr>
            <b/>
            <sz val="9"/>
            <color indexed="81"/>
            <rFont val="Tahoma"/>
            <family val="2"/>
          </rPr>
          <t>Deepika Bhardwaj:</t>
        </r>
        <r>
          <rPr>
            <sz val="9"/>
            <color indexed="81"/>
            <rFont val="Tahoma"/>
            <family val="2"/>
          </rPr>
          <t xml:space="preserve">
14 completed</t>
        </r>
      </text>
    </comment>
    <comment ref="S127" authorId="0" shapeId="0">
      <text>
        <r>
          <rPr>
            <b/>
            <sz val="9"/>
            <color indexed="81"/>
            <rFont val="Tahoma"/>
            <family val="2"/>
          </rPr>
          <t>Deepika Bhardwaj:</t>
        </r>
        <r>
          <rPr>
            <sz val="9"/>
            <color indexed="81"/>
            <rFont val="Tahoma"/>
            <family val="2"/>
          </rPr>
          <t xml:space="preserve">
out of church compound /ICRC</t>
        </r>
      </text>
    </comment>
    <comment ref="T127" authorId="0" shapeId="0">
      <text>
        <r>
          <rPr>
            <b/>
            <sz val="9"/>
            <color indexed="81"/>
            <rFont val="Tahoma"/>
            <family val="2"/>
          </rPr>
          <t>Deepika Bhardwaj:</t>
        </r>
        <r>
          <rPr>
            <sz val="9"/>
            <color indexed="81"/>
            <rFont val="Tahoma"/>
            <family val="2"/>
          </rPr>
          <t xml:space="preserve">
in church compound/ICRC</t>
        </r>
      </text>
    </comment>
    <comment ref="L129" authorId="0" shapeId="0">
      <text>
        <r>
          <rPr>
            <b/>
            <sz val="9"/>
            <color indexed="81"/>
            <rFont val="Tahoma"/>
            <family val="2"/>
          </rPr>
          <t>Deepika Bhardwaj:</t>
        </r>
        <r>
          <rPr>
            <sz val="9"/>
            <color indexed="81"/>
            <rFont val="Tahoma"/>
            <family val="2"/>
          </rPr>
          <t xml:space="preserve">
5 completed</t>
        </r>
      </text>
    </comment>
    <comment ref="N130" authorId="0" shapeId="0">
      <text>
        <r>
          <rPr>
            <b/>
            <sz val="9"/>
            <color indexed="81"/>
            <rFont val="Tahoma"/>
            <family val="2"/>
          </rPr>
          <t>Deepika Bhardwaj:</t>
        </r>
        <r>
          <rPr>
            <sz val="9"/>
            <color indexed="81"/>
            <rFont val="Tahoma"/>
            <family val="2"/>
          </rPr>
          <t xml:space="preserve">
26 completed</t>
        </r>
      </text>
    </comment>
    <comment ref="N144" authorId="1" shapeId="0">
      <text>
        <r>
          <rPr>
            <b/>
            <sz val="9"/>
            <color indexed="81"/>
            <rFont val="Tahoma"/>
            <family val="2"/>
          </rPr>
          <t>Soe Moe Kyi:</t>
        </r>
        <r>
          <rPr>
            <sz val="9"/>
            <color indexed="81"/>
            <rFont val="Tahoma"/>
            <family val="2"/>
          </rPr>
          <t xml:space="preserve">
20 Completed UNHCR</t>
        </r>
      </text>
    </comment>
    <comment ref="H145" authorId="1" shapeId="0">
      <text>
        <r>
          <rPr>
            <b/>
            <sz val="9"/>
            <color indexed="81"/>
            <rFont val="Tahoma"/>
            <family val="2"/>
          </rPr>
          <t>Soe Moe Kyi:</t>
        </r>
        <r>
          <rPr>
            <sz val="9"/>
            <color indexed="81"/>
            <rFont val="Tahoma"/>
            <family val="2"/>
          </rPr>
          <t xml:space="preserve">
June NSS cluster report</t>
        </r>
      </text>
    </comment>
    <comment ref="L146" authorId="0" shapeId="0">
      <text>
        <r>
          <rPr>
            <b/>
            <sz val="9"/>
            <color indexed="81"/>
            <rFont val="Tahoma"/>
            <family val="2"/>
          </rPr>
          <t>Deepika Bhardwaj:</t>
        </r>
        <r>
          <rPr>
            <sz val="9"/>
            <color indexed="81"/>
            <rFont val="Tahoma"/>
            <family val="2"/>
          </rPr>
          <t xml:space="preserve">
26 completed</t>
        </r>
      </text>
    </comment>
    <comment ref="H168" authorId="0" shapeId="0">
      <text>
        <r>
          <rPr>
            <b/>
            <sz val="9"/>
            <color indexed="81"/>
            <rFont val="Tahoma"/>
            <family val="2"/>
          </rPr>
          <t>Deepika Bhardwaj:</t>
        </r>
        <r>
          <rPr>
            <sz val="9"/>
            <color indexed="81"/>
            <rFont val="Tahoma"/>
            <family val="2"/>
          </rPr>
          <t xml:space="preserve">
30 Planned ICRC</t>
        </r>
      </text>
    </comment>
    <comment ref="J168" authorId="0" shapeId="0">
      <text>
        <r>
          <rPr>
            <b/>
            <sz val="9"/>
            <color indexed="81"/>
            <rFont val="Tahoma"/>
            <family val="2"/>
          </rPr>
          <t>Deepika Bhardwaj:</t>
        </r>
        <r>
          <rPr>
            <sz val="9"/>
            <color indexed="81"/>
            <rFont val="Tahoma"/>
            <family val="2"/>
          </rPr>
          <t xml:space="preserve">
90 kitchen planned ICRC</t>
        </r>
      </text>
    </comment>
    <comment ref="N173" authorId="0" shapeId="0">
      <text>
        <r>
          <rPr>
            <b/>
            <sz val="9"/>
            <color indexed="81"/>
            <rFont val="Tahoma"/>
            <family val="2"/>
          </rPr>
          <t>Deepika Bhardwaj:</t>
        </r>
        <r>
          <rPr>
            <sz val="9"/>
            <color indexed="81"/>
            <rFont val="Tahoma"/>
            <family val="2"/>
          </rPr>
          <t xml:space="preserve">
26 completed</t>
        </r>
      </text>
    </comment>
    <comment ref="N178" authorId="1" shapeId="0">
      <text>
        <r>
          <rPr>
            <b/>
            <sz val="9"/>
            <color indexed="81"/>
            <rFont val="Tahoma"/>
            <family val="2"/>
          </rPr>
          <t>Soe Moe Kyi:</t>
        </r>
        <r>
          <rPr>
            <sz val="9"/>
            <color indexed="81"/>
            <rFont val="Tahoma"/>
            <family val="2"/>
          </rPr>
          <t xml:space="preserve">
15 completed</t>
        </r>
      </text>
    </comment>
    <comment ref="P179" authorId="0" shapeId="0">
      <text>
        <r>
          <rPr>
            <b/>
            <sz val="9"/>
            <color indexed="81"/>
            <rFont val="Tahoma"/>
            <family val="2"/>
          </rPr>
          <t>Deepika Bhardwaj:</t>
        </r>
        <r>
          <rPr>
            <sz val="9"/>
            <color indexed="81"/>
            <rFont val="Tahoma"/>
            <family val="2"/>
          </rPr>
          <t xml:space="preserve">
2 completed</t>
        </r>
      </text>
    </comment>
  </commentList>
</comments>
</file>

<file path=xl/sharedStrings.xml><?xml version="1.0" encoding="utf-8"?>
<sst xmlns="http://schemas.openxmlformats.org/spreadsheetml/2006/main" count="16598" uniqueCount="1947">
  <si>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</si>
  <si>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</si>
  <si>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</si>
  <si>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</si>
  <si>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</si>
  <si>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</si>
  <si>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</si>
  <si>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</si>
  <si>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</si>
  <si>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</si>
  <si>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</si>
  <si>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</si>
  <si>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</si>
  <si>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</si>
  <si>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</si>
  <si>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</si>
  <si>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</si>
  <si>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</si>
  <si>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</si>
  <si>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</si>
  <si>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</si>
  <si>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</si>
  <si>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</si>
  <si>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</si>
  <si>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</si>
  <si>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</si>
  <si>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</si>
  <si>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</si>
  <si>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</si>
  <si>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</si>
  <si>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</si>
  <si>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</si>
  <si>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</si>
  <si>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</si>
  <si>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</si>
  <si>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</si>
  <si>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</si>
  <si>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</si>
  <si>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</si>
  <si>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</si>
  <si>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</si>
  <si>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</si>
  <si>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</si>
  <si>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</si>
  <si>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</si>
  <si>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</si>
  <si>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</si>
  <si>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</si>
  <si>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</si>
  <si>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</si>
  <si>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</si>
  <si>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</si>
  <si>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</si>
  <si>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</si>
  <si>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</si>
  <si>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</si>
  <si>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</si>
  <si>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</si>
  <si>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</si>
  <si>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</si>
  <si>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</si>
  <si>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</si>
  <si>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</si>
  <si>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</si>
  <si>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</si>
  <si>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</si>
  <si>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</si>
  <si>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</si>
  <si>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</si>
  <si>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</si>
  <si>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</si>
  <si>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</si>
  <si>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</si>
  <si>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</si>
  <si>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</si>
  <si>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</si>
  <si>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</si>
  <si>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</si>
  <si>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</si>
  <si>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</si>
  <si>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</si>
  <si>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</si>
  <si>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</si>
  <si>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</si>
  <si>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</si>
  <si>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</si>
  <si>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</si>
  <si>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</si>
  <si>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</si>
  <si>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</si>
  <si>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</si>
  <si>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</si>
  <si>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</si>
  <si>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</si>
  <si>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</si>
  <si>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</si>
  <si>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</si>
  <si>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</si>
  <si>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</si>
  <si>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</si>
  <si>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</si>
  <si>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</si>
  <si>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</si>
  <si>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</si>
  <si>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</si>
  <si>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</si>
  <si>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</si>
  <si>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</si>
  <si>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</si>
  <si>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</si>
  <si>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</si>
  <si>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</si>
  <si>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</si>
  <si>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</si>
  <si>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</si>
  <si>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</si>
  <si>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</si>
  <si>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</si>
  <si>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</si>
  <si>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</si>
  <si>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</si>
  <si>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</si>
  <si>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</si>
  <si>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</si>
  <si>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</si>
  <si>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</si>
  <si>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</si>
  <si>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</si>
  <si>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</si>
  <si>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</si>
  <si>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</si>
  <si>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</si>
  <si>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</si>
  <si>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</si>
  <si>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</si>
  <si>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</si>
  <si>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</si>
  <si>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</si>
  <si>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</si>
  <si>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</si>
  <si>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</si>
  <si>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</si>
  <si>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</si>
  <si>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</si>
  <si>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</si>
  <si>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</si>
  <si>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</si>
  <si>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</si>
  <si>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</si>
  <si>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</si>
  <si>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</si>
  <si>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</si>
  <si>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</si>
  <si>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</si>
  <si>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</si>
  <si>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</si>
  <si>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</si>
  <si>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</si>
  <si>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</si>
  <si>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</si>
  <si>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</si>
  <si>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</si>
  <si>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</si>
  <si>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</si>
  <si>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</si>
  <si>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</si>
  <si>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</si>
  <si>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</si>
  <si>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</si>
  <si>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</si>
  <si>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</si>
  <si>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</si>
  <si>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</si>
  <si>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</si>
  <si>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</si>
  <si>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</si>
  <si>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</si>
  <si>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</si>
  <si>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</si>
  <si>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</si>
  <si>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</si>
  <si>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</si>
  <si>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</si>
  <si>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</si>
  <si>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</si>
  <si>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</si>
  <si>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</si>
  <si>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</si>
  <si>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</si>
  <si>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</si>
  <si>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</si>
  <si>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</si>
  <si>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</si>
  <si>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</si>
  <si>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</si>
  <si>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</si>
  <si>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</si>
  <si>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</si>
  <si>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</si>
  <si>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</si>
  <si>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</si>
  <si>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</si>
  <si>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</si>
  <si>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</si>
  <si>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</si>
  <si>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</si>
  <si>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</si>
  <si>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</si>
  <si>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</si>
  <si>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</si>
  <si>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</si>
  <si>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</si>
  <si>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</si>
  <si>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</si>
  <si>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</si>
  <si>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</si>
  <si>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</si>
  <si>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</si>
  <si>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</si>
  <si>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</si>
  <si>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</si>
  <si>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</si>
  <si>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</si>
  <si>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</si>
  <si>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</si>
  <si>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</si>
  <si>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</si>
  <si>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</si>
  <si>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</si>
  <si>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</si>
  <si>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</si>
  <si>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</si>
  <si>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</si>
  <si>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</si>
  <si>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</si>
  <si>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</si>
  <si>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</si>
  <si>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</si>
  <si>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</si>
  <si>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</si>
  <si>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</si>
  <si>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</si>
  <si>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</si>
  <si>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</si>
  <si>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</si>
  <si>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</si>
  <si>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</si>
  <si>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</si>
  <si>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</si>
  <si>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</si>
  <si>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</si>
  <si>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</si>
  <si>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</si>
  <si>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</si>
  <si>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</si>
  <si>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</si>
  <si>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</si>
  <si>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</si>
  <si>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</si>
  <si>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</si>
  <si>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</si>
  <si>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</si>
  <si>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</si>
  <si>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</si>
  <si>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</si>
  <si>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</si>
  <si>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</si>
  <si>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</si>
  <si>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</si>
  <si>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</si>
  <si>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</si>
  <si>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</si>
  <si>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</si>
  <si>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</si>
  <si>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</si>
  <si>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</si>
  <si>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</si>
  <si>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</si>
  <si>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</si>
  <si>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</si>
  <si>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</si>
  <si>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</si>
  <si>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</si>
  <si>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</si>
  <si>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</si>
  <si>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</si>
  <si>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</si>
  <si>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</si>
  <si>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</si>
  <si>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</si>
  <si>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</si>
  <si>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</si>
  <si>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</si>
  <si>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</si>
  <si>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</si>
  <si>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</si>
  <si>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</si>
  <si>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</si>
  <si>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</si>
  <si>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</si>
  <si>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</si>
  <si>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</si>
  <si>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</si>
  <si>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</si>
  <si>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</si>
  <si>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</si>
  <si>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</si>
  <si>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</si>
  <si>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</si>
  <si>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</si>
  <si>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</si>
  <si>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</si>
  <si>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</si>
  <si>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</si>
  <si>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</si>
  <si>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</si>
  <si>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</si>
  <si>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</si>
  <si>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</si>
  <si>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</si>
  <si>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</si>
  <si>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</si>
  <si>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</si>
  <si>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</si>
  <si>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</si>
  <si>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</si>
  <si>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</si>
  <si>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</si>
  <si>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</si>
  <si>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</si>
  <si>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</si>
  <si>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</si>
  <si>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</si>
  <si>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</si>
  <si>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</si>
  <si>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</si>
  <si>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</si>
  <si>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</si>
  <si>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</si>
  <si>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</si>
  <si>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</si>
  <si>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</si>
  <si>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</si>
  <si>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</si>
  <si>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</si>
  <si>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</si>
  <si>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</si>
  <si>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</si>
  <si>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</si>
  <si>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</si>
  <si>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</si>
  <si>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</si>
  <si>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</si>
  <si>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</si>
  <si>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</si>
  <si>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</si>
  <si>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</si>
  <si>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</si>
  <si>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</si>
  <si>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</si>
  <si>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</si>
  <si>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</si>
  <si>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</si>
  <si>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</si>
  <si>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</si>
  <si>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</si>
  <si>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</si>
  <si>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</si>
  <si>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</si>
  <si>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</si>
  <si>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</si>
  <si>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</si>
  <si>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</si>
  <si>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</si>
  <si>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</si>
  <si>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</si>
  <si>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</si>
  <si>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</si>
  <si>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</si>
  <si>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</si>
  <si>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</si>
  <si>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</si>
  <si>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</si>
  <si>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</si>
  <si>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</si>
  <si>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</si>
  <si>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</si>
  <si>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</si>
  <si>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</si>
  <si>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</si>
  <si>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</si>
  <si>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</si>
  <si>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State</t>
  </si>
  <si>
    <t>Collective Center</t>
  </si>
  <si>
    <t>Individual (non hosted)</t>
  </si>
  <si>
    <t>Planned Camp</t>
  </si>
  <si>
    <t>Privately Hosted</t>
  </si>
  <si>
    <t>Self Settled Camp</t>
  </si>
  <si>
    <t>Type of Accomodation</t>
  </si>
  <si>
    <t>Organization</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</si>
  <si>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</si>
  <si>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</si>
  <si>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</si>
  <si>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</si>
  <si>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</si>
  <si>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</si>
  <si>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</si>
  <si>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</si>
  <si>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</si>
  <si>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</si>
  <si>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</si>
  <si>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</si>
  <si>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</si>
  <si>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(Select State)</t>
  </si>
  <si>
    <t>NFI TRACKING SHEET</t>
  </si>
  <si>
    <t>Blanket</t>
  </si>
  <si>
    <t>Kitchen Set</t>
  </si>
  <si>
    <t>Coverage</t>
  </si>
  <si>
    <t>Shelter</t>
  </si>
  <si>
    <t>NFI</t>
  </si>
  <si>
    <t>UNHCR</t>
  </si>
  <si>
    <t>Hygiene Kit</t>
  </si>
  <si>
    <t>Sanitary Kit</t>
  </si>
  <si>
    <t>Tarpaulin</t>
  </si>
  <si>
    <t>KBC</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</si>
  <si>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</si>
  <si>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</si>
  <si>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</si>
  <si>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</si>
  <si>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</si>
  <si>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</si>
  <si>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</si>
  <si>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</si>
  <si>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</si>
  <si>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</si>
  <si>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</si>
  <si>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</si>
  <si>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</si>
  <si>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</si>
  <si>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</si>
  <si>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</si>
  <si>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</si>
  <si>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</si>
  <si>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</si>
  <si>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</si>
  <si>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</si>
  <si>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Label</t>
  </si>
  <si>
    <t>Stock</t>
  </si>
  <si>
    <t>Distribution</t>
  </si>
  <si>
    <t>NB</t>
  </si>
  <si>
    <t>Expiration (month)</t>
  </si>
  <si>
    <t>Avg</t>
  </si>
  <si>
    <t>Source</t>
  </si>
  <si>
    <t>Not Accessible</t>
  </si>
  <si>
    <t>Accessible by All</t>
  </si>
  <si>
    <t>Accessibility Restricted</t>
  </si>
  <si>
    <t>Comment</t>
  </si>
  <si>
    <t>Accessibility</t>
  </si>
  <si>
    <t>Status</t>
  </si>
  <si>
    <t>Camp_Acessibility</t>
  </si>
  <si>
    <t>Open</t>
  </si>
  <si>
    <t>Update Date</t>
  </si>
  <si>
    <t>Shalom</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</si>
  <si>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</si>
  <si>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</si>
  <si>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</si>
  <si>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</si>
  <si>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</si>
  <si>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</si>
  <si>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</si>
  <si>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</si>
  <si>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</si>
  <si>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</si>
  <si>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</si>
  <si>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</si>
  <si>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</si>
  <si>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</si>
  <si>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</si>
  <si>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</si>
  <si>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</si>
  <si>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</si>
  <si>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</si>
  <si>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</si>
  <si>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</si>
  <si>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</si>
  <si>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</si>
  <si>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</si>
  <si>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</si>
  <si>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</si>
  <si>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</si>
  <si>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</si>
  <si>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</si>
  <si>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</si>
  <si>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</si>
  <si>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</si>
  <si>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</si>
  <si>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</si>
  <si>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</si>
  <si>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</si>
  <si>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</si>
  <si>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</si>
  <si>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</si>
  <si>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</si>
  <si>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</si>
  <si>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</si>
  <si>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</si>
  <si>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</si>
  <si>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</si>
  <si>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</si>
  <si>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</si>
  <si>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</si>
  <si>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</si>
  <si>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</si>
  <si>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</si>
  <si>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</si>
  <si>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</si>
  <si>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</si>
  <si>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</si>
  <si>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</si>
  <si>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</si>
  <si>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</si>
  <si>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</si>
  <si>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IRRC</t>
  </si>
  <si>
    <t>Dum Bung</t>
  </si>
  <si>
    <t>N_cps</t>
  </si>
  <si>
    <t>Plastic Bucket</t>
  </si>
  <si>
    <t>Plastic Mat</t>
  </si>
  <si>
    <t>NFI_Plastic_Bucket_Track</t>
  </si>
  <si>
    <t>NFI_Plastic_Mat_Track</t>
  </si>
  <si>
    <t>NFI_Plastic_Bucket_Stock</t>
  </si>
  <si>
    <t>NFI_Plastic_Mat_Stock</t>
  </si>
  <si>
    <t>NFI_Plastic_Bucket_Pipeline</t>
  </si>
  <si>
    <t>NFI_Plastic_Mat_Pipeline</t>
  </si>
  <si>
    <t>Kachin &amp; Northern Shan Shelter Coverage &amp; Gaps</t>
  </si>
  <si>
    <t>Nam Tu RC</t>
  </si>
  <si>
    <t>Narte</t>
  </si>
  <si>
    <t>Mosquito net</t>
  </si>
  <si>
    <t>(All)</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</si>
  <si>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</si>
  <si>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</si>
  <si>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</si>
  <si>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</si>
  <si>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</si>
  <si>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</si>
  <si>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</si>
  <si>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</si>
  <si>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</si>
  <si>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</si>
  <si>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</si>
  <si>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</si>
  <si>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</si>
  <si>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</si>
  <si>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</si>
  <si>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</si>
  <si>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</si>
  <si>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</si>
  <si>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</si>
  <si>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</si>
  <si>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</si>
  <si>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</si>
  <si>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</si>
  <si>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</si>
  <si>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</si>
  <si>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</si>
  <si>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</si>
  <si>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</si>
  <si>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</si>
  <si>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</si>
  <si>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</si>
  <si>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</si>
  <si>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</si>
  <si>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</si>
  <si>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</si>
  <si>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</si>
  <si>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</si>
  <si>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</si>
  <si>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</si>
  <si>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</si>
  <si>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</si>
  <si>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</si>
  <si>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</si>
  <si>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</si>
  <si>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</si>
  <si>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</si>
  <si>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</si>
  <si>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</si>
  <si>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</si>
  <si>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</si>
  <si>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</si>
  <si>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</si>
  <si>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</si>
  <si>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</si>
  <si>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</si>
  <si>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</si>
  <si>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</si>
  <si>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</si>
  <si>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</si>
  <si>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</si>
  <si>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</si>
  <si>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</si>
  <si>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</si>
  <si>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</si>
  <si>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</si>
  <si>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</si>
  <si>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</si>
  <si>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</si>
  <si>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</si>
  <si>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</si>
  <si>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</si>
  <si>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</si>
  <si>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</si>
  <si>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</si>
  <si>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</si>
  <si>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</si>
  <si>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</si>
  <si>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</si>
  <si>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</si>
  <si>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</si>
  <si>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</si>
  <si>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</si>
  <si>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</si>
  <si>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</si>
  <si>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</si>
  <si>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</si>
  <si>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</si>
  <si>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</si>
  <si>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</si>
  <si>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</si>
  <si>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</si>
  <si>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</si>
  <si>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</si>
  <si>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</si>
  <si>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</si>
  <si>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</si>
  <si>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</si>
  <si>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</si>
  <si>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</si>
  <si>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</si>
  <si>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</si>
  <si>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</si>
  <si>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</si>
  <si>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</si>
  <si>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</si>
  <si>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</si>
  <si>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</si>
  <si>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</si>
  <si>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</si>
  <si>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</si>
  <si>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</si>
  <si>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</si>
  <si>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</si>
  <si>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</si>
  <si>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</si>
  <si>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</si>
  <si>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</si>
  <si>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</si>
  <si>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</si>
  <si>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</si>
  <si>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</si>
  <si>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</si>
  <si>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</si>
  <si>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</si>
  <si>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</si>
  <si>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</si>
  <si>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</si>
  <si>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</si>
  <si>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</si>
  <si>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</si>
  <si>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</si>
  <si>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</si>
  <si>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</si>
  <si>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</si>
  <si>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</si>
  <si>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</si>
  <si>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</si>
  <si>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</si>
  <si>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</si>
  <si>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</si>
  <si>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</si>
  <si>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</si>
  <si>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</si>
  <si>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</si>
  <si>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</si>
  <si>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</si>
  <si>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</si>
  <si>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</si>
  <si>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</si>
  <si>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</si>
  <si>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</si>
  <si>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</si>
  <si>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</si>
  <si>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</si>
  <si>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</si>
  <si>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</si>
  <si>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</si>
  <si>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</si>
  <si>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</si>
  <si>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</si>
  <si>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</si>
  <si>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</si>
  <si>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</si>
  <si>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</si>
  <si>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</si>
  <si>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</si>
  <si>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</si>
  <si>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</si>
  <si>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</si>
  <si>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</si>
  <si>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</si>
  <si>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</si>
  <si>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</si>
  <si>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</si>
  <si>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</si>
  <si>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</si>
  <si>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</si>
  <si>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</si>
  <si>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</si>
  <si>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</si>
  <si>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</si>
  <si>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</si>
  <si>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</si>
  <si>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</si>
  <si>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</si>
  <si>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</si>
  <si>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</si>
  <si>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</si>
  <si>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</si>
  <si>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</si>
  <si>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</si>
  <si>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</si>
  <si>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</si>
  <si>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</si>
  <si>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</si>
  <si>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</si>
  <si>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</si>
  <si>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</si>
  <si>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</si>
  <si>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</si>
  <si>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</si>
  <si>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</si>
  <si>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</si>
  <si>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</si>
  <si>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Urban</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</si>
  <si>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</si>
  <si>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</si>
  <si>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</si>
  <si>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</si>
  <si>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</si>
  <si>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</si>
  <si>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</si>
  <si>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</si>
  <si>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</si>
  <si>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</si>
  <si>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</si>
  <si>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</si>
  <si>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</si>
  <si>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</si>
  <si>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</si>
  <si>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</si>
  <si>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</si>
  <si>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</si>
  <si>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</si>
  <si>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</si>
  <si>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</si>
  <si>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</si>
  <si>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Requirement</t>
  </si>
  <si>
    <t>% Requirement</t>
  </si>
  <si>
    <t># Pipeline</t>
  </si>
  <si>
    <t>% Pipeline</t>
  </si>
  <si>
    <t># Remaining Need</t>
  </si>
  <si>
    <t>% Remaining Need</t>
  </si>
  <si>
    <t>MMR015CMP139</t>
  </si>
  <si>
    <t>MMR015CMP207</t>
  </si>
  <si>
    <t>RRD</t>
  </si>
  <si>
    <t>IP</t>
  </si>
  <si>
    <t>Closed</t>
  </si>
  <si>
    <t>Changed to closed</t>
  </si>
  <si>
    <t xml:space="preserve">This IDP are registered in Nam Lim pa (Boarder) (MMR001CMP204). We should not calculate this number in total. </t>
  </si>
  <si>
    <t>Metta</t>
  </si>
  <si>
    <t>Kachin Total</t>
  </si>
  <si>
    <t>Altitude</t>
  </si>
  <si>
    <t>Type of Location</t>
  </si>
  <si>
    <t>Opening Date</t>
  </si>
  <si>
    <t>MMR001CMP211</t>
  </si>
  <si>
    <t>Rural</t>
  </si>
  <si>
    <t>Forest/bush</t>
  </si>
  <si>
    <t>Kachin &amp; Northern Shan States - IDPs Location List</t>
  </si>
  <si>
    <t>(blank)</t>
  </si>
  <si>
    <t>Individual</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</si>
  <si>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</si>
  <si>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</si>
  <si>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</si>
  <si>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</si>
  <si>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</si>
  <si>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</si>
  <si>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</si>
  <si>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</si>
  <si>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</si>
  <si>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</si>
  <si>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</si>
  <si>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</si>
  <si>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</si>
  <si>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</si>
  <si>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</si>
  <si>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</si>
  <si>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</si>
  <si>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</si>
  <si>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</si>
  <si>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</si>
  <si>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</si>
  <si>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</si>
  <si>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</si>
  <si>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</si>
  <si>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</si>
  <si>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</si>
  <si>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Naung Khaing</t>
  </si>
  <si>
    <t>MMR001CMP220</t>
  </si>
  <si>
    <t>Machanbaw</t>
  </si>
  <si>
    <t>MMR001016</t>
  </si>
  <si>
    <t>Machanbaw - KBC</t>
  </si>
  <si>
    <t>MMR001CMP221</t>
  </si>
  <si>
    <t>MMR001CMP222</t>
  </si>
  <si>
    <t>St. Patrick Church, Bhamo</t>
  </si>
  <si>
    <t>RRD Office</t>
  </si>
  <si>
    <t>Warra Zup</t>
  </si>
  <si>
    <t>MRCS</t>
  </si>
  <si>
    <t>Solidarities</t>
  </si>
  <si>
    <t>S_Pcode</t>
  </si>
  <si>
    <t>D_Pcode</t>
  </si>
  <si>
    <t>T_Pcode</t>
  </si>
  <si>
    <t>VillageTracKTown</t>
  </si>
  <si>
    <t>VTT_Pcode</t>
  </si>
  <si>
    <t>VW_Pcode</t>
  </si>
  <si>
    <t>CP_Pcode</t>
  </si>
  <si>
    <t>Responsible Agency</t>
  </si>
  <si>
    <t>Close (Source: OCHA)</t>
  </si>
  <si>
    <t>Galeng</t>
  </si>
  <si>
    <t>Galeng (Kachin)</t>
  </si>
  <si>
    <t>MMR015CMP211</t>
  </si>
  <si>
    <t>Galeng (Palaung)</t>
  </si>
  <si>
    <t>MMR015CMP212</t>
  </si>
  <si>
    <t>Close: Duplicate Camp (MMR015CMP020 - Zup Aung Camp) 21-Jan-14</t>
  </si>
  <si>
    <t>Closed: Source UNHCR-Bhamo</t>
  </si>
  <si>
    <t>UNOCHA</t>
  </si>
  <si>
    <t>Closed : Source, OCHA</t>
  </si>
  <si>
    <t>MMR001CMP223</t>
  </si>
  <si>
    <t>Maing Khaung Catholic Church</t>
  </si>
  <si>
    <t>Source OCHA</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</si>
  <si>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</si>
  <si>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</si>
  <si>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</si>
  <si>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</si>
  <si>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</si>
  <si>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</si>
  <si>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</si>
  <si>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</si>
  <si>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</si>
  <si>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</si>
  <si>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</si>
  <si>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</si>
  <si>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</si>
  <si>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</si>
  <si>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</si>
  <si>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</si>
  <si>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Sum of Coverage</t>
  </si>
  <si>
    <t/>
  </si>
  <si>
    <t>Closed. Rellocated to Man Win and La Ga Yaung</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</si>
  <si>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</si>
  <si>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</si>
  <si>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</si>
  <si>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</si>
  <si>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</si>
  <si>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</si>
  <si>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</si>
  <si>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</si>
  <si>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</si>
  <si>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</si>
  <si>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</si>
  <si>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</si>
  <si>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</si>
  <si>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</si>
  <si>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</si>
  <si>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Lang Taung</t>
  </si>
  <si>
    <t>MMR001014009</t>
  </si>
  <si>
    <t>Nawng Hkaing</t>
  </si>
  <si>
    <t>Doke Tan Ward</t>
  </si>
  <si>
    <t>MMR001014701509</t>
  </si>
  <si>
    <t>Bum Tsit Pa Camp II</t>
  </si>
  <si>
    <t>MMR001CMP226</t>
  </si>
  <si>
    <t>Move to Nant Ma Hpit Catholic Church.</t>
  </si>
  <si>
    <t>Inn Lel Yan</t>
  </si>
  <si>
    <t>Inn Lel Yan -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</si>
  <si>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</si>
  <si>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</si>
  <si>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</si>
  <si>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</si>
  <si>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</si>
  <si>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</si>
  <si>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</si>
  <si>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</si>
  <si>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</si>
  <si>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</si>
  <si>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</si>
  <si>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</si>
  <si>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</si>
  <si>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</si>
  <si>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</si>
  <si>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</si>
  <si>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</si>
  <si>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</si>
  <si>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</si>
  <si>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</si>
  <si>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</si>
  <si>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</si>
  <si>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</si>
  <si>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</si>
  <si>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</si>
  <si>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Mone Paw Nam Chet (Zay) (Pang Hseng (Kyu Koke)) Sub-township</t>
  </si>
  <si>
    <t>MMR015009033</t>
  </si>
  <si>
    <t>Mone Paw Nam Chet</t>
  </si>
  <si>
    <t>Man Pying (Pang Hseng (Kyu Koke)) Sub-township</t>
  </si>
  <si>
    <t>MMR015009038</t>
  </si>
  <si>
    <t>Hawwa</t>
  </si>
  <si>
    <t>MMR001012013</t>
  </si>
  <si>
    <t>Khon Sint</t>
  </si>
  <si>
    <t>Priority</t>
  </si>
  <si>
    <t>Ind</t>
  </si>
  <si>
    <t>WC_Adult_Gap</t>
  </si>
  <si>
    <t>WI_Other_Gap</t>
  </si>
  <si>
    <t>WC_Child_Gap</t>
  </si>
  <si>
    <t>Sum of WC_Adult_Gap</t>
  </si>
  <si>
    <t>Sum of WC_Child_Gap</t>
  </si>
  <si>
    <t>Sum of WI_Other_Gap</t>
  </si>
  <si>
    <t>Check1</t>
  </si>
  <si>
    <t>KMSS-BMO</t>
  </si>
  <si>
    <t>KMSS-MYT</t>
  </si>
  <si>
    <t>Planned Distribution</t>
  </si>
  <si>
    <t>Man Wing Baptist Church Cultural Compound</t>
  </si>
  <si>
    <t>MMR001CMP230</t>
  </si>
  <si>
    <t>Closed. Duplicate with (Nawng Ing (Indawgyi) Baptist Church)</t>
  </si>
  <si>
    <t>Closed. Source: Save The Children</t>
  </si>
  <si>
    <t>MMR015CMP217</t>
  </si>
  <si>
    <t>Mungji Pa Dabang (Catholic Church)</t>
  </si>
  <si>
    <t>CpPcode</t>
  </si>
  <si>
    <t>ResponsibleAgency</t>
  </si>
  <si>
    <t>HouseHold</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</si>
  <si>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</si>
  <si>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</si>
  <si>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</si>
  <si>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</si>
  <si>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</si>
  <si>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</si>
  <si>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</si>
  <si>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</si>
  <si>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</si>
  <si>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</si>
  <si>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</si>
  <si>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</si>
  <si>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Nam Si In (Karmaing Sub-township)</t>
  </si>
  <si>
    <t>Mohnyin Town</t>
  </si>
  <si>
    <t>Ma Hkan Tee</t>
  </si>
  <si>
    <t>MMR015009013</t>
  </si>
  <si>
    <t>MMR015019701</t>
  </si>
  <si>
    <t>opening_date</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</si>
  <si>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</si>
  <si>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</si>
  <si>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</si>
  <si>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</si>
  <si>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</si>
  <si>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</si>
  <si>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</si>
  <si>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</si>
  <si>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</si>
  <si>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</si>
  <si>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</si>
  <si>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</si>
  <si>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</si>
  <si>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</si>
  <si>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</si>
  <si>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</si>
  <si>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</si>
  <si>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</si>
  <si>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#Gap</t>
  </si>
  <si>
    <t>Hopin Host Families</t>
  </si>
  <si>
    <t>Moenyin Host Families</t>
  </si>
  <si>
    <t>MMR001CMP232</t>
  </si>
  <si>
    <t>MMR001CMP233</t>
  </si>
  <si>
    <t>Hpakant Total</t>
  </si>
  <si>
    <t>Myitkyina Total</t>
  </si>
  <si>
    <t>V1</t>
  </si>
  <si>
    <t>V2</t>
  </si>
  <si>
    <t>V3</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</si>
  <si>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</si>
  <si>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</si>
  <si>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</si>
  <si>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</si>
  <si>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</si>
  <si>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</si>
  <si>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</si>
  <si>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</si>
  <si>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</si>
  <si>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</si>
  <si>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</si>
  <si>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</si>
  <si>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</si>
  <si>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</si>
  <si>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</si>
  <si>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</si>
  <si>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</si>
  <si>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</si>
  <si>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</si>
  <si>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</si>
  <si>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</si>
  <si>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</si>
  <si>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</si>
  <si>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Clothes Kit</t>
  </si>
  <si>
    <t>Clothes Kit_LS</t>
  </si>
  <si>
    <t>NFI_Clothes_Track</t>
  </si>
  <si>
    <t>NFI_Clothes_Stock</t>
  </si>
  <si>
    <t>NFI_Clothes_Pipeline</t>
  </si>
  <si>
    <t xml:space="preserve">Mosquito net </t>
  </si>
  <si>
    <t xml:space="preserve">Plastic Bucket </t>
  </si>
  <si>
    <t xml:space="preserve">Plastic Mat </t>
  </si>
  <si>
    <t>Core Kit</t>
  </si>
  <si>
    <t>Winter Items</t>
  </si>
  <si>
    <t>#Camps</t>
  </si>
  <si>
    <t>27-Mar-15 (Closed. Source: UNHCR-Bhamo)
New Camp</t>
  </si>
  <si>
    <t>2-Apr-15 (Closed. Source: GAD)
Responsible Agency update. KMSS-BMO to KMSS-MYT.</t>
  </si>
  <si>
    <t># of IDP Loc.</t>
  </si>
  <si>
    <t>Pajau - Jan Mai</t>
  </si>
  <si>
    <t>Tat Kone COC Baptist - Tat Kone Htoi San</t>
  </si>
  <si>
    <t>Zai Awng - Mung Ga Zup</t>
  </si>
  <si>
    <t>Moke Lwe Village - Hkar Shi</t>
  </si>
  <si>
    <t>Nawng Si Paw Village - Inn Lay</t>
  </si>
  <si>
    <t>Laiza Market 3 - Laiza Gat</t>
  </si>
  <si>
    <t>Affected Population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</si>
  <si>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</si>
  <si>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</si>
  <si>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</si>
  <si>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</si>
  <si>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</si>
  <si>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</si>
  <si>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</si>
  <si>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</si>
  <si>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</si>
  <si>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</si>
  <si>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</si>
  <si>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</si>
  <si>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</si>
  <si>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</si>
  <si>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</si>
  <si>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</si>
  <si>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</si>
  <si>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</si>
  <si>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</si>
  <si>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</si>
  <si>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</si>
  <si>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Sar Hmaw</t>
  </si>
  <si>
    <t>MMR001008018</t>
  </si>
  <si>
    <t>Nam Sa Larp</t>
  </si>
  <si>
    <t>MMR015002021</t>
  </si>
  <si>
    <t>Sar Hmaw - KBC</t>
  </si>
  <si>
    <t>Sar Hmaw - ICM</t>
  </si>
  <si>
    <t>19-Aug-15 Close. Source: CCCM Unit.
Population source: KMSS-BMO</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</si>
  <si>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</si>
  <si>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</si>
  <si>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</si>
  <si>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</si>
  <si>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</si>
  <si>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</si>
  <si>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</si>
  <si>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</si>
  <si>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</si>
  <si>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</si>
  <si>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</si>
  <si>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</si>
  <si>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</si>
  <si>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</si>
  <si>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</si>
  <si>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</si>
  <si>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</si>
  <si>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</si>
  <si>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</si>
  <si>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Latitude</t>
  </si>
  <si>
    <t>Shelter Tool kit</t>
  </si>
  <si>
    <t>Tent</t>
  </si>
  <si>
    <t>3/Mar/2016. Closed Camp. Data source: January report from KBC.
28/Jan/2016. Population update. Data source: KBC (mail by maran)
2/Dec/2015 (Population update. Data source: Monthly report by KBC).
25-Jun-2015 Update population. Data Source: KBC
Changed to Boarding School.</t>
  </si>
  <si>
    <t xml:space="preserve">Tent </t>
  </si>
  <si>
    <t>KMSS_Myitkyina</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</si>
  <si>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</si>
  <si>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</si>
  <si>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</si>
  <si>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</si>
  <si>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</si>
  <si>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</si>
  <si>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</si>
  <si>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</si>
  <si>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</si>
  <si>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</si>
  <si>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</si>
  <si>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</si>
  <si>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</si>
  <si>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</si>
  <si>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</si>
  <si>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</si>
  <si>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</si>
  <si>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</si>
  <si>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</si>
  <si>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</si>
  <si>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</si>
  <si>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</si>
  <si>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</si>
  <si>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</si>
  <si>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</si>
  <si>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</si>
  <si>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</si>
  <si>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</si>
  <si>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</si>
  <si>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</si>
  <si>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</si>
  <si>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MMR015CMP220</t>
  </si>
  <si>
    <t>MMR015CMP221</t>
  </si>
  <si>
    <t>MMR015CMP222</t>
  </si>
  <si>
    <t>MMR015CMP223</t>
  </si>
  <si>
    <t>MMR015CMP224</t>
  </si>
  <si>
    <t>MMR015CMP225</t>
  </si>
  <si>
    <t>MMR015CMP226</t>
  </si>
  <si>
    <t>MMR015CMP227</t>
  </si>
  <si>
    <t>Mong Wee Ta'ang</t>
  </si>
  <si>
    <t>Mong Wee Shan</t>
  </si>
  <si>
    <t>Nam Hpak Ka Ta'ang</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</si>
  <si>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</si>
  <si>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</si>
  <si>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</si>
  <si>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</si>
  <si>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</si>
  <si>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</si>
  <si>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</si>
  <si>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</si>
  <si>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</si>
  <si>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</si>
  <si>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</si>
  <si>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</si>
  <si>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</si>
  <si>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</si>
  <si>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</si>
  <si>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</si>
  <si>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</si>
  <si>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State/Township</t>
  </si>
  <si>
    <t>Northern Shan</t>
  </si>
  <si>
    <t>Northern Shan Total</t>
  </si>
  <si>
    <t>Wa Ra Zut</t>
  </si>
  <si>
    <t>MMR001009009</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</si>
  <si>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</si>
  <si>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</si>
  <si>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</si>
  <si>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</si>
  <si>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</si>
  <si>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</si>
  <si>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</si>
  <si>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</si>
  <si>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</si>
  <si>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</si>
  <si>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</si>
  <si>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Changes camp status. Actually it was not closed. It was combined as one camp with Bum Tsit Pa. Data source: KMSS_Bhamo.
28/Jan/2016. Population update. Data source: KBC
Population Update. Source: Save The Children.</t>
  </si>
  <si>
    <t>WFP</t>
  </si>
  <si>
    <t>Shelter Tool kit_LS</t>
  </si>
  <si>
    <t>Tent_LS</t>
  </si>
  <si>
    <t>MMR015CMP228</t>
  </si>
  <si>
    <t>MMR015CMP229</t>
  </si>
  <si>
    <t>MMR015CMP230</t>
  </si>
  <si>
    <t>MMR015CMP231</t>
  </si>
  <si>
    <t>MMR015CMP232</t>
  </si>
  <si>
    <t>MMR015CMP233</t>
  </si>
  <si>
    <t>MMR015CMP234</t>
  </si>
  <si>
    <t>MMR015CMP235</t>
  </si>
  <si>
    <t>MMR015CMP236</t>
  </si>
  <si>
    <t>MMR015CMP237</t>
  </si>
  <si>
    <t>MMR015CMP238</t>
  </si>
  <si>
    <t>MMR015CMP239</t>
  </si>
  <si>
    <t>MMR015CMP240</t>
  </si>
  <si>
    <t>MMR015CMP241</t>
  </si>
  <si>
    <t>MMR015CMP242</t>
  </si>
  <si>
    <t>MMR015CMP243</t>
  </si>
  <si>
    <t>MMR015CMP244</t>
  </si>
  <si>
    <t xml:space="preserve">Shwe Myint Thar Monastry </t>
  </si>
  <si>
    <t>17-01-2017: New added camp. Missing data will be collected from partners and present in next Report.</t>
  </si>
  <si>
    <t>Namtu RC</t>
  </si>
  <si>
    <t>Namtu KBC 1</t>
  </si>
  <si>
    <t>Namtu KBC 2</t>
  </si>
  <si>
    <t>Lisu Church Namtu</t>
  </si>
  <si>
    <t>St. Peter Church (Ho Mun ward)</t>
  </si>
  <si>
    <t>Gawrakha Youth Association</t>
  </si>
  <si>
    <t>B.E.H.S 2 (Ho Mun ward)</t>
  </si>
  <si>
    <t>B.E.H.S 4 (Ho Mun ward)</t>
  </si>
  <si>
    <t xml:space="preserve">Wein Sai Church </t>
  </si>
  <si>
    <t>Man Kaung/Naung Ti Kyar Village</t>
  </si>
  <si>
    <t>KBC (Ho Mun Ward)</t>
  </si>
  <si>
    <t>Jwan Jaw KBC</t>
  </si>
  <si>
    <t>Hsipaw</t>
  </si>
  <si>
    <t>MMR015014</t>
  </si>
  <si>
    <t>Myauk Ward</t>
  </si>
  <si>
    <t>MMR015009701505</t>
  </si>
  <si>
    <t>Taung Ward</t>
  </si>
  <si>
    <t>MMR015009701503</t>
  </si>
  <si>
    <t>Swei Taw Ward</t>
  </si>
  <si>
    <t>MMR015009701507</t>
  </si>
  <si>
    <t>Monastery (Myauk Kyaung)_North ward</t>
  </si>
  <si>
    <t>Kamahtan Kyaung_(South ward)</t>
  </si>
  <si>
    <t>Aung Mingalar_(Swan Saw ward)</t>
  </si>
  <si>
    <t>Nam Pang</t>
  </si>
  <si>
    <t>MMR015009001</t>
  </si>
  <si>
    <t>Nam Hkon</t>
  </si>
  <si>
    <t>Namt Hkun monastery</t>
  </si>
  <si>
    <t>Nawng Tha Kyar</t>
  </si>
  <si>
    <t>Moe Tay</t>
  </si>
  <si>
    <t>MMR015014024</t>
  </si>
  <si>
    <t>Closed Camp
Update data from OCHA IDPs List</t>
  </si>
  <si>
    <t>SUMIFS(Table_NFI[Mosquito net_LS],Table_NFI[opening_date],1,Table_NFI[Status],"open")</t>
  </si>
  <si>
    <t>0</t>
  </si>
  <si>
    <t>IFERROR(VLOOKUP([@[Camp Name]],CL,2,0),"")</t>
  </si>
  <si>
    <t>Mosquito  net</t>
  </si>
  <si>
    <t xml:space="preserve">Tarpaulin </t>
  </si>
  <si>
    <t xml:space="preserve">Blanket </t>
  </si>
  <si>
    <t xml:space="preserve">Kitchen Set </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</si>
  <si>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</si>
  <si>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</si>
  <si>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6/April/2017: Changed the camp stutas as "Closed". Data source CCCM and comfirmed by partner (KBC). And it was updated since 3/March/2017
Change to Host Families.</t>
  </si>
  <si>
    <t>MMR015011701506</t>
  </si>
  <si>
    <t>No (6) Ward</t>
  </si>
  <si>
    <t>MMR015CMP245</t>
  </si>
  <si>
    <t>Kutkai downtown (KBC Church-2)</t>
  </si>
  <si>
    <t>24/Apr/2017: Changed camp status as "closed". Data source: KMSS_Myitkyina and CCCM unit.
16/Sep/2016: New added camp. There no responsible organization.</t>
  </si>
  <si>
    <t>Data source: KMSS_Bhamo. Data was received when the camps status was changed as "Closed"</t>
  </si>
  <si>
    <t>Update date: 24/April/2017. Data source: KMSS_Myitkyina/under Feb_2017_CAR</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</si>
  <si>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</si>
  <si>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Update date: 27/April/2017. Data source: Programme Unit_UNHCR</t>
  </si>
  <si>
    <t>3/May/2017: Update NFI distribution data. Data source: Shalom (CAR_March data)</t>
  </si>
  <si>
    <t>Man Loi</t>
  </si>
  <si>
    <t>MMR015CMP246</t>
  </si>
  <si>
    <t>Kawng Hkar Man Pying</t>
  </si>
  <si>
    <t>MMR015011002</t>
  </si>
  <si>
    <t>MMR015CMP247</t>
  </si>
  <si>
    <t>2/June/2017: Changed camp status as "Closed" according to UNHCR_Lashio information.
17-01-2017: New added camp. Missing data will be collected from partners and present in next Report.</t>
  </si>
  <si>
    <t>2/June/2017: Changed camp status as "Closed". Data source: UNOCHA and confirmed by CCCM unit.
25/Jul/2016: Added as new camp according to KBC data. Data was given by Jade</t>
  </si>
  <si>
    <t>2/June/2017: Updated Accessibility NGCA to GCA. Data source: UNOCHA.
Change to Host Families.</t>
  </si>
  <si>
    <t>Moke Lwe</t>
  </si>
  <si>
    <t>MMR001002002</t>
  </si>
  <si>
    <t>Khar Shi</t>
  </si>
  <si>
    <t>MMR001CMP248</t>
  </si>
  <si>
    <t>2/June/2017: Update blanket data. Data source: KBC</t>
  </si>
  <si>
    <t>Update date: 2/June/2017. Data source: CAR_April</t>
  </si>
  <si>
    <t>Hka Shi</t>
  </si>
  <si>
    <t>WV</t>
  </si>
  <si>
    <t>2/June/2017: New added camp. Data source: WASH cluster, WV (World Vision).</t>
  </si>
  <si>
    <t xml:space="preserve">Update date: 15/May/2017. Data source: SI </t>
  </si>
  <si>
    <t>Update date: 15/May/2017. Data source: SI and confirmed by CCCM unit.</t>
  </si>
  <si>
    <t>Sadung</t>
  </si>
  <si>
    <t>NRC</t>
  </si>
  <si>
    <t>Update date: 16/May/2017. Data source: NRC</t>
  </si>
  <si>
    <t>Update date: 15/May/2017. Data source: SI (IDP site)</t>
  </si>
  <si>
    <t>MMR001CMP249</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</si>
  <si>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</si>
  <si>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Sha-It Yang</t>
  </si>
  <si>
    <t>19/May/2017: Population update. Data source: Shelter Associate (UNHCR)
Changed Camp to Host Families. Source: Camp Profile Questionnaire.</t>
  </si>
  <si>
    <t>no</t>
  </si>
  <si>
    <t>Lel Pyin</t>
  </si>
  <si>
    <t>MMR001CMP250</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</si>
  <si>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</si>
  <si>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</si>
  <si>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</si>
  <si>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Pang Hkawng Yang</t>
  </si>
  <si>
    <t>Update date: 3/Jul/2017. Data source NRC. Distribution for Storm affected villages.</t>
  </si>
  <si>
    <t>3/Jul/2017: Updated NFI distribution. Data source NRC.</t>
  </si>
  <si>
    <t>MMR015CMP248</t>
  </si>
  <si>
    <t>Kyu Sot</t>
  </si>
  <si>
    <t>Lawng Hkang Shait Yang Camp​ ( Lel Pyin)​ </t>
  </si>
  <si>
    <t>11/Jul/2017: Change status to Close as no update available since December 2016</t>
  </si>
  <si>
    <t>11/Jul/2017: Change status to Close as no update available since June 2014
Geo-Info, HH/Pop data was updated from Google Earth.</t>
  </si>
  <si>
    <t>11/Jul/17: Change status to Close as no update available.</t>
  </si>
  <si>
    <t>11/Jul/2017: Change status to Close as no update available since June/2017.
Geo-Info, HH/Pop data was updated from Google Earth.</t>
  </si>
  <si>
    <t>11/Jul/2017: Change status to Close as no update available since Jan/2017.
Update from OCHA Data (2 Jan 2014)</t>
  </si>
  <si>
    <t>11/Jul/2017: Closed camp. No update information since Nov 2015.
9/Nov/2015. Population update. Data source: mail from WFP.
New added Boarding School</t>
  </si>
  <si>
    <t>11/Jul/2017: Camp status change into closed. KBC said Camp will be combine with Nam Sa Larp. DATA Source: KBC
25/Jul/2016: Added as new camp according to KBC data. Data was given by Jade</t>
  </si>
  <si>
    <t>11/Jul/2017: Change status to Close as no update available.</t>
  </si>
  <si>
    <t>11/Jul/2017: Closed camp. No update information.
25-Jun-2015 (New host families. Source: RRD)</t>
  </si>
  <si>
    <t>11/Jul/2017: Change status into closed: Data source: KBC
25/Jul/2016: Added as new camp according to KBC data. Data was given by Jade</t>
  </si>
  <si>
    <t>11/Jul/2017: Change status to Close as no update available
Geo-Info, HH/Pop data was updated from Google Earth.</t>
  </si>
  <si>
    <t>DETAILED LIST OF IDP LOCATIONS</t>
  </si>
  <si>
    <t>CMA</t>
  </si>
  <si>
    <t>P-Code</t>
  </si>
  <si>
    <t>Land Available</t>
  </si>
  <si>
    <t>New shelter</t>
  </si>
  <si>
    <t>New Kitchen</t>
  </si>
  <si>
    <t>Renovation</t>
  </si>
  <si>
    <t>C&amp;M</t>
  </si>
  <si>
    <t>Communal Hall</t>
  </si>
  <si>
    <t>Agency</t>
  </si>
  <si>
    <t>Unit</t>
  </si>
  <si>
    <t>Name(s)</t>
  </si>
  <si>
    <t>KMSS-B</t>
  </si>
  <si>
    <t>KMSS-Bhamo</t>
  </si>
  <si>
    <t>reported by KBC</t>
  </si>
  <si>
    <t>Lisu Boarding House</t>
  </si>
  <si>
    <t>yes</t>
  </si>
  <si>
    <t>KMSS-M</t>
  </si>
  <si>
    <t>Dhama Rakhita, Nyein Chan Tar Yar Ward (Lon Kin)</t>
  </si>
  <si>
    <t>Lisu Baptist Church, Maw Shan Vil, Seik Mu</t>
  </si>
  <si>
    <t>Nam Ma Phyit Catholic Church</t>
  </si>
  <si>
    <t>Rawan Baptist Church, Maw Shan Vil, Seik Mu.</t>
  </si>
  <si>
    <t>Ward 2 Sai Taung Baptist Church, Seik Mu</t>
  </si>
  <si>
    <t>Yumar Baptist</t>
  </si>
  <si>
    <t>5 Ward RC Church (Lon Kin)</t>
  </si>
  <si>
    <t>NSS</t>
  </si>
  <si>
    <t>uncovered</t>
  </si>
  <si>
    <t>Reported by NRC</t>
  </si>
  <si>
    <t>KMSS-L</t>
  </si>
  <si>
    <t>Manloi</t>
  </si>
  <si>
    <t>Mungji Pa Dabang (Baptist Church)</t>
  </si>
  <si>
    <t>Zup Aung Camp - Galeng Kachin</t>
  </si>
  <si>
    <t>Bum Tsit Pa</t>
  </si>
  <si>
    <t>Maing Khaung KBC</t>
  </si>
  <si>
    <t>Reported by KMSS-Bmo</t>
  </si>
  <si>
    <t>Man Wing Catholic I</t>
  </si>
  <si>
    <t>Man Wing Catholic II</t>
  </si>
  <si>
    <t>La Na Zup ja</t>
  </si>
  <si>
    <t>Man Wing Gyi Baptist Cultural compound</t>
  </si>
  <si>
    <t>Uncovered</t>
  </si>
  <si>
    <t>Manton Catholic Church</t>
  </si>
  <si>
    <t>Kyun Taw Baptist camp</t>
  </si>
  <si>
    <t>Reported by KBC</t>
  </si>
  <si>
    <t>Sar Maw (KBC)</t>
  </si>
  <si>
    <t>Nat Gyi Kone Baptist Church</t>
  </si>
  <si>
    <t>Nawng Ing (Indawgyi) Baptist Church</t>
  </si>
  <si>
    <t>St.Patrick Catholic Church</t>
  </si>
  <si>
    <t>Je Yang Kha</t>
  </si>
  <si>
    <t>Loi Je Catholic Church (R.C)</t>
  </si>
  <si>
    <t>Loi Je Nyaung Na Pin</t>
  </si>
  <si>
    <t>N'hkawng Pa</t>
  </si>
  <si>
    <t>Nyaung Na Pin</t>
  </si>
  <si>
    <t>Pa Ka Tawng</t>
  </si>
  <si>
    <t>Seng Ja</t>
  </si>
  <si>
    <t>Dukahtaung Baptist Church</t>
  </si>
  <si>
    <t>Jan Mai Kaung Baptist Church</t>
  </si>
  <si>
    <t>Jan Mai Kaung Catholic Church</t>
  </si>
  <si>
    <t>Le Kone Ziun Baptist Church</t>
  </si>
  <si>
    <t>Nan Kway St.John Catholic Church</t>
  </si>
  <si>
    <t>Njang Dung Baptist</t>
  </si>
  <si>
    <t>Pa Dauk Myaing (pa La Na)</t>
  </si>
  <si>
    <t>Nam Hkam</t>
  </si>
  <si>
    <t>Nam Hkam - (KBC Jaw wang)_2</t>
  </si>
  <si>
    <t>Nam Hkam - Pang Long KBC</t>
  </si>
  <si>
    <t>Nam Hkam Catholic Church (St. Thomas)</t>
  </si>
  <si>
    <t>Reported by KMSS-LSO</t>
  </si>
  <si>
    <t>Shwe Gu</t>
  </si>
  <si>
    <t>Sumbrabum</t>
  </si>
  <si>
    <t>Boarder Post 8</t>
  </si>
  <si>
    <t>Khat Cho</t>
  </si>
  <si>
    <t>Maga Yang</t>
  </si>
  <si>
    <t>Maina Catholic Church (St.Joseph)</t>
  </si>
  <si>
    <t>BP6</t>
  </si>
  <si>
    <t>Qtr 2 Lhaovo Baptist Church</t>
  </si>
  <si>
    <t>Qtr 2 Myoma Baptist Church</t>
  </si>
  <si>
    <t>Qtr 3 Mu yin Baptist Church</t>
  </si>
  <si>
    <t>Waingmaw A.G Church</t>
  </si>
  <si>
    <t>Woi Chai</t>
  </si>
  <si>
    <t xml:space="preserve">TOTAL </t>
  </si>
  <si>
    <t># Individuals</t>
  </si>
  <si>
    <t># HHs</t>
  </si>
  <si>
    <t># Shelters planned</t>
  </si>
  <si>
    <t>Nam Kham</t>
  </si>
  <si>
    <t xml:space="preserve">Nam Jarap ( Nam Sa Larp) </t>
  </si>
  <si>
    <t># Shelters needed</t>
  </si>
  <si>
    <t># Shelter gap*</t>
  </si>
  <si>
    <t>*Shelters are considered to be; new units, renovation and C&amp;M</t>
  </si>
  <si>
    <t>SI</t>
  </si>
  <si>
    <t>Cash for NFI (# of HHs covered)</t>
  </si>
  <si>
    <t>IDP locations SUMMARY</t>
  </si>
  <si>
    <t>Data source MRCS</t>
  </si>
  <si>
    <t>Data source Metta</t>
  </si>
  <si>
    <t>Solidarites</t>
  </si>
  <si>
    <t>Camp like setting</t>
  </si>
  <si>
    <t xml:space="preserve">Legend for HH and Population figures: </t>
  </si>
  <si>
    <t>7/April/2017: Population update. Data source: WFP
9/Nov/15. Population update. Data source: WFP
Update IDP increased in Oct and Nov 2013 (UNHCR - Bhamo)</t>
  </si>
  <si>
    <t>Not updated due to lack of access.
New host families.</t>
  </si>
  <si>
    <t>18th - 19th May joint assessment of OCHA and UNHCR, population returned to place of origin. Location is closed. Change to Host Families. Source: Programme Unit.</t>
  </si>
  <si>
    <t>Definition of "Type of accommodation":</t>
  </si>
  <si>
    <t>Host families</t>
  </si>
  <si>
    <t>IDP according to state</t>
  </si>
  <si>
    <t>IDP according to accessibility</t>
  </si>
  <si>
    <t>IDP locations per township</t>
  </si>
  <si>
    <t xml:space="preserve">Tanai AG Church </t>
  </si>
  <si>
    <t xml:space="preserve">Tanai KBC Church </t>
  </si>
  <si>
    <t>Tanai CoC</t>
  </si>
  <si>
    <t>Solar lamps</t>
  </si>
  <si>
    <t>Kachin &amp; Nothern Shan NFI Coverage</t>
  </si>
  <si>
    <t>NRC/KBC</t>
  </si>
  <si>
    <t>UNHCR/Shalom</t>
  </si>
  <si>
    <t># of distributions</t>
  </si>
  <si>
    <t># distributions</t>
  </si>
  <si>
    <t xml:space="preserve">Tanai RC Church - Kinsa Ra </t>
  </si>
  <si>
    <t>Total number of IDPs</t>
  </si>
  <si>
    <t>Total number of IDP locations</t>
  </si>
  <si>
    <t>MMR001CMP251</t>
  </si>
  <si>
    <t>MMR001CMP252</t>
  </si>
  <si>
    <t>MMR001CMP253</t>
  </si>
  <si>
    <t>MMR001CMP254</t>
  </si>
  <si>
    <t>Household</t>
  </si>
  <si>
    <t>Kachin &amp; Northern Shan CCCM Dashboard</t>
  </si>
  <si>
    <t>1-100</t>
  </si>
  <si>
    <t>100-1k</t>
  </si>
  <si>
    <t>1k-5k</t>
  </si>
  <si>
    <t>5k-10k</t>
  </si>
  <si>
    <t># of HH</t>
  </si>
  <si>
    <t># of IDPs</t>
  </si>
  <si>
    <t>Unknown</t>
  </si>
  <si>
    <t># of camps by Size of Population</t>
  </si>
  <si>
    <t>1k - 5k</t>
  </si>
  <si>
    <t># Camps</t>
  </si>
  <si>
    <t>Select State:</t>
  </si>
  <si>
    <t>Breakdown of IDP population by township</t>
  </si>
  <si>
    <t>Breakdown of IDP population by Accessibility</t>
  </si>
  <si>
    <t>Population breakdown by Accomodation Type &amp; Accessibility</t>
  </si>
  <si>
    <t>Camps breakdown by Accomodation Type &amp; Accessibility</t>
  </si>
  <si>
    <t>Percent %</t>
  </si>
  <si>
    <t># IDP locations (shelter interventions)</t>
  </si>
  <si>
    <t xml:space="preserve"> Solar lamps</t>
  </si>
  <si>
    <t xml:space="preserve"> Plastic Mat</t>
  </si>
  <si>
    <t xml:space="preserve"> Plastic Bucket</t>
  </si>
  <si>
    <t xml:space="preserve"> Kitchen Set</t>
  </si>
  <si>
    <t xml:space="preserve"> Blanket</t>
  </si>
  <si>
    <t xml:space="preserve"> Tarpaulin</t>
  </si>
  <si>
    <t xml:space="preserve"> Mosquito net</t>
  </si>
  <si>
    <t xml:space="preserve"> Sanitary Kit</t>
  </si>
  <si>
    <t xml:space="preserve"> NFI Core Kit</t>
  </si>
  <si>
    <t xml:space="preserve"> Cash for NFI (# of HHs covered)</t>
  </si>
  <si>
    <t>Values</t>
  </si>
  <si>
    <t>Count of Township</t>
  </si>
  <si>
    <t># of distribution</t>
  </si>
  <si>
    <t>Type of Accomodation / Accessibility</t>
  </si>
  <si>
    <t>Individuals</t>
  </si>
  <si>
    <t># of Camps</t>
  </si>
  <si>
    <t>%</t>
  </si>
  <si>
    <t xml:space="preserve">        dropdown</t>
  </si>
  <si>
    <t>All</t>
  </si>
  <si>
    <t>NFI Stock/pipeline tracking</t>
  </si>
  <si>
    <t>Hygiene Family Kit</t>
  </si>
  <si>
    <t>Clothes Kits</t>
  </si>
  <si>
    <t>ES kit</t>
  </si>
  <si>
    <t>Shelter tool kit</t>
  </si>
  <si>
    <t>Jerry can</t>
  </si>
  <si>
    <t>Camp name</t>
  </si>
  <si>
    <t>Camp ID</t>
  </si>
  <si>
    <t>type of shelter</t>
  </si>
  <si>
    <t>CESVI</t>
  </si>
  <si>
    <t>AD-2000</t>
  </si>
  <si>
    <t>New Unit (single and barrack)</t>
  </si>
  <si>
    <t>Yes</t>
  </si>
  <si>
    <t>DRC</t>
  </si>
  <si>
    <t>Communal kitchen</t>
  </si>
  <si>
    <t>No</t>
  </si>
  <si>
    <t>Communal hall</t>
  </si>
  <si>
    <t>Extension attached kitchen</t>
  </si>
  <si>
    <t xml:space="preserve">Nant Hlaing </t>
  </si>
  <si>
    <t>KMSS-Lashio</t>
  </si>
  <si>
    <t>KMSS-Myitkyina</t>
  </si>
  <si>
    <t>Aung Thar Church Kbc</t>
  </si>
  <si>
    <t>Myanmar Red Cresent</t>
  </si>
  <si>
    <t>World vision</t>
  </si>
  <si>
    <t>Border Post ( 6 )Hpare</t>
  </si>
  <si>
    <t>5 Ward RC Church (Lon Khin)</t>
  </si>
  <si>
    <t>Hlai Nawng( Ka Mai)</t>
  </si>
  <si>
    <t>Baptist Church Hmaw si sar ( Lon Hkin)</t>
  </si>
  <si>
    <t>Lawng Hkang Shait Yang (lonekhin + Kate maw)</t>
  </si>
  <si>
    <t>Seng Ngai Baptish Church, Maw Shan Vil., Seki Mu</t>
  </si>
  <si>
    <t xml:space="preserve"> Seng Tawng Baptist Church</t>
  </si>
  <si>
    <t>Madung KBC Camp (Aung Ra Nursery School)</t>
  </si>
  <si>
    <t>Hpakant Baptist church (Nam Ma Hpyit)</t>
  </si>
  <si>
    <t>Shadu Zup KBC</t>
  </si>
  <si>
    <t>Dhama Rakhita ,Nyein Chan Tar Yar Ward (LonKhin )</t>
  </si>
  <si>
    <t>Mai Hkawng RC</t>
  </si>
  <si>
    <t>Manwin  RC ( 1 )</t>
  </si>
  <si>
    <t>Manwin  RC ( 2 )</t>
  </si>
  <si>
    <t>Man Win Gyi(KBC)</t>
  </si>
  <si>
    <t xml:space="preserve">Mai Hkawng </t>
  </si>
  <si>
    <t>Man Win Gyi ( Htung Hkring Wang )</t>
  </si>
  <si>
    <t>Ma Hawng Baptist Church</t>
  </si>
  <si>
    <t>Loi Je RC</t>
  </si>
  <si>
    <t>Seng Ja (Loi Je)</t>
  </si>
  <si>
    <t>N-Hkawng Pa</t>
  </si>
  <si>
    <t>Tat Kone Sanpra Baptist Church</t>
  </si>
  <si>
    <t>Shatapru (Sut Ngai Tawng )</t>
  </si>
  <si>
    <t>Dukahtawng Baptist Church</t>
  </si>
  <si>
    <t>Le Kone Bethlehem Baptist Church</t>
  </si>
  <si>
    <t>Wai Maw AG Church</t>
  </si>
  <si>
    <t>Hkau Shu (BP 12)</t>
  </si>
  <si>
    <t>Laiza Muklum Hpyen  Yen Mungshawa ni</t>
  </si>
  <si>
    <t xml:space="preserve">Sha it yang ( Zai Awng Munga zup) </t>
  </si>
  <si>
    <t xml:space="preserve">Nam Jarap </t>
  </si>
  <si>
    <t xml:space="preserve"> Galeng Zup Aung ( Kachin)</t>
  </si>
  <si>
    <t>Mung Sii Catholic Church</t>
  </si>
  <si>
    <t xml:space="preserve">Mai Yu Lay camp II </t>
  </si>
  <si>
    <t>Kutkai KBC 2</t>
  </si>
  <si>
    <t>Man Ton Catholic Church</t>
  </si>
  <si>
    <t>Nam Kham Catholic Church
(St. Thomas)</t>
  </si>
  <si>
    <t>Nam Hkam - Chyeju Kaba Wang ( Jaw 2)</t>
  </si>
  <si>
    <t>Namhkan - Bang Lung KBC</t>
  </si>
  <si>
    <t>Kyu Sawt</t>
  </si>
  <si>
    <t>Access</t>
  </si>
  <si>
    <t>Du Kahtawng Baptist</t>
  </si>
  <si>
    <t>Closed july 2017</t>
  </si>
  <si>
    <t>Ka Bu Dam</t>
  </si>
  <si>
    <t>Ka Bu Dam CoC</t>
  </si>
  <si>
    <t>TOTAL</t>
  </si>
  <si>
    <t>Pamati AG church</t>
  </si>
  <si>
    <t>Mai Hkawng KBC Camp-2</t>
  </si>
  <si>
    <t>Pan Hkawn Yang village</t>
  </si>
  <si>
    <t>Namti</t>
  </si>
  <si>
    <t>31-08-17</t>
  </si>
  <si>
    <t>Khun Thar Ward</t>
  </si>
  <si>
    <t>Min Jong Kone Ward</t>
  </si>
  <si>
    <t>Location</t>
  </si>
  <si>
    <t>Man ma Lin village</t>
  </si>
  <si>
    <t>Lat Pan La village</t>
  </si>
  <si>
    <t>Moe Sein Tune village</t>
  </si>
  <si>
    <t>Yel Lay village</t>
  </si>
  <si>
    <t>AG Church Pa Ma Tee</t>
  </si>
  <si>
    <t>New displacement from Ka Sung</t>
  </si>
  <si>
    <t>Closed as of 1st of September 2017</t>
  </si>
  <si>
    <t>Pan Law</t>
  </si>
  <si>
    <t>IDPs returned</t>
  </si>
  <si>
    <t>Tanai RC church (kinsa Ra)</t>
  </si>
  <si>
    <t>Loi Je RC camp</t>
  </si>
  <si>
    <t>Waignmaw</t>
  </si>
  <si>
    <t>Waignmaw lhavo zonal</t>
  </si>
  <si>
    <t>Waignmaw AG</t>
  </si>
  <si>
    <t>UNHCR/DRC joint mission</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</si>
  <si>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</si>
  <si>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21/Dec/2017: Updated NFI distribution. Data source KMSS-M</t>
  </si>
  <si>
    <t>Daw Hpum Yang Boarder Camp</t>
  </si>
  <si>
    <t>Count of Camp</t>
  </si>
  <si>
    <t>#REF!</t>
  </si>
  <si>
    <t>MMR001CMP255</t>
  </si>
  <si>
    <t>MMR001CMP256</t>
  </si>
  <si>
    <t>MMR001CMP257</t>
  </si>
  <si>
    <t>MMR001CMP258</t>
  </si>
  <si>
    <t>MMR015CMP249</t>
  </si>
  <si>
    <t># HHs still in need of shelter intervention</t>
  </si>
  <si>
    <t>21/Dec/2017: Population update. Data source: WFP
7/April/2017: Population update. Data source: WFP
Geo-Info, HH/Pop data was updated from Google Earth.</t>
  </si>
  <si>
    <t>21/Dec/2017: Population update. Data source: WFP
28/Jan/2016. Population update. Data source: KBC &amp; UNHCR
13/Dec/15. Population update. Data source: UNHCR. Reason for pop changes: IDP in the host who were registered in the Man Win Bapitst Church (cultural compound) camp established their own separate entity as IDP in the host. 
Population Update. Source: Save The Children.</t>
  </si>
  <si>
    <t>21/Dec/2017: Population update. Data source: WFP
7/April/2017: Population update. Data source: WFP
9/Nov/15. Population update. Data source: WFP
Update IDP increased in Oct and Nov 2013 from (UNHCR - Bhamo)</t>
  </si>
  <si>
    <t>21/Dec/2017: Population update. Data source: WFP
7/April/2017: Population update. Data source: WFP
9/Nov/15. Population update. Data source: WFP</t>
  </si>
  <si>
    <t>SCI</t>
  </si>
  <si>
    <t>Agency name</t>
  </si>
  <si>
    <t>RRD Lashio</t>
  </si>
  <si>
    <t>ICRC Lashio</t>
  </si>
  <si>
    <t>9/1/2018: Updated NFI distribution. Data source SCI</t>
  </si>
  <si>
    <t xml:space="preserve">     Increased since last month             Decreased since last month</t>
  </si>
  <si>
    <t>ICRC Myitkyina</t>
  </si>
  <si>
    <t xml:space="preserve">Aup Kyin Shan </t>
  </si>
  <si>
    <t>ICRC</t>
  </si>
  <si>
    <t>KMSS-M/UNHCR</t>
  </si>
  <si>
    <t>KMSS-B/NRC</t>
  </si>
  <si>
    <t>Relief International ( RI)</t>
  </si>
  <si>
    <t>RI</t>
  </si>
  <si>
    <t>B.E.H.S(1)</t>
  </si>
  <si>
    <t>Aung Min Galar Monastery</t>
  </si>
  <si>
    <t>Aung Myay Thar Yar Monastery</t>
  </si>
  <si>
    <t>Warso Monastery</t>
  </si>
  <si>
    <t>Thanti Thukha Religious building</t>
  </si>
  <si>
    <t>Nam Hpak Ka Ta'ang ( Aung Tha Pyay)</t>
  </si>
  <si>
    <t>Camp Like setting</t>
  </si>
  <si>
    <t>KMSSB and NRC will cover 100 each</t>
  </si>
  <si>
    <t>Reported by Shalom</t>
  </si>
  <si>
    <t>DRC/Metta</t>
  </si>
  <si>
    <t>Shelter gap/needs:  2018</t>
  </si>
  <si>
    <t>remaining gap/needs: 2018</t>
  </si>
  <si>
    <t>Dignity Kits</t>
  </si>
  <si>
    <t>31.12.2017</t>
  </si>
  <si>
    <t>IRC</t>
  </si>
  <si>
    <t>UNFPA</t>
  </si>
  <si>
    <t>Dignity Kit</t>
  </si>
  <si>
    <t>CSOs</t>
  </si>
  <si>
    <t>Aung Min Galar (Monastery)</t>
  </si>
  <si>
    <t>Jawsaw</t>
  </si>
  <si>
    <t>Kaung AI (Monastery)</t>
  </si>
  <si>
    <t>Hkauk Kwe (Monastery)</t>
  </si>
  <si>
    <t>Warso ( Monastery)</t>
  </si>
  <si>
    <t>Aung Myay Thar Yar (Monastery)</t>
  </si>
  <si>
    <t>KMSS_Bhamo</t>
  </si>
  <si>
    <t>KMSS-LSO/UNHCR</t>
  </si>
  <si>
    <r>
      <t>Lawng Hkang Shait Yang Camp</t>
    </r>
    <r>
      <rPr>
        <sz val="12"/>
        <rFont val="Calibri"/>
        <family val="2"/>
        <scheme val="minor"/>
      </rPr>
      <t>​ ( Lel Pyin)​ </t>
    </r>
  </si>
  <si>
    <t>ICRC last cluster meeting</t>
  </si>
  <si>
    <t>Current Coverage</t>
  </si>
  <si>
    <t>KMSS-B and Cordaid agreement to be signed</t>
  </si>
  <si>
    <t>UNHCR/KMSSB</t>
  </si>
  <si>
    <t>KBC/KMSSB</t>
  </si>
  <si>
    <t>Bhamo Total</t>
  </si>
  <si>
    <t>shalom/UNHCR</t>
  </si>
  <si>
    <t>KBC/UNHCR</t>
  </si>
  <si>
    <t>Yes for 5</t>
  </si>
  <si>
    <t>Mansi Total</t>
  </si>
  <si>
    <t>Mogaung Total</t>
  </si>
  <si>
    <t>Mohnyin Total</t>
  </si>
  <si>
    <t>Momauk Total</t>
  </si>
  <si>
    <t>Puta-O Total</t>
  </si>
  <si>
    <t>Shwegu Total</t>
  </si>
  <si>
    <t>Hseni Total</t>
  </si>
  <si>
    <t>Kutkai Total</t>
  </si>
  <si>
    <t>Muse Total</t>
  </si>
  <si>
    <t>Namhkan Total</t>
  </si>
  <si>
    <t>Namtu Total</t>
  </si>
  <si>
    <t>Shan_North Total</t>
  </si>
  <si>
    <t>UNHCR/KBC</t>
  </si>
  <si>
    <t>Mine Yu Lay village ( Old)</t>
  </si>
  <si>
    <t>Mai Yu Lay New (Ta'ang)</t>
  </si>
  <si>
    <t>2 Shelters accomdated for big families</t>
  </si>
  <si>
    <t>Firewood support included</t>
  </si>
  <si>
    <t>8 Bedsheet</t>
  </si>
  <si>
    <t>1 Bedsheet</t>
  </si>
  <si>
    <t>25 BedSheet</t>
  </si>
  <si>
    <t>Transportation charges for Bamboo Transport</t>
  </si>
  <si>
    <t>Zinc roof Sheet</t>
  </si>
  <si>
    <t>KMSS</t>
  </si>
  <si>
    <t>124 Mattress</t>
  </si>
  <si>
    <t>387 Mattress</t>
  </si>
  <si>
    <t>77 Mattress</t>
  </si>
  <si>
    <t>34 Mattress</t>
  </si>
  <si>
    <t>Metta/MHF</t>
  </si>
  <si>
    <t>Reported by Metta</t>
  </si>
  <si>
    <t>30/4/2018</t>
  </si>
  <si>
    <t>NFI Kits</t>
  </si>
  <si>
    <t>Emergency Fund</t>
  </si>
  <si>
    <t>Distribution Month/Year (Auto-calculated)</t>
  </si>
  <si>
    <t>Plan Int.</t>
  </si>
  <si>
    <t>WVI</t>
  </si>
  <si>
    <t xml:space="preserve">Aung Lawt </t>
  </si>
  <si>
    <t>Hka Wan KBC</t>
  </si>
  <si>
    <t>Shangaw KBC</t>
  </si>
  <si>
    <t>Lawa RC Church</t>
  </si>
  <si>
    <t>KMSS-MKN/Cordaid</t>
  </si>
  <si>
    <t>KBC/ICRC/NRC</t>
  </si>
  <si>
    <t>KBC/UNHCR/DRC</t>
  </si>
  <si>
    <t>KMSS-L/MHF/ICRC</t>
  </si>
  <si>
    <t>KMSS-L/UNHCR</t>
  </si>
  <si>
    <t>KMSS-B/Cordaid</t>
  </si>
  <si>
    <t>Trocaire</t>
  </si>
  <si>
    <t>Metta/Trocaire</t>
  </si>
  <si>
    <t>Implementing and supporting agencies for shelter activities (2018)</t>
  </si>
  <si>
    <t>MMR001CMP259</t>
  </si>
  <si>
    <t>MMR001CMP260</t>
  </si>
  <si>
    <t>MMR001CMP261</t>
  </si>
  <si>
    <t>MMR001CMP262</t>
  </si>
  <si>
    <t>MMR001CMP263</t>
  </si>
  <si>
    <t>MMR001CMP264</t>
  </si>
  <si>
    <t>MMR001008702</t>
  </si>
  <si>
    <t>Nammatee Town</t>
  </si>
  <si>
    <t>Lan Gwa</t>
  </si>
  <si>
    <t>MMR001008036</t>
  </si>
  <si>
    <t>Myo Oo Ward</t>
  </si>
  <si>
    <t>MMR001008702502</t>
  </si>
  <si>
    <t>Myo Oo St. Dominic RC Church</t>
  </si>
  <si>
    <t>Lan Gwa St.Paul RC Church</t>
  </si>
  <si>
    <t>Lan Gwa KBC Church</t>
  </si>
  <si>
    <t>MMR001008702501</t>
  </si>
  <si>
    <t>Emmanuel AG Church</t>
  </si>
  <si>
    <t>Trinity KBC Church</t>
  </si>
  <si>
    <t>Nawng Nang</t>
  </si>
  <si>
    <t>MMR001001002</t>
  </si>
  <si>
    <t>Ka War Hka</t>
  </si>
  <si>
    <t>Panmatee Town</t>
  </si>
  <si>
    <t>Tang Hpre RC Church</t>
  </si>
  <si>
    <t>Tang Hpre</t>
  </si>
  <si>
    <t>MMR001001010</t>
  </si>
  <si>
    <t>MMR001002702</t>
  </si>
  <si>
    <t>No (1) Ward</t>
  </si>
  <si>
    <t>MMR001002702501</t>
  </si>
  <si>
    <t>Pan Ma Ti Ward</t>
  </si>
  <si>
    <t>MMR001001701528</t>
  </si>
  <si>
    <t>Myo Hla Ward</t>
  </si>
  <si>
    <t>MMR001008702503</t>
  </si>
  <si>
    <t>Tanai Town</t>
  </si>
  <si>
    <t>MMR001004701</t>
  </si>
  <si>
    <t>Sinbo  Town</t>
  </si>
  <si>
    <t>MMR001001702</t>
  </si>
  <si>
    <t>Inn Thar</t>
  </si>
  <si>
    <t>Yit Law Hkaung Ward</t>
  </si>
  <si>
    <t>MMR001005701501</t>
  </si>
  <si>
    <t>Sinbo Town</t>
  </si>
  <si>
    <t>22/May/2017: Camp status change to Closed. Data Source: KBC 
2/June/2017: Population updated. Data source: WASH Cluster (dated 7/April_outlook mail)
Change to Host Families.</t>
  </si>
  <si>
    <t>MMR001CMP265</t>
  </si>
  <si>
    <t>MMR001CMP266</t>
  </si>
  <si>
    <t>MMR001CMP267</t>
  </si>
  <si>
    <t>MMR001CMP268</t>
  </si>
  <si>
    <t>MMR001CMP269</t>
  </si>
  <si>
    <t>MMR001CMP270</t>
  </si>
  <si>
    <t>In Jang Yang</t>
  </si>
  <si>
    <t>Ti Yang Zup</t>
  </si>
  <si>
    <t>Ti Yang Zug</t>
  </si>
  <si>
    <t>MMR001001012</t>
  </si>
  <si>
    <t>La War</t>
  </si>
  <si>
    <t>MMR001009006</t>
  </si>
  <si>
    <t>La Wa</t>
  </si>
  <si>
    <t>Karmaing RC Church</t>
  </si>
  <si>
    <t>MMR001009702</t>
  </si>
  <si>
    <t>Kamaing Ward</t>
  </si>
  <si>
    <t>MMR001009702501</t>
  </si>
  <si>
    <t>MMR001002701501</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</si>
  <si>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</si>
  <si>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5/June/2018: Data Source Metta NSS
No update information since Jul/2016, KBC to follow up
25/Jul/2016: Added as new camp according to KBC data.</t>
  </si>
  <si>
    <t>5/June/2018: Data Updated
17-01-2017: New added camp. Missing data will be collected from partners and present in next Report.</t>
  </si>
  <si>
    <t>5/June/2018. Data Updated.
6/May/2017: New added camp. Data source: KBC. Camp was confirmed by CCCM unit. The missing informaiton will be updated as soon as possible.</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</si>
  <si>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</si>
  <si>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Metta/Cordaid/KMSS</t>
  </si>
  <si>
    <t>Emergency shelter for new displaced HHs , Completed</t>
  </si>
  <si>
    <t>Emergency Shelter for new displaced HHs, Planned</t>
  </si>
  <si>
    <t xml:space="preserve">Barracks </t>
  </si>
  <si>
    <t>KMSSB 36units completed in March18,  KBC 231 units completed</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</si>
  <si>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</si>
  <si>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KBC/ICRC</t>
  </si>
  <si>
    <t>KBC/UNHCR/ICRC</t>
  </si>
  <si>
    <t>30/June /2018: Population update. Data source: UNHCR/Cluster partners
30/May/2018: Population update. Data source: UNHCR/Cluster partners
30/May/2018: Added as new camp</t>
  </si>
  <si>
    <t>MMR001CMP271</t>
  </si>
  <si>
    <t>Pa Dauk Myaing(Pa La Na)-II</t>
  </si>
  <si>
    <t>50 units gaps in June report.</t>
  </si>
  <si>
    <t>52 units gaps in KMSS-M's June report.</t>
  </si>
  <si>
    <t>METTA</t>
  </si>
  <si>
    <t>Tanai KBC Camp</t>
  </si>
  <si>
    <t>Namti Labraw Yang KBC Camp</t>
  </si>
  <si>
    <t>Trinity Camp</t>
  </si>
  <si>
    <t>Jaw Ma Sat Camp</t>
  </si>
  <si>
    <t>KMSS-L/MHF</t>
  </si>
  <si>
    <t xml:space="preserve">DDM </t>
  </si>
  <si>
    <t>KMSS/ICRC/UNHCR</t>
  </si>
  <si>
    <t>KMSS-M/UNHCR/ICRC</t>
  </si>
  <si>
    <t>KBC/UNHCR/Metta</t>
  </si>
  <si>
    <t>Completed</t>
  </si>
  <si>
    <t>Planned coverage: Jan - Dec 2018</t>
  </si>
  <si>
    <t>Planned coverage: Jan- Dec 2018</t>
  </si>
  <si>
    <t>Relocated</t>
  </si>
  <si>
    <t xml:space="preserve">Open </t>
  </si>
  <si>
    <t>Individual House</t>
  </si>
  <si>
    <t>Maina Relocation Site</t>
  </si>
  <si>
    <t>MMR001CMP272</t>
  </si>
  <si>
    <t>09/July/2018: Added as new site. Population figure as of joint assessment report (estimated)</t>
  </si>
  <si>
    <t>Waimaw Baptist Zonal Office 2</t>
  </si>
  <si>
    <t>Sumprabum Total</t>
  </si>
  <si>
    <t>Tanai Total</t>
  </si>
  <si>
    <t>Manton Total</t>
  </si>
  <si>
    <t>Hsipaw Total</t>
  </si>
  <si>
    <t xml:space="preserve">Breakdown % of IDPs in type of accommodation (GCA)
</t>
  </si>
  <si>
    <t>% of IDP</t>
  </si>
  <si>
    <t>Breakdown % of IDPs in type of accommodation (NGCA)</t>
  </si>
  <si>
    <t xml:space="preserve">HH </t>
  </si>
  <si>
    <t># of Camp</t>
  </si>
  <si>
    <t xml:space="preserve">Kachin &amp; Northern Shan States - Relocation </t>
  </si>
  <si>
    <t>6/5/2018: Status changed into Closed. Source Metta NSS,some IDP have returned, some moved to host families in Namtu and Kha Shi village, Lashio township
Lack of access. Not updated since Mar/2014.
Change to Host Families.</t>
  </si>
  <si>
    <t>Shalom/UNHCR</t>
  </si>
  <si>
    <t>31/July/2018: Data Source (UNHCR-LSH)
6/June/2018: Data Source ( IRC, KMSS-Lsh)
11/Jul/2017: Updated from UNOCHA, visited on March 2017 
9/Nov/15. New added camp. Data source: UNHCR CCCM officer NSS mission 8-12 July 2015.</t>
  </si>
  <si>
    <t>31/July/2018: Data Source (UNHCR-LSH)
6/June/2018: Data source ( DRC- NSS)
25/Jul/2016: Added as new camp according to KBC data.</t>
  </si>
  <si>
    <t>31/July/2018: Data Source (UNHCR-LSH)
5/Jun/2018: Population update. Data source: DRC, SCI
2/Jun/2017: Population update. Data source: WASH cluster.
25/Jul/2016: Added as new camp according to KBC data. Data was given by Jade</t>
  </si>
  <si>
    <t>Manlun-Tsanlun</t>
  </si>
  <si>
    <t>Hu Hku</t>
  </si>
  <si>
    <t>KMSS-L/CordAid</t>
  </si>
  <si>
    <t>NRC/KMSS-M</t>
  </si>
  <si>
    <t>Jaw Masat Camp</t>
  </si>
  <si>
    <t>shalom/UNHCR/ICRC</t>
  </si>
  <si>
    <t>Kutkai Downtown (RC Church)</t>
  </si>
  <si>
    <t>KMSS-L/Cordaid</t>
  </si>
  <si>
    <t>KMSS-M/UNHCR/ICRC/CordAid</t>
  </si>
  <si>
    <t>KMSS-LSO/UNHCR/NRC</t>
  </si>
  <si>
    <t>Solar Lamp 119</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</si>
  <si>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</si>
  <si>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 xml:space="preserve">St. Joseph Tanai RC camp </t>
  </si>
  <si>
    <t>KMSS-B/Cordaid/MHF</t>
  </si>
  <si>
    <t>31/August/2018: Data Source (KMSSLSH)
31/July/2018: Data Source (UNHCR-LSH)
5/June/2018: Data Source: IRC
No update information since Jul/2016, KBC to follow up
25/Jul/2016: Added as new camp according to KBC data.</t>
  </si>
  <si>
    <t>Information received from UNHCR PU remote monitoring tool that all the IDPs moved to nearby location ; Yartikaun; camp like setting changed from Opened to Closed on the date of 31 Aust 2018</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</si>
  <si>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</si>
  <si>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No agency has visited since Jul/2016, KBC to follow up.
25/Jul/2016: Added as new camp according to KBC data/ all the hh stayed temporarily and returned to VoO in 2016; source of information: cluster meeting 15 Aug 2018. Lashio, by Metta, KBC, KMSS-L</t>
  </si>
  <si>
    <t xml:space="preserve">Yi Hku Man Hkan </t>
  </si>
  <si>
    <t>Village</t>
  </si>
  <si>
    <t>KMSS-M/UNHCR/MHF/Private donor</t>
  </si>
  <si>
    <t>KBC/UNHCR/MHF</t>
  </si>
  <si>
    <t>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</si>
  <si>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1/Oct/2018: Population update. Data source: WFP
24/Apr/2017: Population update. Data source: CCCM unit
19-Mar-2015 (WFP has been providing this host families since 2013.)</t>
  </si>
  <si>
    <t>1/Oct/2018: Population update. Data source: WFP
24/Apr/2017: Population update. Data source: CCCM unit
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</si>
  <si>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1/OCt /2018: Population update. Data source: KMSS_Myitkyina
30/June/2018: Population update. Data source: KMSS_Myitkyina
4/April/2018: Camp status change to Camp like setting ( No CCCM intervention from January 2018)
27/Mar/2018: Population update. Data source: KMSS_Myitkyina
12/Jan/2018: Pop update. Data source: KMSS_Myitkyina
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</si>
  <si>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PLNA/MHF</t>
  </si>
  <si>
    <t>NRC / ICRC</t>
  </si>
  <si>
    <t>KMSS-M/MHF/Private donors</t>
  </si>
  <si>
    <t>KMSS/ICRC/UNHCR/MHF</t>
  </si>
  <si>
    <t>KMSS/ICRC</t>
  </si>
  <si>
    <t xml:space="preserve"> Jaw Ma Sat KBC Church</t>
  </si>
  <si>
    <t>NRC/ICRC</t>
  </si>
  <si>
    <t>CordAid</t>
  </si>
  <si>
    <t>Shelter gap analysis October</t>
  </si>
  <si>
    <t>Shelter gap analysis October 2018</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</si>
  <si>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31/May/2018: Population update. Data source: Shalom
30/Apr/2018: Population update. Data source: Shalom
27/Mar/2018: Population update. Data source: Shalom
5/Mar/2018: Population update. Data source: Shalom
20/Dec/2017: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</si>
  <si>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</si>
  <si>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</si>
  <si>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</si>
  <si>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</si>
  <si>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</si>
  <si>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24/Apr/2017: Pop update. Data source: KMSS_Myitkyina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</si>
  <si>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</si>
  <si>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</si>
  <si>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</si>
  <si>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</si>
  <si>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</si>
  <si>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</si>
  <si>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</si>
  <si>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</si>
  <si>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</si>
  <si>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</si>
  <si>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</si>
  <si>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</si>
  <si>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</si>
  <si>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</si>
  <si>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</si>
  <si>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</si>
  <si>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</si>
  <si>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</si>
  <si>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</si>
  <si>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6/June/2017: Change the township, village tract and village.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</si>
  <si>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</si>
  <si>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 Some shifted to GCA Camps and some students went for study)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</si>
  <si>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</si>
  <si>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</si>
  <si>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</si>
  <si>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</si>
  <si>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</si>
  <si>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</si>
  <si>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</si>
  <si>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</si>
  <si>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</si>
  <si>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</si>
  <si>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</si>
  <si>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</si>
  <si>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</si>
  <si>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</si>
  <si>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</si>
  <si>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</si>
  <si>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</si>
  <si>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</si>
  <si>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</si>
  <si>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</si>
  <si>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1/Nov/2018: Population update. Data source: KMSS_Lashio
1/October/2018: Population update. Data source: KMSS_Lashio
31/August/2018: Population update. Data source: KMSS_Lashio
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</si>
  <si>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&amp; OCHA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</si>
  <si>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1/Nov/2018: Population update. Data source: KMSS_Bhamo
1/October/2018: Population update. Data source: KMSS_Bhamo
31/August/2018: Population update. Data source: KMSS_Bhamo
31/July/2018: Population update. Data source: KMSS_Bhamo
30/June/2018: Population update. Data source: KMSS_Bhamo(24 HHs with around 100 Return to VoO Ga Ra Yang  as per camp leader of the camp)
31/May/2018: Population update. Data source: KMSS_Bhamo
10/May/2018: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</si>
  <si>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</si>
  <si>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1/Nov/2018: Population update. Data source: KMSS_Bhamo
1/October/2018: Population update. Data source: KMSS_Bhamo
31/August/2018: Population update. Data source: KMSS_Bhamo
31/July/2018: Population update. Data source: KMSS_Bhamo
30/June/2018: Population update. Data source: KMSS_Bhamo (23 HHs new arrived from Aung Nan village, Mansi township due to conflict in April 2018.)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</si>
  <si>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</si>
  <si>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27/Mar/2018: Population update. Data Source: KMSS_Myitkyina
27/Mar/2018: Population update. Data Source: KMSS_Myitkyina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</si>
  <si>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r>
      <t xml:space="preserve">1/Nov/2018: Population update. Data source: KMSS_Bhamo
1/October/2018: Population update. Data source: KMSS_Bhamo
31/August/2018: Population update. Data source: KMSS_Bhamo
31/July/2018: Population update. Data source: KMSS_Bhamo
30/June/2018: Population update. Data source: KMSS_Bhamo (79 populations shifted from Pakahtawng camp to Momouk KBC camo)
31/May/2018: Population update. Data source: KMSS_Bhamo ( 20 HHs 79 PP moved to Momauk Baptist Church as per KMSS-B info)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</si>
  <si>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</si>
  <si>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</si>
  <si>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and CCCM unit  (according to PPA)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</si>
  <si>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r>
      <t xml:space="preserve">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&amp; OCHA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</si>
  <si>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1/Nov/2018: Population update. Data source: KMSS_Bhamo
1/October/2018: Population update. Data source: KMSS_Bhamo
31/August/2018: Population update. Data source: KMSS_Bhamo
31/July/2018: Population update. Data source: KMSS_Bhamo
30/June/2018: Population update. Data source: KMSS_Bhamo
31/May/2018: Population update. Data source: KMSS_Bhamo
10/May/2018: Population update. Data source: KMSS_Bhamo
30/Apr/2018: Population update. Data source: KMSS_Bhamo
27/Mar/2018: Population update. Data Source: KMSS_Bhamo
11/1/2018: Population update. Data source: KMSS_Bhamo
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</si>
  <si>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r>
      <t xml:space="preserve">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t>
    </r>
    <r>
      <rPr>
        <b/>
        <sz val="11"/>
        <rFont val="Calibri"/>
        <family val="2"/>
        <scheme val="minor"/>
      </rPr>
      <t>24/Feb/2017: Population update. Data source: KBC</t>
    </r>
    <r>
      <rPr>
        <sz val="11"/>
        <rFont val="Calibri"/>
        <family val="2"/>
        <scheme val="minor"/>
      </rPr>
      <t xml:space="preserve">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r>
  </si>
  <si>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</si>
  <si>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</si>
  <si>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</si>
  <si>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</si>
  <si>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</si>
  <si>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</si>
  <si>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 xml:space="preserve">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Three locations in Du Kahtawng merged as per 1st of July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</si>
  <si>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</si>
  <si>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</si>
  <si>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</si>
  <si>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</si>
  <si>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</si>
  <si>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</si>
  <si>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</si>
  <si>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</si>
  <si>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</si>
  <si>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1/Nov/2018: Population update. Data source: KBC
1/October/2018: Population update. Data source: KBC
31/August/2018: Population update. Data source: KBC
31/July/2018: Population update. Data source: KBC
30/June/2018: Population update. Data source: KBC and camp manager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27/Apr/2017: Population update. Data source: Camp focal point through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</si>
  <si>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</si>
  <si>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</si>
  <si>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</si>
  <si>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</si>
  <si>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</si>
  <si>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</si>
  <si>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</si>
  <si>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</si>
  <si>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</si>
  <si>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(kate maw)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</si>
  <si>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</si>
  <si>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</si>
  <si>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</si>
  <si>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</si>
  <si>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1/Nov/2018: Population update. Data source: KBC
1/October/2018: Population update. Data source: KBC
31/August/2018: Population update. Data source: KBC
31/July/2018: Population update. Data source: KBC
30/June/2018: Population update. Data source: KBC and Camp manager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</si>
  <si>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</si>
  <si>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</si>
  <si>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2/June/2017: Updated Accessibility GCA to NGCA. Data source: UNOCHA and confirmed by CCCM
3/May/2017: Population update. Data source: KBC
24/Apr/2017: Population update. Data source: KBC and CCCM unit
15/Mar/2017: Population update. Data Source: KBC
24/Feb/2017: Population and Responsible agency update. Data source: KBC.
10/2/2015. New Camp. Data source: CCCM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</si>
  <si>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2/June/2017: Updated Accessibility GCA to NGCA. Data source: UNOCHA and confirmed by CCCM
3/May/2017: Population update. Data source: KBC
24/Apr/2017: Population update. Data source: KBC and CCCM unit
24/Apr/2017: Population update. Data source: KBC and CCCM unit
15/Mar/2017: Population update. Data Source: KBC
24/Feb/2017: Population and Responsible agency update. Data source: KBC.
10/2/2015. New Camp. Data source: CCCM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</si>
  <si>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16/Sep/2016: New added camp. There no responsible organization.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</si>
  <si>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</si>
  <si>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</si>
  <si>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</si>
  <si>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</si>
  <si>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</si>
  <si>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</si>
  <si>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</si>
  <si>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</si>
  <si>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</si>
  <si>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</si>
  <si>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</si>
  <si>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</si>
  <si>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</si>
  <si>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</si>
  <si>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</si>
  <si>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</si>
  <si>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</si>
  <si>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1/Nov/2018: Population update. Data source: KBC
1/October/2018: Population update. Data source: KBC
31/August/2018: Population update. Data source: KBC
30/June/2018: Population update. Data source: KBC,
31/May/2018: Population update. Data source: KBC
30/Apr/2018: Population update. Data source: KBC
27/Mar/2018: Population update. Data source: KBC
5/Mar/2018: Population update. Data source: KBC
CCCM activities start in july 2017</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</si>
  <si>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</si>
  <si>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</si>
  <si>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</si>
  <si>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</si>
  <si>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</si>
  <si>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</si>
  <si>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</si>
  <si>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</si>
  <si>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</si>
  <si>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r>
      <t xml:space="preserve">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t>
    </r>
    <r>
      <rPr>
        <b/>
        <sz val="11"/>
        <rFont val="Calibri"/>
        <family val="2"/>
        <scheme val="minor"/>
      </rPr>
      <t xml:space="preserve">30/June /2018: Population update. Data source: UNHCR/Cluster partners
</t>
    </r>
    <r>
      <rPr>
        <sz val="11"/>
        <rFont val="Calibri"/>
        <family val="2"/>
        <scheme val="minor"/>
      </rPr>
      <t>30/May/2018: Population update. Data source: UNHCR/Cluster partners
21/May/2018: Added as new camp. Data source: MIRA (Multi Sector Assessment Team)</t>
    </r>
  </si>
  <si>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</si>
  <si>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</si>
  <si>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MMR015CMP250</t>
  </si>
  <si>
    <t>Hu Hku &amp; Ho Kho</t>
  </si>
  <si>
    <t>1/Nov/2018: Changed camp status as "reopen", Data source: NSS Cluster Partners: Reopen as per NSS Cluster Partners confirm that the IDPs are staying in the location during Cluster Meeting. 
Close: Duplicate Camp (MMR015CMP015 - Kone Khem Camp) 21-Jan-14</t>
  </si>
  <si>
    <t>20.04.2018</t>
  </si>
  <si>
    <t>Hu Hku &amp; Ho Hko</t>
  </si>
  <si>
    <t>MMR015011029</t>
  </si>
  <si>
    <t>Pang Kai Pang Lawt</t>
  </si>
  <si>
    <t>Galeng (Palaung) &amp; Kone Khem</t>
  </si>
  <si>
    <t xml:space="preserve">1/November/2018: Data Source: UNHCR-LSH and Partners
IDPs relocated from  Mai Yu Lay New (Ta'ang) ( MMR015CMP220) </t>
  </si>
  <si>
    <t>1/Nov/2018: Population update. Data source: Shalom
31/August/2018: Population update. Data source: Shalom
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20/Dec/2017: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</si>
  <si>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1/Nov/2018: Population update. Data source: Shalom
31/August/2018: Population update. Data source: Shalom
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</si>
  <si>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1/Nov/2018: Population update. Data source: Shalom
31/August/2018: Population update. Data source: Shalom
31/July/2018: Population update. Data source: Shalom
30/June/2018: Population update. Data source: Shalom
30/Apr/2018: Population update. Data source: Shalom
27/Mar/2018: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</si>
  <si>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1/Nov/2018: Population update. Data source: Shalom
31/August/2018: Population update. Data source: Shalom
31/July/2018: Population update. Data source: Shalom
30/June/2018: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</si>
  <si>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1/Nov/2018: Population update. Data source: Shalom
31/August/2018: Population update. Data source: Shalom
31/July/2018: Population update. Data source: Shalom
30/June/2018: Population update. Data source: Shalom
30/Apr/2018: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</si>
  <si>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1/Nov/2018: Population update. Data source: Shalom
31/August/2018: Population update. Data source: Shalom
31/July/2018: Population update. Data source: Shalom
30/June/2018: Population update. Data source: Shalom
30/Apr/2018: Population update. Data source: Shalom
27/Mar/2018: Population update. Data source: Shalom
27/Mar/2018: Population update. Data source: Shalom
5/Mar/2018: Population update. Data source: Shalom
From Jan 2018: Camp status change to Camp like setting as none of the Camp management Agency covered anymore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</si>
  <si>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NRC/MHF</t>
  </si>
  <si>
    <t>MHF</t>
  </si>
  <si>
    <t>DRC/Metta/UNHCR</t>
  </si>
  <si>
    <t>Metta/KBC/UNHCR</t>
  </si>
  <si>
    <t>KBC/ICRC/UNHCR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</si>
</sst>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0000"/>
    <numFmt numFmtId="172" formatCode="0.000"/>
    <numFmt numFmtId="173" formatCode="[$-409]d\-mmm\-yy;@"/>
    <numFmt numFmtId="174" formatCode="[$-409]d/mmm/yy;@"/>
  </numFmts>
  <fonts count="78"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28"/>
      <name val="Calibri"/>
      <family val="2"/>
      <scheme val="minor"/>
    </font>
    <font>
      <b/>
      <sz val="28"/>
      <name val="Calibri"/>
      <family val="2"/>
      <scheme val="minor"/>
    </font>
    <font>
      <sz val="11"/>
      <name val="Calibri"/>
      <family val="2"/>
      <scheme val="minor"/>
    </font>
    <font>
      <b/>
      <sz val="1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1"/>
      <name val="Calibri"/>
      <family val="2"/>
    </font>
    <font>
      <b/>
      <sz val="16"/>
      <color indexed="8"/>
      <name val="Calibri"/>
      <family val="2"/>
    </font>
    <font>
      <sz val="10"/>
      <name val="MS Sans Serif"/>
      <family val="2"/>
    </font>
    <font>
      <b/>
      <sz val="1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b/>
      <sz val="18"/>
      <color rgb="FF000000"/>
      <name val="Calibri"/>
      <family val="2"/>
      <scheme val="minor"/>
    </font>
    <font>
      <sz val="10"/>
      <color rgb="FFFF0000"/>
      <name val="Calibri"/>
      <family val="2"/>
      <scheme val="minor"/>
    </font>
    <font>
      <b/>
      <sz val="22"/>
      <name val="Calibri"/>
      <family val="2"/>
      <scheme val="minor"/>
    </font>
    <font>
      <sz val="22"/>
      <color theme="1"/>
      <name val="Calibri"/>
      <family val="2"/>
      <scheme val="minor"/>
    </font>
    <font>
      <sz val="22"/>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sz val="11"/>
      <color theme="0"/>
      <name val="Calibri"/>
      <family val="2"/>
      <scheme val="minor"/>
    </font>
    <font>
      <b/>
      <sz val="14"/>
      <name val="Calibri"/>
      <family val="2"/>
      <scheme val="minor"/>
    </font>
    <font>
      <b/>
      <sz val="9"/>
      <name val="Calibri"/>
      <family val="2"/>
      <scheme val="minor"/>
    </font>
    <font>
      <b/>
      <sz val="10"/>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theme="1" tint="0.499984740745262"/>
      <name val="Calibri"/>
      <family val="2"/>
      <scheme val="minor"/>
    </font>
    <font>
      <sz val="9"/>
      <name val="Calibri"/>
      <family val="2"/>
      <scheme val="minor"/>
    </font>
    <font>
      <b/>
      <sz val="9"/>
      <color theme="0"/>
      <name val="Calibri"/>
      <family val="2"/>
      <scheme val="minor"/>
    </font>
    <font>
      <sz val="8"/>
      <color theme="1"/>
      <name val="Calibri"/>
      <family val="2"/>
      <scheme val="minor"/>
    </font>
    <font>
      <sz val="14"/>
      <color theme="1"/>
      <name val="Calibri"/>
      <family val="2"/>
      <scheme val="minor"/>
    </font>
    <font>
      <b/>
      <sz val="8"/>
      <name val="Calibri"/>
      <family val="2"/>
      <scheme val="minor"/>
    </font>
    <font>
      <sz val="24"/>
      <name val="Calibri"/>
      <family val="2"/>
      <scheme val="minor"/>
    </font>
    <font>
      <b/>
      <sz val="11"/>
      <color rgb="FFFA7D00"/>
      <name val="Calibri"/>
      <family val="2"/>
      <scheme val="minor"/>
    </font>
    <font>
      <sz val="14"/>
      <name val="Calibri"/>
      <family val="2"/>
      <scheme val="minor"/>
    </font>
    <font>
      <sz val="9"/>
      <color theme="0"/>
      <name val="Calibri"/>
      <family val="2"/>
      <scheme val="minor"/>
    </font>
    <font>
      <b/>
      <sz val="10"/>
      <color theme="3" tint="0.39997558519241921"/>
      <name val="Calibri"/>
      <family val="2"/>
      <scheme val="minor"/>
    </font>
    <font>
      <sz val="11"/>
      <color theme="4"/>
      <name val="Calibri"/>
      <family val="2"/>
      <scheme val="minor"/>
    </font>
    <font>
      <sz val="20"/>
      <color theme="1"/>
      <name val="Calibri"/>
      <family val="2"/>
      <scheme val="minor"/>
    </font>
    <font>
      <b/>
      <sz val="12"/>
      <color rgb="FF000000"/>
      <name val="Calibri"/>
      <family val="2"/>
      <scheme val="minor"/>
    </font>
    <font>
      <sz val="12"/>
      <name val="Calibri"/>
      <family val="2"/>
      <scheme val="minor"/>
    </font>
    <font>
      <sz val="12"/>
      <color rgb="FFFF0000"/>
      <name val="Calibri"/>
      <family val="2"/>
      <scheme val="minor"/>
    </font>
    <font>
      <sz val="10"/>
      <color theme="1"/>
      <name val="Times New Roman"/>
      <family val="1"/>
    </font>
    <font>
      <sz val="11"/>
      <color rgb="FF000000"/>
      <name val="Calibri"/>
      <family val="2"/>
      <scheme val="minor"/>
    </font>
    <font>
      <b/>
      <sz val="9"/>
      <color indexed="81"/>
      <name val="Tahoma"/>
      <family val="2"/>
    </font>
    <font>
      <sz val="9"/>
      <color indexed="81"/>
      <name val="Tahoma"/>
      <family val="2"/>
    </font>
    <font>
      <sz val="11"/>
      <color theme="1"/>
      <name val="Times New Roman"/>
      <family val="1"/>
    </font>
    <font>
      <sz val="11"/>
      <color indexed="8"/>
      <name val="Calibri"/>
      <family val="2"/>
      <scheme val="minor"/>
    </font>
    <font>
      <sz val="11"/>
      <name val="Calibri"/>
      <family val="2"/>
      <scheme val="minor"/>
    </font>
    <font>
      <b/>
      <sz val="14"/>
      <color theme="1"/>
      <name val="Calibri"/>
      <family val="2"/>
      <scheme val="minor"/>
    </font>
    <font>
      <sz val="9"/>
      <color rgb="FFFF0000"/>
      <name val="Calibri"/>
      <family val="2"/>
      <scheme val="minor"/>
    </font>
    <font>
      <sz val="9"/>
      <color indexed="81"/>
      <name val="Calibri"/>
      <family val="2"/>
      <scheme val="minor"/>
    </font>
    <font>
      <sz val="11"/>
      <color rgb="FF9C6500"/>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C800"/>
        <bgColor indexed="64"/>
      </patternFill>
    </fill>
    <fill>
      <patternFill patternType="solid">
        <fgColor theme="1"/>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theme="5"/>
      </patternFill>
    </fill>
    <fill>
      <patternFill patternType="solid">
        <fgColor theme="4" tint="0.79998168889431442"/>
        <bgColor theme="4" tint="0.79998168889431442"/>
      </patternFill>
    </fill>
    <fill>
      <patternFill patternType="solid">
        <fgColor rgb="FFF2F2F2"/>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rgb="FFFFEB9C"/>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right/>
      <top/>
      <bottom style="thin">
        <color theme="0"/>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hair">
        <color indexed="64"/>
      </left>
      <right/>
      <top/>
      <bottom/>
      <diagonal/>
    </border>
    <border>
      <left/>
      <right style="hair">
        <color indexed="64"/>
      </right>
      <top/>
      <bottom/>
      <diagonal/>
    </border>
    <border>
      <left style="thin">
        <color theme="0"/>
      </left>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5351115451523"/>
      </top>
      <bottom style="thin">
        <color theme="3" tint="0.39988402966399123"/>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theme="0"/>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1">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6"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0" fontId="20" fillId="0" borderId="0"/>
    <xf numFmtId="0" fontId="1" fillId="0" borderId="0"/>
    <xf numFmtId="167" fontId="2"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58" fillId="23" borderId="46" applyNumberFormat="0" applyAlignment="0" applyProtection="0"/>
    <xf numFmtId="0" fontId="1" fillId="0" borderId="0"/>
    <xf numFmtId="0" fontId="77" fillId="26" borderId="0" applyNumberFormat="0" applyBorder="0" applyAlignment="0" applyProtection="0"/>
  </cellStyleXfs>
  <cellXfs count="845">
    <xf numFmtId="0" fontId="0" fillId="0" borderId="0" xfId="0"/>
    <xf numFmtId="0" fontId="0" fillId="0" borderId="0" xfId="0" applyBorder="1"/>
    <xf numFmtId="0" fontId="5" fillId="0" borderId="0" xfId="0" applyFont="1"/>
    <xf numFmtId="0" fontId="0" fillId="0" borderId="0" xfId="0" applyFill="1"/>
    <xf numFmtId="0" fontId="0" fillId="5" borderId="0" xfId="0" applyFill="1"/>
    <xf numFmtId="0" fontId="0" fillId="0" borderId="0" xfId="0" applyFill="1" applyBorder="1"/>
    <xf numFmtId="0" fontId="0" fillId="0" borderId="0" xfId="0" applyAlignment="1">
      <alignment horizontal="left"/>
    </xf>
    <xf numFmtId="0" fontId="0" fillId="0" borderId="1" xfId="0" applyBorder="1"/>
    <xf numFmtId="0" fontId="0" fillId="0" borderId="0" xfId="0"/>
    <xf numFmtId="0" fontId="0" fillId="8" borderId="0" xfId="0" applyFill="1"/>
    <xf numFmtId="0" fontId="0" fillId="5" borderId="0" xfId="0" applyFill="1" applyBorder="1"/>
    <xf numFmtId="0" fontId="0" fillId="0" borderId="0" xfId="0"/>
    <xf numFmtId="0" fontId="0" fillId="0" borderId="0" xfId="0" applyNumberFormat="1" applyBorder="1"/>
    <xf numFmtId="0" fontId="9" fillId="0" borderId="0" xfId="0" applyFont="1"/>
    <xf numFmtId="0" fontId="0" fillId="0" borderId="13" xfId="0" applyBorder="1"/>
    <xf numFmtId="0" fontId="5" fillId="0" borderId="0" xfId="0" applyFont="1" applyBorder="1"/>
    <xf numFmtId="0" fontId="5" fillId="0" borderId="0" xfId="0" applyFont="1" applyFill="1" applyBorder="1"/>
    <xf numFmtId="17" fontId="0" fillId="5" borderId="0" xfId="0" applyNumberFormat="1" applyFill="1"/>
    <xf numFmtId="9" fontId="0" fillId="0" borderId="0" xfId="0" applyNumberFormat="1" applyFill="1" applyBorder="1"/>
    <xf numFmtId="9" fontId="0" fillId="0" borderId="0" xfId="8" applyFont="1" applyFill="1" applyBorder="1"/>
    <xf numFmtId="0" fontId="0" fillId="0" borderId="0" xfId="0" applyFont="1" applyFill="1" applyBorder="1"/>
    <xf numFmtId="9" fontId="1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9" fontId="28" fillId="11" borderId="1" xfId="8" applyFont="1" applyFill="1" applyBorder="1"/>
    <xf numFmtId="165" fontId="28" fillId="0" borderId="1" xfId="9" applyNumberFormat="1" applyFont="1" applyBorder="1"/>
    <xf numFmtId="165" fontId="28" fillId="0" borderId="1" xfId="0" applyNumberFormat="1" applyFont="1" applyBorder="1"/>
    <xf numFmtId="9" fontId="28" fillId="10" borderId="1" xfId="8" applyFont="1" applyFill="1" applyBorder="1"/>
    <xf numFmtId="0" fontId="0" fillId="0" borderId="0" xfId="0" applyFill="1" applyBorder="1" applyAlignment="1">
      <alignment horizontal="left" vertical="center"/>
    </xf>
    <xf numFmtId="9" fontId="0" fillId="0" borderId="0" xfId="0" applyNumberFormat="1"/>
    <xf numFmtId="0" fontId="0" fillId="0" borderId="0" xfId="0"/>
    <xf numFmtId="0" fontId="0" fillId="0" borderId="0" xfId="0"/>
    <xf numFmtId="0" fontId="0" fillId="0" borderId="0" xfId="0" applyFill="1" applyBorder="1" applyAlignment="1">
      <alignment vertical="center"/>
    </xf>
    <xf numFmtId="0" fontId="0" fillId="0" borderId="0" xfId="0" applyAlignment="1">
      <alignment wrapText="1"/>
    </xf>
    <xf numFmtId="0" fontId="31" fillId="0" borderId="0" xfId="6" applyFont="1" applyFill="1" applyBorder="1" applyAlignment="1">
      <alignment vertical="center"/>
    </xf>
    <xf numFmtId="0" fontId="33" fillId="0" borderId="0" xfId="6" applyFont="1" applyFill="1" applyBorder="1" applyAlignment="1">
      <alignment horizontal="center" vertical="center"/>
    </xf>
    <xf numFmtId="9" fontId="28" fillId="11" borderId="1" xfId="8" applyFont="1" applyFill="1" applyBorder="1" applyAlignment="1">
      <alignment horizontal="center" vertical="top"/>
    </xf>
    <xf numFmtId="0" fontId="27" fillId="10" borderId="1" xfId="0" applyFont="1" applyFill="1" applyBorder="1" applyAlignment="1">
      <alignment horizontal="center" vertical="top" wrapText="1"/>
    </xf>
    <xf numFmtId="0" fontId="0" fillId="0" borderId="0" xfId="0" applyAlignment="1">
      <alignment horizontal="center" vertical="center"/>
    </xf>
    <xf numFmtId="0" fontId="34" fillId="15" borderId="26" xfId="0" applyFont="1" applyFill="1" applyBorder="1"/>
    <xf numFmtId="0" fontId="35" fillId="15" borderId="27" xfId="0" applyFont="1" applyFill="1" applyBorder="1"/>
    <xf numFmtId="0" fontId="34" fillId="15" borderId="24" xfId="0" applyFont="1" applyFill="1" applyBorder="1"/>
    <xf numFmtId="0" fontId="35" fillId="15" borderId="28" xfId="0" applyFont="1" applyFill="1" applyBorder="1"/>
    <xf numFmtId="0" fontId="35" fillId="0" borderId="0" xfId="0" applyFont="1" applyFill="1"/>
    <xf numFmtId="0" fontId="34" fillId="0" borderId="34" xfId="0" applyFont="1" applyFill="1" applyBorder="1"/>
    <xf numFmtId="0" fontId="34" fillId="0" borderId="9" xfId="0" applyFont="1" applyFill="1" applyBorder="1"/>
    <xf numFmtId="0" fontId="34" fillId="0" borderId="35" xfId="0" applyFont="1" applyFill="1" applyBorder="1"/>
    <xf numFmtId="0" fontId="34" fillId="0" borderId="4" xfId="0" applyFont="1" applyFill="1" applyBorder="1"/>
    <xf numFmtId="0" fontId="34" fillId="0" borderId="30" xfId="0" applyFont="1" applyFill="1" applyBorder="1"/>
    <xf numFmtId="0" fontId="34" fillId="0" borderId="36" xfId="0" applyFont="1" applyFill="1" applyBorder="1"/>
    <xf numFmtId="0" fontId="34" fillId="0" borderId="21" xfId="0" applyFont="1" applyFill="1" applyBorder="1"/>
    <xf numFmtId="0" fontId="34" fillId="0" borderId="20" xfId="0" applyFont="1" applyFill="1" applyBorder="1"/>
    <xf numFmtId="0" fontId="34" fillId="0" borderId="23" xfId="0" applyFont="1" applyFill="1" applyBorder="1"/>
    <xf numFmtId="0" fontId="35" fillId="13" borderId="0" xfId="0" applyFont="1" applyFill="1" applyBorder="1"/>
    <xf numFmtId="0" fontId="35" fillId="0" borderId="0" xfId="0" applyFont="1" applyFill="1" applyBorder="1"/>
    <xf numFmtId="0" fontId="35" fillId="0" borderId="0" xfId="0" applyNumberFormat="1" applyFont="1" applyFill="1" applyBorder="1"/>
    <xf numFmtId="9" fontId="35" fillId="0" borderId="0" xfId="8" applyFont="1" applyFill="1" applyBorder="1"/>
    <xf numFmtId="0" fontId="34" fillId="0" borderId="3" xfId="0" applyNumberFormat="1" applyFont="1" applyFill="1" applyBorder="1"/>
    <xf numFmtId="1" fontId="34" fillId="0" borderId="2" xfId="0" applyNumberFormat="1" applyFont="1" applyFill="1" applyBorder="1"/>
    <xf numFmtId="165" fontId="36" fillId="0" borderId="0" xfId="7" applyNumberFormat="1" applyFont="1" applyFill="1" applyBorder="1"/>
    <xf numFmtId="0" fontId="35" fillId="14" borderId="0" xfId="0" applyFont="1" applyFill="1" applyBorder="1"/>
    <xf numFmtId="2" fontId="35" fillId="14" borderId="0" xfId="0" applyNumberFormat="1" applyFont="1" applyFill="1" applyBorder="1"/>
    <xf numFmtId="2" fontId="35" fillId="0" borderId="0" xfId="0" applyNumberFormat="1" applyFont="1" applyFill="1" applyBorder="1"/>
    <xf numFmtId="0" fontId="0" fillId="0" borderId="0" xfId="0" applyFill="1" applyAlignment="1">
      <alignment horizontal="left" vertical="center"/>
    </xf>
    <xf numFmtId="0" fontId="0" fillId="2" borderId="0" xfId="0" applyFill="1" applyBorder="1" applyAlignment="1">
      <alignment vertical="center"/>
    </xf>
    <xf numFmtId="165" fontId="21" fillId="8" borderId="0" xfId="7" applyNumberFormat="1" applyFont="1" applyFill="1"/>
    <xf numFmtId="14" fontId="0" fillId="0" borderId="0" xfId="0" applyNumberFormat="1"/>
    <xf numFmtId="170"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0" fontId="0" fillId="0" borderId="0" xfId="0" applyNumberFormat="1"/>
    <xf numFmtId="0" fontId="15" fillId="19" borderId="7" xfId="5" applyFont="1" applyFill="1" applyBorder="1" applyAlignment="1">
      <alignment horizontal="left" vertical="top"/>
    </xf>
    <xf numFmtId="0" fontId="9" fillId="19" borderId="0" xfId="0" applyFont="1" applyFill="1" applyAlignment="1">
      <alignment horizontal="left" vertical="top"/>
    </xf>
    <xf numFmtId="0" fontId="15" fillId="19" borderId="9" xfId="5" applyFont="1" applyFill="1" applyBorder="1" applyAlignment="1">
      <alignment horizontal="left" vertical="top"/>
    </xf>
    <xf numFmtId="170" fontId="15" fillId="19" borderId="9" xfId="5" applyNumberFormat="1" applyFont="1" applyFill="1" applyBorder="1" applyAlignment="1">
      <alignment horizontal="left" vertical="top"/>
    </xf>
    <xf numFmtId="17" fontId="3" fillId="5" borderId="0" xfId="0" applyNumberFormat="1" applyFont="1" applyFill="1" applyAlignment="1">
      <alignment horizontal="left"/>
    </xf>
    <xf numFmtId="0" fontId="7" fillId="5" borderId="0" xfId="6" applyFont="1" applyFill="1" applyBorder="1" applyAlignment="1">
      <alignment horizontal="center" vertical="center"/>
    </xf>
    <xf numFmtId="0" fontId="29" fillId="5" borderId="0" xfId="0" applyFont="1" applyFill="1" applyAlignment="1">
      <alignment vertical="center" readingOrder="1"/>
    </xf>
    <xf numFmtId="0" fontId="24" fillId="18" borderId="0" xfId="6" applyFont="1" applyFill="1" applyBorder="1" applyAlignment="1">
      <alignment vertical="center"/>
    </xf>
    <xf numFmtId="0" fontId="0" fillId="18" borderId="10" xfId="0" applyFill="1" applyBorder="1"/>
    <xf numFmtId="0" fontId="0" fillId="18" borderId="12" xfId="0" applyFill="1" applyBorder="1"/>
    <xf numFmtId="0" fontId="0" fillId="18" borderId="13" xfId="0" applyFill="1" applyBorder="1"/>
    <xf numFmtId="0" fontId="0" fillId="18" borderId="14" xfId="0" applyFill="1" applyBorder="1"/>
    <xf numFmtId="0" fontId="0" fillId="0" borderId="39" xfId="0" applyBorder="1"/>
    <xf numFmtId="0" fontId="0" fillId="0" borderId="40" xfId="0" applyBorder="1"/>
    <xf numFmtId="0" fontId="0" fillId="5" borderId="40" xfId="0" applyFill="1" applyBorder="1"/>
    <xf numFmtId="0" fontId="0" fillId="5" borderId="14" xfId="0" applyFill="1" applyBorder="1"/>
    <xf numFmtId="0" fontId="0" fillId="5" borderId="41" xfId="0" applyFill="1" applyBorder="1"/>
    <xf numFmtId="0" fontId="0" fillId="5" borderId="13" xfId="0" applyFill="1" applyBorder="1"/>
    <xf numFmtId="0" fontId="0" fillId="5" borderId="39" xfId="0" applyFill="1" applyBorder="1"/>
    <xf numFmtId="166" fontId="26" fillId="18" borderId="0" xfId="6" applyNumberFormat="1" applyFont="1" applyFill="1" applyBorder="1" applyAlignment="1">
      <alignment vertical="center"/>
    </xf>
    <xf numFmtId="0" fontId="8" fillId="6" borderId="16" xfId="6" applyFont="1" applyFill="1" applyBorder="1" applyAlignment="1">
      <alignment vertical="center"/>
    </xf>
    <xf numFmtId="0" fontId="8" fillId="6" borderId="37" xfId="6" applyFont="1" applyFill="1" applyBorder="1" applyAlignment="1">
      <alignment vertical="center"/>
    </xf>
    <xf numFmtId="166" fontId="26" fillId="6" borderId="38" xfId="6" applyNumberFormat="1" applyFont="1" applyFill="1" applyBorder="1" applyAlignment="1">
      <alignment vertical="center"/>
    </xf>
    <xf numFmtId="0" fontId="0" fillId="0" borderId="22" xfId="0" applyBorder="1"/>
    <xf numFmtId="0" fontId="0" fillId="0" borderId="3" xfId="0" applyBorder="1"/>
    <xf numFmtId="0" fontId="7" fillId="20" borderId="0" xfId="6" applyFont="1" applyFill="1" applyBorder="1" applyAlignment="1">
      <alignment horizontal="center" vertical="center"/>
    </xf>
    <xf numFmtId="0" fontId="0" fillId="0" borderId="1" xfId="0" applyBorder="1" applyAlignment="1">
      <alignment horizontal="left"/>
    </xf>
    <xf numFmtId="0" fontId="0" fillId="0" borderId="1" xfId="0" pivotButton="1" applyBorder="1"/>
    <xf numFmtId="0" fontId="0" fillId="0" borderId="1" xfId="0" applyNumberFormat="1" applyBorder="1"/>
    <xf numFmtId="0" fontId="7" fillId="18" borderId="38" xfId="6" applyFont="1" applyFill="1" applyBorder="1" applyAlignment="1">
      <alignment horizontal="center" vertical="center"/>
    </xf>
    <xf numFmtId="0" fontId="0" fillId="0" borderId="5" xfId="0" applyBorder="1"/>
    <xf numFmtId="0" fontId="0" fillId="0" borderId="9" xfId="0" applyBorder="1"/>
    <xf numFmtId="0" fontId="0" fillId="0" borderId="7" xfId="0" applyBorder="1"/>
    <xf numFmtId="9" fontId="0" fillId="0" borderId="22" xfId="0" applyNumberFormat="1" applyBorder="1"/>
    <xf numFmtId="9" fontId="0" fillId="0" borderId="34" xfId="0" applyNumberFormat="1" applyBorder="1"/>
    <xf numFmtId="0" fontId="0" fillId="0" borderId="5" xfId="0" pivotButton="1" applyBorder="1"/>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6" xfId="0" applyNumberFormat="1" applyBorder="1"/>
    <xf numFmtId="0" fontId="0" fillId="0" borderId="15" xfId="0" applyBorder="1" applyAlignment="1">
      <alignment wrapText="1"/>
    </xf>
    <xf numFmtId="0" fontId="0" fillId="0" borderId="7" xfId="0" applyBorder="1" applyAlignment="1">
      <alignment wrapText="1"/>
    </xf>
    <xf numFmtId="0" fontId="0" fillId="0" borderId="7" xfId="0" applyBorder="1" applyAlignment="1">
      <alignment horizontal="center" vertical="center" wrapText="1"/>
    </xf>
    <xf numFmtId="0" fontId="0" fillId="0" borderId="20" xfId="0" applyBorder="1" applyAlignment="1">
      <alignment wrapText="1"/>
    </xf>
    <xf numFmtId="0" fontId="9" fillId="5" borderId="13" xfId="0" applyFont="1" applyFill="1" applyBorder="1"/>
    <xf numFmtId="0" fontId="8" fillId="5" borderId="0" xfId="0" applyFont="1" applyFill="1" applyBorder="1"/>
    <xf numFmtId="0" fontId="9" fillId="5" borderId="0" xfId="0" applyFont="1" applyFill="1" applyBorder="1"/>
    <xf numFmtId="0" fontId="37" fillId="5" borderId="0" xfId="0" applyFont="1" applyFill="1" applyBorder="1" applyAlignment="1"/>
    <xf numFmtId="0" fontId="9" fillId="5" borderId="14" xfId="0" applyFont="1" applyFill="1" applyBorder="1"/>
    <xf numFmtId="0" fontId="16" fillId="5" borderId="0" xfId="0" applyFont="1" applyFill="1" applyBorder="1" applyAlignment="1"/>
    <xf numFmtId="0" fontId="27" fillId="9" borderId="1" xfId="0" applyFont="1" applyFill="1" applyBorder="1" applyAlignment="1">
      <alignment horizontal="center" vertical="top" wrapText="1"/>
    </xf>
    <xf numFmtId="9" fontId="27" fillId="9" borderId="1" xfId="8" applyFont="1" applyFill="1" applyBorder="1" applyAlignment="1">
      <alignment horizontal="right" vertical="center" wrapText="1"/>
    </xf>
    <xf numFmtId="0" fontId="0" fillId="0" borderId="0" xfId="0"/>
    <xf numFmtId="0" fontId="0" fillId="0" borderId="0" xfId="0" applyBorder="1"/>
    <xf numFmtId="0" fontId="0" fillId="0" borderId="0" xfId="0" applyNumberFormat="1"/>
    <xf numFmtId="0" fontId="0" fillId="5" borderId="0" xfId="0" applyFill="1"/>
    <xf numFmtId="0" fontId="0" fillId="5" borderId="0" xfId="0" applyFill="1" applyAlignment="1">
      <alignment horizontal="left"/>
    </xf>
    <xf numFmtId="0" fontId="0" fillId="5" borderId="0" xfId="0" applyNumberFormat="1" applyFill="1"/>
    <xf numFmtId="0" fontId="0" fillId="6" borderId="0" xfId="0" applyFill="1"/>
    <xf numFmtId="0" fontId="0" fillId="0" borderId="0" xfId="0" applyFill="1" applyBorder="1"/>
    <xf numFmtId="0" fontId="0" fillId="0" borderId="0" xfId="0" pivotButton="1"/>
    <xf numFmtId="0" fontId="0" fillId="18" borderId="0" xfId="0" applyFill="1" applyBorder="1"/>
    <xf numFmtId="0" fontId="0" fillId="18" borderId="37" xfId="0" applyFill="1" applyBorder="1"/>
    <xf numFmtId="0" fontId="0" fillId="18" borderId="22" xfId="0" applyFill="1" applyBorder="1"/>
    <xf numFmtId="0" fontId="0" fillId="18" borderId="34" xfId="0" applyFill="1" applyBorder="1"/>
    <xf numFmtId="0" fontId="0" fillId="0" borderId="34" xfId="0" applyBorder="1"/>
    <xf numFmtId="0" fontId="0" fillId="0" borderId="37" xfId="0" applyBorder="1"/>
    <xf numFmtId="0" fontId="0" fillId="0" borderId="22" xfId="0" applyBorder="1"/>
    <xf numFmtId="0" fontId="0" fillId="0" borderId="2" xfId="0" pivotButton="1" applyBorder="1"/>
    <xf numFmtId="0" fontId="0" fillId="0" borderId="3" xfId="0" applyBorder="1"/>
    <xf numFmtId="0" fontId="0" fillId="18" borderId="16" xfId="0" applyFill="1" applyBorder="1"/>
    <xf numFmtId="0" fontId="0" fillId="18" borderId="4" xfId="0" applyFill="1" applyBorder="1"/>
    <xf numFmtId="0" fontId="0" fillId="18" borderId="4" xfId="0" applyFill="1" applyBorder="1" applyAlignment="1">
      <alignment horizontal="left"/>
    </xf>
    <xf numFmtId="3" fontId="0" fillId="18" borderId="38" xfId="0" applyNumberFormat="1" applyFill="1" applyBorder="1"/>
    <xf numFmtId="3" fontId="0" fillId="18" borderId="15" xfId="0" applyNumberFormat="1" applyFill="1" applyBorder="1"/>
    <xf numFmtId="0" fontId="0" fillId="18" borderId="3" xfId="0" applyFill="1" applyBorder="1"/>
    <xf numFmtId="165" fontId="0" fillId="20" borderId="0" xfId="0" applyNumberFormat="1" applyFill="1" applyBorder="1"/>
    <xf numFmtId="0" fontId="0" fillId="18" borderId="2" xfId="0" applyFill="1" applyBorder="1"/>
    <xf numFmtId="0" fontId="0" fillId="0" borderId="16" xfId="0" pivotButton="1" applyBorder="1"/>
    <xf numFmtId="0" fontId="0" fillId="0" borderId="37" xfId="0" pivotButton="1" applyBorder="1"/>
    <xf numFmtId="0" fontId="0" fillId="0" borderId="4" xfId="0" applyBorder="1" applyAlignment="1">
      <alignment horizontal="left"/>
    </xf>
    <xf numFmtId="165" fontId="0" fillId="0" borderId="38" xfId="0" applyNumberFormat="1" applyBorder="1"/>
    <xf numFmtId="165" fontId="0" fillId="0" borderId="15" xfId="0" applyNumberFormat="1" applyBorder="1"/>
    <xf numFmtId="165" fontId="0" fillId="0" borderId="1" xfId="0" applyNumberFormat="1" applyBorder="1"/>
    <xf numFmtId="0" fontId="0" fillId="0" borderId="5" xfId="0" applyBorder="1"/>
    <xf numFmtId="0" fontId="0" fillId="18" borderId="1" xfId="0" applyFill="1" applyBorder="1"/>
    <xf numFmtId="9" fontId="0" fillId="0" borderId="5" xfId="0" applyNumberFormat="1" applyBorder="1"/>
    <xf numFmtId="9" fontId="0" fillId="0" borderId="9" xfId="0" applyNumberFormat="1" applyBorder="1"/>
    <xf numFmtId="9" fontId="0" fillId="0" borderId="7" xfId="0" applyNumberFormat="1" applyBorder="1"/>
    <xf numFmtId="0" fontId="0" fillId="6" borderId="0" xfId="0" applyNumberFormat="1" applyFill="1"/>
    <xf numFmtId="0" fontId="0" fillId="6" borderId="0" xfId="0" applyFill="1" applyAlignment="1">
      <alignment horizontal="left"/>
    </xf>
    <xf numFmtId="165" fontId="0" fillId="18" borderId="15" xfId="0" applyNumberFormat="1" applyFill="1" applyBorder="1"/>
    <xf numFmtId="165" fontId="0" fillId="18" borderId="20" xfId="0" applyNumberFormat="1" applyFill="1" applyBorder="1" applyAlignment="1">
      <alignment horizontal="left"/>
    </xf>
    <xf numFmtId="0" fontId="9" fillId="0" borderId="0" xfId="0" applyFont="1" applyBorder="1"/>
    <xf numFmtId="0" fontId="9" fillId="0" borderId="0" xfId="0" applyFont="1" applyFill="1" applyBorder="1"/>
    <xf numFmtId="0" fontId="9" fillId="0" borderId="0" xfId="0" applyFont="1" applyFill="1"/>
    <xf numFmtId="0" fontId="0" fillId="18" borderId="37" xfId="0" applyFill="1" applyBorder="1" applyAlignment="1">
      <alignment vertical="center"/>
    </xf>
    <xf numFmtId="0" fontId="0" fillId="18" borderId="22" xfId="0" applyFill="1" applyBorder="1" applyAlignment="1">
      <alignment vertical="center"/>
    </xf>
    <xf numFmtId="0" fontId="0" fillId="0" borderId="0" xfId="0" applyBorder="1" applyAlignment="1">
      <alignment vertical="center"/>
    </xf>
    <xf numFmtId="0" fontId="0" fillId="18" borderId="15" xfId="0" applyFill="1" applyBorder="1" applyAlignment="1">
      <alignment vertical="center"/>
    </xf>
    <xf numFmtId="0" fontId="5"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0" fillId="0" borderId="2" xfId="0" applyFill="1" applyBorder="1"/>
    <xf numFmtId="0" fontId="9" fillId="0" borderId="0" xfId="0" applyFont="1" applyFill="1" applyAlignment="1"/>
    <xf numFmtId="0" fontId="0" fillId="0" borderId="3" xfId="0" applyFill="1" applyBorder="1"/>
    <xf numFmtId="0" fontId="0" fillId="0" borderId="20" xfId="0" applyFill="1" applyBorder="1" applyAlignment="1">
      <alignment horizontal="left"/>
    </xf>
    <xf numFmtId="9" fontId="35" fillId="4" borderId="0" xfId="8" applyFont="1" applyFill="1" applyBorder="1"/>
    <xf numFmtId="0" fontId="44" fillId="0" borderId="0" xfId="5" applyFont="1" applyFill="1" applyBorder="1" applyAlignment="1">
      <alignment horizontal="center" vertical="center"/>
    </xf>
    <xf numFmtId="0" fontId="0" fillId="5" borderId="0" xfId="0" applyFill="1" applyBorder="1" applyAlignment="1">
      <alignment vertical="center"/>
    </xf>
    <xf numFmtId="49" fontId="9" fillId="22"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0" fontId="9" fillId="22" borderId="1" xfId="0" applyFont="1" applyFill="1" applyBorder="1" applyAlignment="1">
      <alignment horizontal="left" vertical="center"/>
    </xf>
    <xf numFmtId="0" fontId="9" fillId="0" borderId="1" xfId="0" applyFont="1" applyBorder="1" applyAlignment="1">
      <alignment horizontal="left" vertical="center"/>
    </xf>
    <xf numFmtId="1" fontId="44" fillId="0" borderId="0" xfId="5" applyNumberFormat="1" applyFont="1" applyFill="1" applyBorder="1" applyAlignment="1">
      <alignment horizontal="center" vertical="center"/>
    </xf>
    <xf numFmtId="170" fontId="0" fillId="0" borderId="0" xfId="0" applyNumberForma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vertical="center"/>
    </xf>
    <xf numFmtId="2" fontId="44" fillId="0" borderId="0" xfId="5" applyNumberFormat="1" applyFont="1" applyFill="1" applyBorder="1" applyAlignment="1">
      <alignment horizontal="center" vertical="center"/>
    </xf>
    <xf numFmtId="15" fontId="44" fillId="0" borderId="0" xfId="5" applyNumberFormat="1" applyFont="1" applyFill="1" applyBorder="1" applyAlignment="1">
      <alignment horizontal="center" vertical="center"/>
    </xf>
    <xf numFmtId="0" fontId="44" fillId="0" borderId="0" xfId="5" applyFont="1" applyFill="1" applyBorder="1" applyAlignment="1">
      <alignment horizontal="center" vertical="center" wrapText="1"/>
    </xf>
    <xf numFmtId="49" fontId="9" fillId="0" borderId="0" xfId="11" applyNumberFormat="1" applyFont="1" applyFill="1" applyBorder="1" applyAlignment="1">
      <alignment horizontal="left" vertical="center" wrapText="1"/>
    </xf>
    <xf numFmtId="0" fontId="9" fillId="0" borderId="0" xfId="13"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2" fontId="9" fillId="0" borderId="0" xfId="0" applyNumberFormat="1" applyFont="1" applyFill="1" applyBorder="1" applyAlignment="1">
      <alignment horizontal="right" vertical="center"/>
    </xf>
    <xf numFmtId="14" fontId="9" fillId="0" borderId="0" xfId="0" applyNumberFormat="1" applyFont="1" applyFill="1" applyBorder="1" applyAlignment="1" applyProtection="1">
      <alignment horizontal="right" vertical="center"/>
    </xf>
    <xf numFmtId="49" fontId="9" fillId="0" borderId="0" xfId="0" applyNumberFormat="1" applyFont="1" applyFill="1" applyBorder="1" applyAlignment="1">
      <alignment horizontal="right" vertical="center"/>
    </xf>
    <xf numFmtId="15"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left" vertical="center" wrapText="1"/>
    </xf>
    <xf numFmtId="165" fontId="9" fillId="0" borderId="0" xfId="7" applyNumberFormat="1" applyFont="1" applyFill="1" applyBorder="1" applyAlignment="1">
      <alignment vertical="center"/>
    </xf>
    <xf numFmtId="49" fontId="9" fillId="0" borderId="0" xfId="0" applyNumberFormat="1" applyFont="1" applyFill="1" applyBorder="1" applyAlignment="1">
      <alignment horizontal="right"/>
    </xf>
    <xf numFmtId="0" fontId="9" fillId="0" borderId="0" xfId="13" applyFont="1" applyFill="1" applyBorder="1" applyAlignment="1">
      <alignment horizontal="left" vertical="center"/>
    </xf>
    <xf numFmtId="49" fontId="9"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lignment horizontal="left" vertical="center"/>
    </xf>
    <xf numFmtId="1" fontId="9" fillId="0" borderId="0" xfId="0" applyNumberFormat="1" applyFont="1" applyFill="1" applyBorder="1" applyAlignment="1">
      <alignment horizontal="right" vertical="center"/>
    </xf>
    <xf numFmtId="14" fontId="9" fillId="0" borderId="0"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right"/>
    </xf>
    <xf numFmtId="0" fontId="9" fillId="0" borderId="0" xfId="0" applyNumberFormat="1" applyFont="1" applyFill="1" applyBorder="1" applyAlignment="1">
      <alignment horizontal="left" vertical="center" wrapText="1"/>
    </xf>
    <xf numFmtId="49" fontId="9" fillId="0" borderId="0" xfId="11" applyNumberFormat="1" applyFont="1" applyFill="1" applyBorder="1" applyAlignment="1">
      <alignment horizontal="left" vertical="center"/>
    </xf>
    <xf numFmtId="49" fontId="9" fillId="0" borderId="0" xfId="0" applyNumberFormat="1" applyFont="1" applyFill="1" applyBorder="1" applyAlignment="1" applyProtection="1">
      <alignment horizontal="left" vertical="center" wrapText="1"/>
      <protection locked="0"/>
    </xf>
    <xf numFmtId="1" fontId="9" fillId="0" borderId="0" xfId="0" applyNumberFormat="1" applyFont="1" applyFill="1" applyBorder="1" applyAlignment="1">
      <alignment vertical="center"/>
    </xf>
    <xf numFmtId="22" fontId="9" fillId="0" borderId="0" xfId="0" applyNumberFormat="1" applyFont="1" applyFill="1" applyBorder="1" applyAlignment="1">
      <alignment horizontal="right" vertical="center"/>
    </xf>
    <xf numFmtId="49" fontId="9" fillId="0" borderId="0" xfId="11" applyNumberFormat="1" applyFont="1" applyFill="1" applyBorder="1" applyAlignment="1">
      <alignment vertical="center" wrapText="1"/>
    </xf>
    <xf numFmtId="0" fontId="9" fillId="0" borderId="0" xfId="17" applyFont="1" applyFill="1" applyBorder="1" applyAlignment="1">
      <alignment horizontal="left"/>
    </xf>
    <xf numFmtId="49" fontId="9" fillId="0" borderId="0" xfId="11" applyNumberFormat="1" applyFont="1" applyFill="1" applyBorder="1" applyAlignment="1">
      <alignment vertical="center"/>
    </xf>
    <xf numFmtId="15" fontId="9" fillId="0" borderId="0" xfId="11" applyNumberFormat="1" applyFont="1" applyFill="1" applyBorder="1" applyAlignment="1">
      <alignment horizontal="right" vertical="center" wrapText="1"/>
    </xf>
    <xf numFmtId="0" fontId="9" fillId="0" borderId="0" xfId="4" applyFont="1" applyFill="1" applyBorder="1" applyAlignment="1">
      <alignment horizontal="right" vertical="center"/>
    </xf>
    <xf numFmtId="0" fontId="9" fillId="0" borderId="0" xfId="13" applyNumberFormat="1" applyFont="1" applyFill="1" applyBorder="1" applyAlignment="1">
      <alignment horizontal="right" vertical="center"/>
    </xf>
    <xf numFmtId="17" fontId="9" fillId="0" borderId="0" xfId="0" applyNumberFormat="1" applyFont="1" applyFill="1" applyBorder="1" applyAlignment="1">
      <alignment horizontal="right" vertical="center"/>
    </xf>
    <xf numFmtId="0" fontId="9" fillId="0" borderId="0" xfId="0" applyFont="1" applyFill="1" applyBorder="1" applyAlignment="1">
      <alignment horizontal="right"/>
    </xf>
    <xf numFmtId="15" fontId="9" fillId="0" borderId="0" xfId="0"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protection locked="0"/>
    </xf>
    <xf numFmtId="49" fontId="9" fillId="0" borderId="0" xfId="16" applyNumberFormat="1" applyFont="1" applyFill="1" applyBorder="1" applyAlignment="1">
      <alignment horizontal="left"/>
    </xf>
    <xf numFmtId="0" fontId="9"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left"/>
    </xf>
    <xf numFmtId="171" fontId="9" fillId="0" borderId="0" xfId="0" applyNumberFormat="1" applyFont="1" applyFill="1" applyBorder="1" applyAlignment="1">
      <alignment horizontal="right"/>
    </xf>
    <xf numFmtId="172" fontId="9" fillId="0" borderId="0" xfId="13" applyNumberFormat="1" applyFont="1" applyFill="1" applyBorder="1" applyAlignment="1">
      <alignment horizontal="right" vertical="center"/>
    </xf>
    <xf numFmtId="0" fontId="0" fillId="18" borderId="16" xfId="0" applyFill="1" applyBorder="1" applyAlignment="1">
      <alignment vertical="center"/>
    </xf>
    <xf numFmtId="0" fontId="32" fillId="18" borderId="4" xfId="0" applyFont="1" applyFill="1" applyBorder="1" applyAlignment="1">
      <alignment vertical="center"/>
    </xf>
    <xf numFmtId="0" fontId="32" fillId="18" borderId="0" xfId="0" applyFont="1" applyFill="1" applyBorder="1" applyAlignment="1">
      <alignment vertical="center"/>
    </xf>
    <xf numFmtId="0" fontId="32" fillId="18" borderId="34" xfId="0" applyFont="1" applyFill="1" applyBorder="1" applyAlignment="1">
      <alignment vertical="center"/>
    </xf>
    <xf numFmtId="0" fontId="32" fillId="0" borderId="0" xfId="0" applyFont="1" applyFill="1" applyBorder="1" applyAlignment="1">
      <alignment vertical="center"/>
    </xf>
    <xf numFmtId="0" fontId="32" fillId="18" borderId="38" xfId="0" applyFont="1" applyFill="1" applyBorder="1" applyAlignment="1">
      <alignment vertical="center"/>
    </xf>
    <xf numFmtId="0" fontId="32" fillId="18" borderId="15" xfId="0" applyFont="1" applyFill="1" applyBorder="1" applyAlignment="1">
      <alignment vertical="center"/>
    </xf>
    <xf numFmtId="0" fontId="0" fillId="0" borderId="2" xfId="0" pivotButton="1" applyBorder="1" applyAlignment="1">
      <alignment vertical="center"/>
    </xf>
    <xf numFmtId="0" fontId="0" fillId="0" borderId="3" xfId="0" applyBorder="1" applyAlignment="1">
      <alignment vertical="center"/>
    </xf>
    <xf numFmtId="165" fontId="0" fillId="0" borderId="0" xfId="7" applyNumberFormat="1" applyFont="1" applyAlignment="1">
      <alignment vertical="center"/>
    </xf>
    <xf numFmtId="0" fontId="0" fillId="0" borderId="4" xfId="0" applyBorder="1" applyAlignment="1">
      <alignment vertical="center"/>
    </xf>
    <xf numFmtId="165" fontId="0" fillId="0" borderId="0" xfId="0" applyNumberFormat="1" applyBorder="1" applyAlignment="1">
      <alignment vertical="center"/>
    </xf>
    <xf numFmtId="165" fontId="0" fillId="0" borderId="34" xfId="0" applyNumberFormat="1" applyBorder="1" applyAlignment="1">
      <alignment vertical="center"/>
    </xf>
    <xf numFmtId="0" fontId="44" fillId="17" borderId="20" xfId="0" applyFont="1" applyFill="1" applyBorder="1" applyAlignment="1">
      <alignment vertical="center"/>
    </xf>
    <xf numFmtId="0" fontId="44" fillId="17" borderId="38" xfId="0" applyFont="1" applyFill="1" applyBorder="1" applyAlignment="1">
      <alignment vertical="center"/>
    </xf>
    <xf numFmtId="165" fontId="44" fillId="17" borderId="38" xfId="0" applyNumberFormat="1" applyFont="1" applyFill="1" applyBorder="1" applyAlignment="1">
      <alignment vertical="center"/>
    </xf>
    <xf numFmtId="165" fontId="44" fillId="17" borderId="15" xfId="0" applyNumberFormat="1" applyFont="1" applyFill="1" applyBorder="1" applyAlignment="1">
      <alignment vertical="center"/>
    </xf>
    <xf numFmtId="0" fontId="10" fillId="21" borderId="0" xfId="0" applyFont="1" applyFill="1" applyBorder="1" applyAlignment="1">
      <alignment horizontal="left" vertical="center"/>
    </xf>
    <xf numFmtId="0" fontId="10" fillId="21" borderId="0" xfId="0" applyFont="1" applyFill="1" applyBorder="1" applyAlignment="1">
      <alignment horizontal="center" vertical="center"/>
    </xf>
    <xf numFmtId="0" fontId="47" fillId="12" borderId="0" xfId="0" applyFont="1" applyFill="1" applyBorder="1" applyAlignment="1">
      <alignment vertical="center"/>
    </xf>
    <xf numFmtId="0" fontId="4" fillId="12" borderId="0" xfId="0" applyFont="1" applyFill="1" applyBorder="1" applyAlignment="1">
      <alignment vertical="center"/>
    </xf>
    <xf numFmtId="0" fontId="4" fillId="0" borderId="0" xfId="0" applyFont="1" applyBorder="1" applyAlignment="1">
      <alignment vertical="center"/>
    </xf>
    <xf numFmtId="165" fontId="4" fillId="0" borderId="0" xfId="7" applyNumberFormat="1" applyFont="1" applyBorder="1" applyAlignment="1">
      <alignment vertical="center"/>
    </xf>
    <xf numFmtId="0" fontId="47" fillId="5" borderId="0" xfId="0" applyFont="1" applyFill="1" applyBorder="1" applyAlignment="1">
      <alignment vertical="center"/>
    </xf>
    <xf numFmtId="165" fontId="47" fillId="0" borderId="0" xfId="7" applyNumberFormat="1" applyFont="1" applyBorder="1" applyAlignment="1">
      <alignment vertical="center"/>
    </xf>
    <xf numFmtId="0" fontId="4" fillId="0" borderId="0" xfId="0" applyFont="1" applyFill="1" applyBorder="1" applyAlignment="1">
      <alignment vertical="center"/>
    </xf>
    <xf numFmtId="0" fontId="47" fillId="0" borderId="0" xfId="0" applyFont="1" applyBorder="1" applyAlignment="1">
      <alignment vertical="center"/>
    </xf>
    <xf numFmtId="0" fontId="0" fillId="0" borderId="4" xfId="0" applyBorder="1" applyAlignment="1">
      <alignment horizontal="left" inden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Fill="1" applyAlignment="1">
      <alignment horizontal="left" vertical="center"/>
    </xf>
    <xf numFmtId="0" fontId="9" fillId="0" borderId="0" xfId="0" applyNumberFormat="1" applyFont="1" applyFill="1" applyAlignment="1">
      <alignment horizontal="left" vertical="center"/>
    </xf>
    <xf numFmtId="0" fontId="9" fillId="0" borderId="0" xfId="0" applyFont="1" applyFill="1" applyAlignment="1">
      <alignment horizontal="right" vertical="center"/>
    </xf>
    <xf numFmtId="1" fontId="9" fillId="0" borderId="0" xfId="0" applyNumberFormat="1" applyFont="1" applyFill="1" applyAlignment="1">
      <alignment horizontal="right" vertical="center"/>
    </xf>
    <xf numFmtId="2" fontId="9" fillId="0" borderId="0" xfId="0" applyNumberFormat="1" applyFont="1" applyFill="1" applyAlignment="1">
      <alignment horizontal="right" vertical="center"/>
    </xf>
    <xf numFmtId="49" fontId="9" fillId="0" borderId="0" xfId="0" applyNumberFormat="1" applyFont="1" applyFill="1" applyAlignment="1">
      <alignment vertical="center"/>
    </xf>
    <xf numFmtId="14" fontId="9" fillId="0" borderId="0" xfId="0" applyNumberFormat="1" applyFont="1" applyFill="1" applyAlignment="1">
      <alignment horizontal="right" vertical="center"/>
    </xf>
    <xf numFmtId="15" fontId="9" fillId="0" borderId="0" xfId="0" applyNumberFormat="1" applyFont="1" applyFill="1" applyAlignment="1">
      <alignment horizontal="right" vertical="center"/>
    </xf>
    <xf numFmtId="15" fontId="9" fillId="0" borderId="0" xfId="0" applyNumberFormat="1" applyFont="1" applyFill="1" applyAlignment="1">
      <alignment horizontal="left" vertical="center" wrapText="1"/>
    </xf>
    <xf numFmtId="0" fontId="9" fillId="0" borderId="0" xfId="0" applyNumberFormat="1" applyFont="1" applyFill="1" applyAlignment="1">
      <alignment vertical="center"/>
    </xf>
    <xf numFmtId="165" fontId="9" fillId="0" borderId="0" xfId="7" applyNumberFormat="1" applyFont="1" applyFill="1" applyAlignment="1">
      <alignment vertical="center"/>
    </xf>
    <xf numFmtId="0" fontId="9" fillId="0" borderId="0" xfId="0" applyNumberFormat="1" applyFont="1" applyFill="1" applyAlignment="1">
      <alignment horizontal="right"/>
    </xf>
    <xf numFmtId="0" fontId="9" fillId="0" borderId="0" xfId="11" applyNumberFormat="1" applyFont="1" applyFill="1" applyBorder="1" applyAlignment="1">
      <alignment vertical="center"/>
    </xf>
    <xf numFmtId="1" fontId="9" fillId="0" borderId="0" xfId="11" applyNumberFormat="1" applyFont="1" applyFill="1" applyBorder="1" applyAlignment="1">
      <alignment vertical="center"/>
    </xf>
    <xf numFmtId="0" fontId="3" fillId="0" borderId="16" xfId="0" pivotButton="1" applyFont="1" applyBorder="1" applyAlignment="1">
      <alignment horizontal="center" vertical="center" wrapText="1"/>
    </xf>
    <xf numFmtId="0" fontId="3" fillId="0" borderId="37" xfId="0" pivotButton="1" applyFont="1" applyBorder="1" applyAlignment="1">
      <alignment horizontal="center" vertical="center" wrapText="1"/>
    </xf>
    <xf numFmtId="0" fontId="3" fillId="0" borderId="37" xfId="0" pivotButton="1" applyFont="1" applyBorder="1" applyAlignment="1">
      <alignment vertical="center" wrapText="1"/>
    </xf>
    <xf numFmtId="165" fontId="3" fillId="0" borderId="37"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xf>
    <xf numFmtId="1" fontId="9" fillId="0" borderId="0" xfId="0" applyNumberFormat="1" applyFont="1" applyFill="1" applyAlignment="1">
      <alignment vertical="center"/>
    </xf>
    <xf numFmtId="9" fontId="0" fillId="5" borderId="0" xfId="8" applyFont="1" applyFill="1"/>
    <xf numFmtId="0" fontId="9" fillId="0" borderId="0" xfId="0" applyFont="1" applyFill="1" applyAlignment="1">
      <alignment horizontal="left" vertical="center" wrapText="1"/>
    </xf>
    <xf numFmtId="0" fontId="48" fillId="14" borderId="0" xfId="0" applyFont="1" applyFill="1" applyBorder="1"/>
    <xf numFmtId="0" fontId="48" fillId="0" borderId="0" xfId="0" applyFont="1" applyFill="1" applyBorder="1"/>
    <xf numFmtId="2" fontId="48" fillId="14" borderId="0" xfId="0" applyNumberFormat="1" applyFont="1" applyFill="1" applyBorder="1"/>
    <xf numFmtId="2" fontId="48" fillId="0" borderId="0" xfId="0" applyNumberFormat="1" applyFont="1" applyFill="1" applyBorder="1"/>
    <xf numFmtId="9" fontId="48" fillId="0" borderId="0" xfId="8" applyFont="1" applyFill="1" applyBorder="1"/>
    <xf numFmtId="0" fontId="49" fillId="0" borderId="17" xfId="0" applyNumberFormat="1" applyFont="1" applyFill="1" applyBorder="1"/>
    <xf numFmtId="1" fontId="49" fillId="0" borderId="2" xfId="0" applyNumberFormat="1" applyFont="1" applyFill="1" applyBorder="1"/>
    <xf numFmtId="0" fontId="44" fillId="0" borderId="0" xfId="5" applyFont="1" applyFill="1" applyBorder="1" applyAlignment="1">
      <alignment horizontal="left" vertical="center"/>
    </xf>
    <xf numFmtId="168" fontId="9" fillId="0" borderId="0" xfId="11" applyNumberFormat="1" applyFont="1" applyFill="1" applyBorder="1" applyAlignment="1">
      <alignment horizontal="left" vertical="center"/>
    </xf>
    <xf numFmtId="0" fontId="0" fillId="0" borderId="1" xfId="0" applyBorder="1"/>
    <xf numFmtId="0" fontId="0" fillId="0" borderId="0" xfId="0"/>
    <xf numFmtId="0" fontId="0" fillId="0" borderId="0" xfId="0" applyFill="1" applyBorder="1" applyAlignment="1">
      <alignment vertical="center"/>
    </xf>
    <xf numFmtId="0" fontId="0" fillId="0" borderId="0" xfId="0" applyFill="1" applyAlignment="1">
      <alignment vertical="center"/>
    </xf>
    <xf numFmtId="2" fontId="9" fillId="0" borderId="44" xfId="0" applyNumberFormat="1" applyFont="1" applyFill="1" applyBorder="1" applyAlignment="1">
      <alignment horizontal="right" vertical="center"/>
    </xf>
    <xf numFmtId="49" fontId="9" fillId="0" borderId="44" xfId="0" applyNumberFormat="1" applyFont="1" applyFill="1" applyBorder="1" applyAlignment="1">
      <alignment vertical="center"/>
    </xf>
    <xf numFmtId="0" fontId="9" fillId="0" borderId="0" xfId="11" applyNumberFormat="1" applyFont="1" applyFill="1" applyBorder="1" applyAlignment="1">
      <alignment horizontal="right" vertical="center"/>
    </xf>
    <xf numFmtId="1" fontId="9" fillId="0" borderId="0" xfId="11" applyNumberFormat="1" applyFont="1" applyFill="1" applyBorder="1" applyAlignment="1">
      <alignment horizontal="right" vertical="center"/>
    </xf>
    <xf numFmtId="173" fontId="9" fillId="0" borderId="0" xfId="0" applyNumberFormat="1" applyFont="1" applyFill="1" applyBorder="1" applyAlignment="1" applyProtection="1">
      <alignment horizontal="right" vertical="center"/>
    </xf>
    <xf numFmtId="173" fontId="9" fillId="0" borderId="0" xfId="0" applyNumberFormat="1" applyFont="1" applyFill="1" applyBorder="1" applyAlignment="1">
      <alignment horizontal="right" vertical="center"/>
    </xf>
    <xf numFmtId="0" fontId="0" fillId="16" borderId="4" xfId="0" applyFill="1" applyBorder="1" applyAlignment="1">
      <alignment horizontal="left" indent="1"/>
    </xf>
    <xf numFmtId="0" fontId="5" fillId="0" borderId="0" xfId="0" applyFont="1" applyBorder="1" applyAlignment="1">
      <alignment vertical="center"/>
    </xf>
    <xf numFmtId="0" fontId="13" fillId="5" borderId="0" xfId="0" applyFont="1" applyFill="1" applyBorder="1" applyAlignment="1">
      <alignment horizontal="center" vertical="center"/>
    </xf>
    <xf numFmtId="165" fontId="14" fillId="5" borderId="0" xfId="7" applyNumberFormat="1" applyFont="1" applyFill="1" applyBorder="1" applyAlignment="1">
      <alignment vertical="center"/>
    </xf>
    <xf numFmtId="165" fontId="0" fillId="0" borderId="0" xfId="0" applyNumberFormat="1" applyFont="1" applyBorder="1" applyAlignment="1">
      <alignment vertical="center"/>
    </xf>
    <xf numFmtId="0" fontId="0" fillId="5" borderId="0" xfId="0" applyFont="1" applyFill="1" applyBorder="1" applyAlignment="1">
      <alignment vertical="center"/>
    </xf>
    <xf numFmtId="165" fontId="0" fillId="5" borderId="0" xfId="7" applyNumberFormat="1" applyFont="1" applyFill="1" applyBorder="1" applyAlignment="1">
      <alignment vertical="center"/>
    </xf>
    <xf numFmtId="165" fontId="3" fillId="5" borderId="0" xfId="0" applyNumberFormat="1" applyFont="1" applyFill="1" applyBorder="1" applyAlignment="1">
      <alignment vertical="center"/>
    </xf>
    <xf numFmtId="173" fontId="9" fillId="0" borderId="0" xfId="0" applyNumberFormat="1" applyFont="1" applyFill="1" applyAlignment="1">
      <alignment horizontal="right" vertical="center"/>
    </xf>
    <xf numFmtId="174" fontId="9" fillId="0" borderId="0" xfId="11" applyNumberFormat="1" applyFont="1" applyFill="1" applyBorder="1" applyAlignment="1">
      <alignment horizontal="right" vertical="center" wrapText="1"/>
    </xf>
    <xf numFmtId="0" fontId="44" fillId="0" borderId="0" xfId="0" applyFont="1" applyFill="1" applyBorder="1" applyAlignment="1">
      <alignment horizontal="center" vertical="center"/>
    </xf>
    <xf numFmtId="0" fontId="19" fillId="0" borderId="0" xfId="0" applyFont="1" applyFill="1" applyProtection="1">
      <protection locked="0"/>
    </xf>
    <xf numFmtId="0" fontId="19" fillId="0" borderId="4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17" xfId="0" applyFont="1" applyFill="1" applyBorder="1" applyProtection="1">
      <protection locked="0"/>
    </xf>
    <xf numFmtId="0" fontId="19" fillId="0" borderId="1" xfId="0" applyFont="1" applyFill="1" applyBorder="1" applyProtection="1">
      <protection locked="0"/>
    </xf>
    <xf numFmtId="0" fontId="19" fillId="0" borderId="1" xfId="0" applyFont="1" applyFill="1" applyBorder="1" applyAlignment="1" applyProtection="1">
      <alignment horizontal="center"/>
      <protection locked="0"/>
    </xf>
    <xf numFmtId="0" fontId="53" fillId="17" borderId="8" xfId="0" applyFont="1" applyFill="1" applyBorder="1" applyAlignment="1" applyProtection="1"/>
    <xf numFmtId="0" fontId="53" fillId="17" borderId="6" xfId="0" applyFont="1" applyFill="1" applyBorder="1" applyAlignment="1" applyProtection="1"/>
    <xf numFmtId="0" fontId="53" fillId="17" borderId="3" xfId="0" applyFont="1" applyFill="1" applyBorder="1" applyAlignment="1" applyProtection="1"/>
    <xf numFmtId="0" fontId="53" fillId="17" borderId="1" xfId="0" applyFont="1" applyFill="1" applyBorder="1" applyProtection="1"/>
    <xf numFmtId="0" fontId="53" fillId="17" borderId="1" xfId="0" applyFont="1" applyFill="1" applyBorder="1" applyAlignment="1" applyProtection="1">
      <alignment horizontal="center"/>
    </xf>
    <xf numFmtId="0" fontId="53" fillId="17" borderId="17" xfId="0" applyFont="1" applyFill="1" applyBorder="1" applyProtection="1"/>
    <xf numFmtId="0" fontId="53" fillId="17" borderId="18" xfId="0" applyFont="1" applyFill="1" applyBorder="1" applyProtection="1"/>
    <xf numFmtId="0" fontId="52" fillId="0" borderId="1" xfId="0" applyFont="1" applyFill="1" applyBorder="1" applyProtection="1">
      <protection locked="0"/>
    </xf>
    <xf numFmtId="0" fontId="19" fillId="0" borderId="1" xfId="0" applyFont="1" applyFill="1" applyBorder="1" applyAlignment="1" applyProtection="1">
      <alignment vertical="center"/>
      <protection locked="0"/>
    </xf>
    <xf numFmtId="0" fontId="52" fillId="0" borderId="1" xfId="0" applyFont="1" applyFill="1" applyBorder="1" applyAlignment="1" applyProtection="1">
      <alignment horizontal="center"/>
      <protection locked="0"/>
    </xf>
    <xf numFmtId="0" fontId="52" fillId="0" borderId="0" xfId="0" applyFont="1" applyFill="1" applyProtection="1">
      <protection locked="0"/>
    </xf>
    <xf numFmtId="0" fontId="52" fillId="0" borderId="1" xfId="0" applyFont="1" applyFill="1" applyBorder="1" applyAlignment="1" applyProtection="1">
      <alignment vertical="center"/>
      <protection locked="0"/>
    </xf>
    <xf numFmtId="0" fontId="19" fillId="0" borderId="1" xfId="0" applyFont="1" applyFill="1" applyBorder="1" applyAlignment="1" applyProtection="1">
      <alignment horizontal="center" vertical="center"/>
      <protection locked="0"/>
    </xf>
    <xf numFmtId="0" fontId="51" fillId="0" borderId="2" xfId="0" applyFont="1" applyFill="1" applyBorder="1" applyProtection="1">
      <protection locked="0"/>
    </xf>
    <xf numFmtId="0" fontId="51" fillId="0" borderId="2" xfId="0" applyFont="1" applyFill="1" applyBorder="1" applyAlignment="1" applyProtection="1">
      <alignment horizontal="right" vertical="center"/>
      <protection locked="0"/>
    </xf>
    <xf numFmtId="0" fontId="52" fillId="0" borderId="1" xfId="0" applyFont="1" applyFill="1" applyBorder="1" applyProtection="1"/>
    <xf numFmtId="0" fontId="52" fillId="0" borderId="1" xfId="0" applyFont="1" applyFill="1" applyBorder="1" applyAlignment="1" applyProtection="1">
      <alignment horizontal="center"/>
    </xf>
    <xf numFmtId="0" fontId="19" fillId="0" borderId="29" xfId="0" applyFont="1" applyFill="1" applyBorder="1" applyProtection="1">
      <protection locked="0"/>
    </xf>
    <xf numFmtId="0" fontId="19" fillId="0" borderId="19" xfId="0" applyFont="1" applyFill="1" applyBorder="1" applyProtection="1">
      <protection locked="0"/>
    </xf>
    <xf numFmtId="0" fontId="19" fillId="0" borderId="19" xfId="0" applyFont="1" applyFill="1" applyBorder="1" applyAlignment="1" applyProtection="1">
      <alignment horizontal="center"/>
      <protection locked="0"/>
    </xf>
    <xf numFmtId="0" fontId="19" fillId="0" borderId="42" xfId="0" applyFont="1" applyFill="1" applyBorder="1" applyAlignment="1" applyProtection="1">
      <alignment horizontal="center" vertical="center"/>
      <protection locked="0"/>
    </xf>
    <xf numFmtId="0" fontId="19" fillId="0" borderId="0" xfId="0" applyFont="1" applyFill="1" applyBorder="1" applyProtection="1">
      <protection locked="0"/>
    </xf>
    <xf numFmtId="0" fontId="19" fillId="0" borderId="0" xfId="0" applyFont="1" applyFill="1" applyBorder="1" applyAlignment="1" applyProtection="1">
      <alignment horizontal="center"/>
      <protection locked="0"/>
    </xf>
    <xf numFmtId="0" fontId="52" fillId="0" borderId="0" xfId="0" applyFont="1" applyFill="1" applyBorder="1" applyProtection="1">
      <protection locked="0"/>
    </xf>
    <xf numFmtId="0" fontId="0" fillId="0" borderId="0" xfId="0" applyFont="1" applyBorder="1" applyAlignment="1">
      <alignment vertical="center"/>
    </xf>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54" fillId="0" borderId="0" xfId="0" applyFont="1" applyBorder="1" applyAlignment="1">
      <alignment vertical="center"/>
    </xf>
    <xf numFmtId="165" fontId="0" fillId="0" borderId="0" xfId="7" applyNumberFormat="1" applyFont="1" applyBorder="1" applyAlignment="1">
      <alignment vertical="center"/>
    </xf>
    <xf numFmtId="9" fontId="0" fillId="0" borderId="0" xfId="8" applyFont="1" applyBorder="1" applyAlignment="1">
      <alignment vertical="center"/>
    </xf>
    <xf numFmtId="0" fontId="35" fillId="0" borderId="0" xfId="0" applyFont="1" applyBorder="1" applyAlignment="1">
      <alignment horizontal="right" vertical="center"/>
    </xf>
    <xf numFmtId="0" fontId="24" fillId="18" borderId="11" xfId="6" applyFont="1" applyFill="1" applyBorder="1" applyAlignment="1">
      <alignment vertical="center"/>
    </xf>
    <xf numFmtId="0" fontId="24" fillId="18" borderId="37" xfId="6" applyFont="1" applyFill="1" applyBorder="1" applyAlignment="1">
      <alignment vertical="center"/>
    </xf>
    <xf numFmtId="0" fontId="24" fillId="18" borderId="38" xfId="6" applyFont="1" applyFill="1" applyBorder="1" applyAlignment="1">
      <alignment vertical="center"/>
    </xf>
    <xf numFmtId="0" fontId="9" fillId="18" borderId="0" xfId="0" applyFont="1" applyFill="1" applyBorder="1"/>
    <xf numFmtId="0" fontId="8" fillId="18" borderId="0" xfId="0" applyFont="1" applyFill="1" applyBorder="1"/>
    <xf numFmtId="0" fontId="37" fillId="18" borderId="0" xfId="0" applyFont="1" applyFill="1" applyBorder="1" applyAlignment="1"/>
    <xf numFmtId="0" fontId="41" fillId="0" borderId="0" xfId="0" applyFont="1" applyFill="1" applyBorder="1" applyAlignment="1">
      <alignment horizontal="left"/>
    </xf>
    <xf numFmtId="165" fontId="42" fillId="0" borderId="0" xfId="9" applyNumberFormat="1" applyFont="1" applyFill="1" applyBorder="1" applyAlignment="1">
      <alignment horizontal="left"/>
    </xf>
    <xf numFmtId="0" fontId="23" fillId="18" borderId="11" xfId="6" applyFont="1" applyFill="1" applyBorder="1" applyAlignment="1">
      <alignment vertical="center"/>
    </xf>
    <xf numFmtId="0" fontId="9" fillId="18" borderId="13" xfId="0" applyFont="1" applyFill="1" applyBorder="1"/>
    <xf numFmtId="0" fontId="9" fillId="18" borderId="14" xfId="0" applyFont="1" applyFill="1" applyBorder="1"/>
    <xf numFmtId="3" fontId="0" fillId="0" borderId="0" xfId="0" applyNumberFormat="1"/>
    <xf numFmtId="0" fontId="8" fillId="6" borderId="22" xfId="6" applyFont="1" applyFill="1" applyBorder="1" applyAlignment="1">
      <alignment vertical="center"/>
    </xf>
    <xf numFmtId="0" fontId="7" fillId="0" borderId="38" xfId="6" applyFont="1" applyFill="1" applyBorder="1" applyAlignment="1">
      <alignment horizontal="center" vertical="center"/>
    </xf>
    <xf numFmtId="0" fontId="8" fillId="6" borderId="38" xfId="6" applyFont="1" applyFill="1" applyBorder="1" applyAlignment="1">
      <alignment vertical="center"/>
    </xf>
    <xf numFmtId="0" fontId="8" fillId="6" borderId="15" xfId="6" applyFont="1" applyFill="1" applyBorder="1" applyAlignment="1">
      <alignment vertical="center"/>
    </xf>
    <xf numFmtId="0" fontId="39" fillId="0" borderId="0" xfId="0" applyFont="1" applyFill="1" applyBorder="1" applyAlignment="1">
      <alignment horizontal="center" wrapText="1"/>
    </xf>
    <xf numFmtId="0" fontId="39" fillId="0" borderId="0" xfId="0" applyFont="1" applyFill="1" applyBorder="1" applyAlignment="1">
      <alignment horizontal="center" vertical="top" wrapText="1"/>
    </xf>
    <xf numFmtId="0" fontId="40" fillId="0" borderId="0" xfId="0" applyFont="1" applyFill="1" applyBorder="1" applyAlignment="1">
      <alignment horizontal="center" vertical="top" wrapText="1"/>
    </xf>
    <xf numFmtId="0" fontId="42" fillId="0" borderId="0" xfId="0" applyFont="1" applyFill="1" applyBorder="1" applyAlignment="1">
      <alignment horizontal="left"/>
    </xf>
    <xf numFmtId="165" fontId="43" fillId="0" borderId="0" xfId="9" applyNumberFormat="1" applyFont="1" applyFill="1" applyBorder="1"/>
    <xf numFmtId="9" fontId="43" fillId="0" borderId="0" xfId="8" applyFont="1" applyFill="1" applyBorder="1"/>
    <xf numFmtId="0" fontId="55" fillId="0" borderId="0" xfId="0" applyFont="1" applyBorder="1" applyAlignment="1">
      <alignment horizontal="left" vertical="center"/>
    </xf>
    <xf numFmtId="165" fontId="0" fillId="0" borderId="9" xfId="0" applyNumberFormat="1" applyFill="1" applyBorder="1"/>
    <xf numFmtId="165" fontId="0" fillId="0" borderId="7" xfId="0" applyNumberFormat="1" applyFill="1" applyBorder="1"/>
    <xf numFmtId="0" fontId="34" fillId="0" borderId="0" xfId="0" applyFont="1"/>
    <xf numFmtId="165" fontId="0" fillId="0" borderId="0" xfId="7" applyNumberFormat="1" applyFont="1"/>
    <xf numFmtId="1" fontId="0" fillId="0" borderId="0" xfId="7" applyNumberFormat="1" applyFont="1"/>
    <xf numFmtId="0" fontId="44" fillId="0" borderId="0" xfId="0" applyFont="1" applyAlignment="1">
      <alignment vertical="center"/>
    </xf>
    <xf numFmtId="0" fontId="44" fillId="0" borderId="0" xfId="0" applyFont="1" applyFill="1" applyBorder="1" applyAlignment="1">
      <alignment vertical="center"/>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0" xfId="0" applyFill="1" applyBorder="1" applyAlignment="1">
      <alignment vertical="center"/>
    </xf>
    <xf numFmtId="0" fontId="0" fillId="18" borderId="14" xfId="0" applyFill="1" applyBorder="1" applyAlignment="1">
      <alignment vertical="center"/>
    </xf>
    <xf numFmtId="0" fontId="44" fillId="0" borderId="0" xfId="0" applyFont="1" applyBorder="1" applyAlignment="1">
      <alignment vertical="center"/>
    </xf>
    <xf numFmtId="0" fontId="8" fillId="18" borderId="0" xfId="6" applyFont="1" applyFill="1" applyBorder="1" applyAlignment="1">
      <alignment horizontal="left" vertical="center"/>
    </xf>
    <xf numFmtId="0" fontId="0" fillId="20" borderId="13" xfId="0" applyFill="1" applyBorder="1" applyAlignment="1">
      <alignment vertical="center"/>
    </xf>
    <xf numFmtId="0" fontId="0" fillId="20" borderId="0" xfId="0" applyFill="1" applyBorder="1" applyAlignment="1">
      <alignment vertical="center"/>
    </xf>
    <xf numFmtId="0" fontId="8" fillId="20" borderId="14" xfId="6" applyFont="1" applyFill="1" applyBorder="1" applyAlignment="1">
      <alignment vertical="center"/>
    </xf>
    <xf numFmtId="0" fontId="8" fillId="5" borderId="0" xfId="6" applyFont="1" applyFill="1" applyBorder="1" applyAlignment="1">
      <alignment vertical="center"/>
    </xf>
    <xf numFmtId="0" fontId="0" fillId="20" borderId="14" xfId="0" applyFill="1" applyBorder="1" applyAlignment="1">
      <alignment vertical="center"/>
    </xf>
    <xf numFmtId="0" fontId="0" fillId="5" borderId="0" xfId="0" applyFont="1" applyFill="1" applyBorder="1" applyAlignment="1">
      <alignment horizontal="center" vertical="center" wrapText="1"/>
    </xf>
    <xf numFmtId="165" fontId="21" fillId="0" borderId="0" xfId="7" applyNumberFormat="1" applyFont="1" applyBorder="1" applyAlignment="1">
      <alignment vertical="center"/>
    </xf>
    <xf numFmtId="0" fontId="4" fillId="5" borderId="0" xfId="0" applyFont="1" applyFill="1" applyBorder="1" applyAlignment="1">
      <alignment vertical="center"/>
    </xf>
    <xf numFmtId="0" fontId="12" fillId="0" borderId="0" xfId="0" applyFont="1" applyAlignment="1">
      <alignment horizontal="center" vertical="center"/>
    </xf>
    <xf numFmtId="165" fontId="10" fillId="0" borderId="0" xfId="7" applyNumberFormat="1" applyFont="1" applyBorder="1" applyAlignment="1">
      <alignment vertical="center"/>
    </xf>
    <xf numFmtId="0" fontId="3" fillId="20" borderId="13" xfId="0" applyFont="1" applyFill="1" applyBorder="1" applyAlignment="1">
      <alignment vertical="center"/>
    </xf>
    <xf numFmtId="0" fontId="4" fillId="7" borderId="0" xfId="0" applyFont="1" applyFill="1" applyBorder="1" applyAlignment="1">
      <alignment vertical="center"/>
    </xf>
    <xf numFmtId="0" fontId="47" fillId="7" borderId="0" xfId="0" applyFont="1" applyFill="1" applyBorder="1" applyAlignment="1">
      <alignment vertical="center"/>
    </xf>
    <xf numFmtId="0" fontId="0" fillId="20" borderId="39" xfId="0" applyFill="1" applyBorder="1" applyAlignment="1">
      <alignment vertical="center"/>
    </xf>
    <xf numFmtId="0" fontId="0" fillId="20" borderId="40" xfId="0" applyFill="1" applyBorder="1" applyAlignment="1">
      <alignment vertical="center"/>
    </xf>
    <xf numFmtId="0" fontId="0" fillId="5" borderId="40" xfId="0" applyFill="1" applyBorder="1" applyAlignment="1">
      <alignment vertical="center"/>
    </xf>
    <xf numFmtId="0" fontId="0" fillId="20" borderId="41" xfId="0" applyFill="1" applyBorder="1" applyAlignment="1">
      <alignment vertical="center"/>
    </xf>
    <xf numFmtId="165" fontId="0" fillId="0" borderId="0" xfId="0" applyNumberFormat="1" applyAlignment="1">
      <alignment vertical="center"/>
    </xf>
    <xf numFmtId="0" fontId="0" fillId="6" borderId="0" xfId="0" applyFill="1" applyAlignment="1">
      <alignment vertical="center"/>
    </xf>
    <xf numFmtId="0" fontId="3" fillId="6" borderId="0" xfId="0" applyFont="1" applyFill="1" applyAlignment="1">
      <alignment vertical="center"/>
    </xf>
    <xf numFmtId="0" fontId="44" fillId="20" borderId="13" xfId="0" applyFont="1" applyFill="1" applyBorder="1" applyAlignment="1">
      <alignment vertical="center"/>
    </xf>
    <xf numFmtId="9" fontId="0" fillId="0" borderId="0" xfId="8" applyFont="1" applyAlignment="1">
      <alignment vertical="center"/>
    </xf>
    <xf numFmtId="0" fontId="34" fillId="0" borderId="0" xfId="0" applyFont="1" applyAlignment="1">
      <alignment horizontal="left" vertical="center"/>
    </xf>
    <xf numFmtId="9" fontId="0" fillId="0" borderId="0" xfId="0" applyNumberFormat="1" applyBorder="1" applyAlignment="1">
      <alignment vertical="center"/>
    </xf>
    <xf numFmtId="0" fontId="3" fillId="0" borderId="0"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2" fillId="5" borderId="0" xfId="0" applyFont="1" applyFill="1" applyBorder="1"/>
    <xf numFmtId="0" fontId="0" fillId="0" borderId="1" xfId="0" applyFill="1" applyBorder="1" applyAlignment="1">
      <alignment horizontal="left"/>
    </xf>
    <xf numFmtId="0" fontId="9" fillId="5" borderId="1" xfId="0" applyNumberFormat="1" applyFont="1" applyFill="1" applyBorder="1"/>
    <xf numFmtId="165" fontId="35" fillId="13" borderId="47" xfId="7" applyNumberFormat="1" applyFont="1" applyFill="1" applyBorder="1"/>
    <xf numFmtId="165" fontId="35" fillId="14" borderId="47" xfId="7" applyNumberFormat="1" applyFont="1" applyFill="1" applyBorder="1"/>
    <xf numFmtId="0" fontId="0" fillId="0" borderId="0" xfId="0" quotePrefix="1"/>
    <xf numFmtId="0" fontId="63" fillId="0" borderId="0" xfId="0" applyFont="1" applyFill="1"/>
    <xf numFmtId="0" fontId="50" fillId="24" borderId="1" xfId="0" applyFont="1" applyFill="1" applyBorder="1"/>
    <xf numFmtId="165" fontId="35" fillId="0" borderId="0" xfId="0" applyNumberFormat="1" applyFont="1" applyFill="1" applyBorder="1"/>
    <xf numFmtId="9" fontId="35" fillId="4" borderId="0" xfId="0" applyNumberFormat="1" applyFont="1" applyFill="1" applyBorder="1"/>
    <xf numFmtId="9" fontId="35" fillId="0" borderId="0" xfId="0" applyNumberFormat="1" applyFont="1" applyFill="1" applyBorder="1"/>
    <xf numFmtId="0" fontId="34" fillId="0" borderId="22" xfId="0" applyNumberFormat="1" applyFont="1" applyFill="1" applyBorder="1"/>
    <xf numFmtId="1" fontId="34" fillId="0" borderId="16" xfId="0" applyNumberFormat="1" applyFont="1" applyFill="1" applyBorder="1"/>
    <xf numFmtId="165" fontId="35" fillId="0" borderId="25" xfId="0" applyNumberFormat="1" applyFont="1" applyFill="1" applyBorder="1"/>
    <xf numFmtId="0" fontId="0" fillId="0" borderId="12" xfId="0" applyBorder="1"/>
    <xf numFmtId="0" fontId="0" fillId="5" borderId="43" xfId="0" applyNumberFormat="1" applyFill="1" applyBorder="1"/>
    <xf numFmtId="0" fontId="0" fillId="5" borderId="30" xfId="0" applyNumberFormat="1" applyFill="1" applyBorder="1"/>
    <xf numFmtId="0" fontId="0" fillId="0" borderId="0" xfId="0" applyBorder="1" applyAlignment="1">
      <alignment horizontal="center" vertical="center"/>
    </xf>
    <xf numFmtId="0" fontId="11" fillId="0" borderId="0" xfId="0" applyFont="1"/>
    <xf numFmtId="9" fontId="3" fillId="0" borderId="0" xfId="0" applyNumberFormat="1" applyFont="1" applyBorder="1" applyAlignment="1">
      <alignment vertical="center"/>
    </xf>
    <xf numFmtId="0" fontId="59" fillId="5" borderId="37" xfId="6" applyFont="1" applyFill="1" applyBorder="1" applyAlignment="1"/>
    <xf numFmtId="165" fontId="3" fillId="0" borderId="22" xfId="0" applyNumberFormat="1" applyFont="1" applyBorder="1" applyAlignment="1">
      <alignment horizontal="center" vertical="center" wrapText="1"/>
    </xf>
    <xf numFmtId="0" fontId="44" fillId="17" borderId="0" xfId="0" applyFont="1" applyFill="1"/>
    <xf numFmtId="0" fontId="52" fillId="0" borderId="54" xfId="0" applyFont="1" applyBorder="1" applyAlignment="1">
      <alignment horizontal="center" vertical="center" textRotation="90"/>
    </xf>
    <xf numFmtId="0" fontId="52" fillId="0" borderId="55" xfId="0" applyFont="1" applyBorder="1" applyAlignment="1">
      <alignment horizontal="center" vertical="center" textRotation="90"/>
    </xf>
    <xf numFmtId="0" fontId="52" fillId="0" borderId="56" xfId="0" applyFont="1" applyBorder="1" applyAlignment="1">
      <alignment horizontal="center" vertical="center" textRotation="90"/>
    </xf>
    <xf numFmtId="0" fontId="52" fillId="0" borderId="54" xfId="0" applyFont="1" applyBorder="1" applyAlignment="1">
      <alignment horizontal="center" vertical="center" textRotation="90" wrapText="1"/>
    </xf>
    <xf numFmtId="0" fontId="52" fillId="0" borderId="55" xfId="0" applyFont="1" applyBorder="1" applyAlignment="1">
      <alignment horizontal="center" vertical="center" textRotation="90" wrapText="1"/>
    </xf>
    <xf numFmtId="0" fontId="52" fillId="0" borderId="56" xfId="0" applyFont="1" applyBorder="1" applyAlignment="1">
      <alignment horizontal="center" vertical="center" textRotation="90" wrapText="1"/>
    </xf>
    <xf numFmtId="0" fontId="0" fillId="6" borderId="1" xfId="0" applyNumberFormat="1" applyFont="1" applyFill="1" applyBorder="1"/>
    <xf numFmtId="0" fontId="0" fillId="0" borderId="13" xfId="0" applyBorder="1" applyAlignment="1">
      <alignment horizontal="left"/>
    </xf>
    <xf numFmtId="0" fontId="0" fillId="0" borderId="16" xfId="0" applyBorder="1"/>
    <xf numFmtId="0" fontId="0" fillId="0" borderId="4" xfId="0" applyBorder="1"/>
    <xf numFmtId="0" fontId="0" fillId="0" borderId="20" xfId="0" applyBorder="1"/>
    <xf numFmtId="0" fontId="0" fillId="18" borderId="20" xfId="0" applyFill="1" applyBorder="1"/>
    <xf numFmtId="0" fontId="19" fillId="0" borderId="2" xfId="0" applyFont="1" applyFill="1" applyBorder="1" applyProtection="1">
      <protection locked="0"/>
    </xf>
    <xf numFmtId="166" fontId="26" fillId="18" borderId="0" xfId="6" applyNumberFormat="1" applyFont="1" applyFill="1" applyBorder="1" applyAlignment="1">
      <alignment horizontal="left" vertical="center"/>
    </xf>
    <xf numFmtId="0" fontId="51" fillId="0" borderId="2" xfId="0" applyFont="1" applyFill="1" applyBorder="1" applyAlignment="1" applyProtection="1">
      <alignment horizontal="right"/>
      <protection locked="0"/>
    </xf>
    <xf numFmtId="0" fontId="51" fillId="0" borderId="2" xfId="0" applyFont="1" applyFill="1" applyBorder="1" applyAlignment="1" applyProtection="1">
      <alignment vertical="center"/>
      <protection locked="0"/>
    </xf>
    <xf numFmtId="0" fontId="51" fillId="0" borderId="2" xfId="0" quotePrefix="1" applyFont="1" applyFill="1" applyBorder="1" applyAlignment="1" applyProtection="1">
      <alignment horizontal="right" vertical="center"/>
      <protection locked="0"/>
    </xf>
    <xf numFmtId="0" fontId="52" fillId="0" borderId="2" xfId="0" applyFont="1" applyFill="1" applyBorder="1" applyProtection="1"/>
    <xf numFmtId="0" fontId="19" fillId="0" borderId="14" xfId="0" applyFont="1" applyFill="1" applyBorder="1" applyAlignment="1" applyProtection="1">
      <alignment horizontal="center" vertical="center"/>
      <protection locked="0"/>
    </xf>
    <xf numFmtId="0" fontId="12" fillId="0" borderId="3" xfId="0" applyFont="1" applyFill="1" applyBorder="1"/>
    <xf numFmtId="0" fontId="12" fillId="0" borderId="1" xfId="0" applyFont="1" applyFill="1" applyBorder="1"/>
    <xf numFmtId="0" fontId="53" fillId="17" borderId="2" xfId="0" applyFont="1" applyFill="1" applyBorder="1" applyProtection="1"/>
    <xf numFmtId="0" fontId="51" fillId="0" borderId="63" xfId="0" applyFont="1" applyFill="1" applyBorder="1" applyProtection="1">
      <protection locked="0"/>
    </xf>
    <xf numFmtId="0" fontId="60" fillId="17" borderId="17" xfId="0" applyFont="1" applyFill="1" applyBorder="1" applyProtection="1"/>
    <xf numFmtId="0" fontId="14" fillId="5" borderId="0" xfId="0" applyFont="1" applyFill="1" applyBorder="1" applyAlignment="1">
      <alignment vertical="center"/>
    </xf>
    <xf numFmtId="166" fontId="18" fillId="5" borderId="0" xfId="6" applyNumberFormat="1" applyFont="1" applyFill="1" applyBorder="1" applyAlignment="1">
      <alignment horizontal="left" vertical="center"/>
    </xf>
    <xf numFmtId="0" fontId="18" fillId="5" borderId="0" xfId="6" applyFont="1" applyFill="1" applyBorder="1" applyAlignment="1">
      <alignment vertical="center"/>
    </xf>
    <xf numFmtId="0" fontId="65" fillId="0" borderId="0" xfId="0" applyFont="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66" fillId="0" borderId="0" xfId="0" applyFont="1" applyFill="1" applyBorder="1" applyAlignment="1">
      <alignment vertical="center"/>
    </xf>
    <xf numFmtId="165" fontId="14" fillId="0" borderId="0" xfId="7" applyNumberFormat="1" applyFont="1" applyBorder="1" applyAlignment="1">
      <alignment vertical="center"/>
    </xf>
    <xf numFmtId="165" fontId="14" fillId="0" borderId="0" xfId="0" applyNumberFormat="1" applyFont="1" applyBorder="1" applyAlignment="1">
      <alignment vertical="center"/>
    </xf>
    <xf numFmtId="9" fontId="14" fillId="0" borderId="0" xfId="8" applyFont="1" applyBorder="1" applyAlignment="1">
      <alignment vertical="center"/>
    </xf>
    <xf numFmtId="0" fontId="64" fillId="4" borderId="65" xfId="0" applyFont="1" applyFill="1" applyBorder="1" applyAlignment="1">
      <alignment vertical="center"/>
    </xf>
    <xf numFmtId="0" fontId="64" fillId="4" borderId="66" xfId="0" applyFont="1" applyFill="1" applyBorder="1" applyAlignment="1">
      <alignment vertical="center"/>
    </xf>
    <xf numFmtId="0" fontId="14" fillId="4" borderId="67" xfId="0" applyFont="1" applyFill="1" applyBorder="1" applyAlignment="1">
      <alignment vertical="center"/>
    </xf>
    <xf numFmtId="0" fontId="4" fillId="0" borderId="0" xfId="0" applyFont="1" applyBorder="1" applyAlignment="1">
      <alignment horizontal="left" vertical="center"/>
    </xf>
    <xf numFmtId="165" fontId="4" fillId="0" borderId="0" xfId="0" applyNumberFormat="1" applyFont="1" applyBorder="1" applyAlignment="1">
      <alignment vertical="center"/>
    </xf>
    <xf numFmtId="3" fontId="4" fillId="0" borderId="0" xfId="0" applyNumberFormat="1" applyFont="1" applyBorder="1" applyAlignment="1">
      <alignment vertical="center"/>
    </xf>
    <xf numFmtId="0" fontId="4" fillId="0" borderId="0" xfId="0" applyNumberFormat="1" applyFont="1" applyBorder="1" applyAlignment="1">
      <alignment vertical="center"/>
    </xf>
    <xf numFmtId="9" fontId="4" fillId="0" borderId="0" xfId="0" applyNumberFormat="1" applyFont="1" applyBorder="1" applyAlignment="1">
      <alignment vertical="center"/>
    </xf>
    <xf numFmtId="0" fontId="18" fillId="4" borderId="64" xfId="6" applyNumberFormat="1" applyFont="1" applyFill="1" applyBorder="1" applyAlignment="1">
      <alignment horizontal="right" vertical="center"/>
    </xf>
    <xf numFmtId="165" fontId="18" fillId="4" borderId="64" xfId="6" applyNumberFormat="1" applyFont="1" applyFill="1" applyBorder="1" applyAlignment="1">
      <alignment horizontal="left" vertical="center"/>
    </xf>
    <xf numFmtId="0" fontId="47" fillId="0" borderId="0" xfId="0" applyFont="1" applyBorder="1" applyAlignment="1">
      <alignment horizontal="left" vertical="center"/>
    </xf>
    <xf numFmtId="165" fontId="47" fillId="0" borderId="0" xfId="0" applyNumberFormat="1" applyFont="1" applyBorder="1" applyAlignment="1">
      <alignment vertical="center"/>
    </xf>
    <xf numFmtId="3" fontId="47" fillId="0" borderId="0" xfId="0" applyNumberFormat="1" applyFont="1" applyBorder="1" applyAlignment="1">
      <alignment vertical="center"/>
    </xf>
    <xf numFmtId="0" fontId="47" fillId="0" borderId="0" xfId="0" applyNumberFormat="1" applyFont="1" applyBorder="1" applyAlignment="1">
      <alignment vertical="center"/>
    </xf>
    <xf numFmtId="9" fontId="47" fillId="0" borderId="0" xfId="0" applyNumberFormat="1" applyFont="1" applyBorder="1" applyAlignment="1">
      <alignment vertical="center"/>
    </xf>
    <xf numFmtId="0" fontId="0" fillId="0" borderId="10"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3" fillId="0" borderId="0" xfId="0" applyFont="1" applyFill="1" applyBorder="1" applyAlignment="1">
      <alignment horizontal="center" vertical="center" wrapText="1"/>
    </xf>
    <xf numFmtId="0" fontId="61" fillId="0" borderId="0" xfId="0" applyFont="1" applyFill="1" applyBorder="1" applyAlignment="1">
      <alignment vertical="center"/>
    </xf>
    <xf numFmtId="0" fontId="9" fillId="0" borderId="12" xfId="0" applyFont="1" applyBorder="1" applyAlignment="1">
      <alignment vertical="center"/>
    </xf>
    <xf numFmtId="0" fontId="0" fillId="0" borderId="13" xfId="0" applyFill="1" applyBorder="1" applyAlignment="1">
      <alignment vertical="center"/>
    </xf>
    <xf numFmtId="0" fontId="9" fillId="0" borderId="14" xfId="0" applyFont="1" applyBorder="1" applyAlignment="1">
      <alignment vertical="center"/>
    </xf>
    <xf numFmtId="0" fontId="9" fillId="0" borderId="14" xfId="0" applyFont="1" applyFill="1" applyBorder="1" applyAlignment="1">
      <alignment vertical="center"/>
    </xf>
    <xf numFmtId="0" fontId="14" fillId="5" borderId="13" xfId="0" applyFont="1" applyFill="1" applyBorder="1" applyAlignment="1">
      <alignment vertical="center"/>
    </xf>
    <xf numFmtId="0" fontId="65" fillId="0" borderId="14" xfId="0" applyFont="1" applyFill="1" applyBorder="1" applyAlignment="1">
      <alignment vertical="center"/>
    </xf>
    <xf numFmtId="0" fontId="65" fillId="0" borderId="14" xfId="0" applyFont="1" applyBorder="1" applyAlignment="1">
      <alignment vertical="center"/>
    </xf>
    <xf numFmtId="0" fontId="0" fillId="5" borderId="13" xfId="0" applyFill="1" applyBorder="1" applyAlignment="1">
      <alignment vertical="center"/>
    </xf>
    <xf numFmtId="0" fontId="0" fillId="5" borderId="13" xfId="0" applyFont="1" applyFill="1" applyBorder="1" applyAlignment="1">
      <alignment vertical="center"/>
    </xf>
    <xf numFmtId="0" fontId="0" fillId="0" borderId="14" xfId="0" applyFont="1" applyBorder="1" applyAlignment="1">
      <alignment vertical="center"/>
    </xf>
    <xf numFmtId="0" fontId="9" fillId="0" borderId="41" xfId="0" applyFont="1" applyBorder="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18" fillId="4" borderId="68" xfId="6" applyNumberFormat="1" applyFont="1" applyFill="1" applyBorder="1" applyAlignment="1">
      <alignment horizontal="right" vertical="center"/>
    </xf>
    <xf numFmtId="9" fontId="9" fillId="0" borderId="0" xfId="8" applyFont="1" applyBorder="1" applyAlignment="1">
      <alignment vertical="center"/>
    </xf>
    <xf numFmtId="0" fontId="52" fillId="0" borderId="1" xfId="0" applyFont="1" applyFill="1" applyBorder="1" applyAlignment="1" applyProtection="1">
      <alignment wrapText="1"/>
      <protection locked="0"/>
    </xf>
    <xf numFmtId="15" fontId="9" fillId="0" borderId="0" xfId="0" applyNumberFormat="1" applyFont="1" applyFill="1" applyBorder="1" applyAlignment="1">
      <alignment horizontal="right" vertical="center" wrapText="1"/>
    </xf>
    <xf numFmtId="0" fontId="67" fillId="0" borderId="0" xfId="0" applyFont="1"/>
    <xf numFmtId="0" fontId="52" fillId="0" borderId="69" xfId="0" applyFont="1" applyBorder="1" applyAlignment="1">
      <alignment horizontal="center" vertical="center" textRotation="90"/>
    </xf>
    <xf numFmtId="0" fontId="52" fillId="0" borderId="58" xfId="0" applyFont="1" applyBorder="1" applyAlignment="1">
      <alignment horizontal="center" vertical="center" textRotation="90"/>
    </xf>
    <xf numFmtId="0" fontId="52" fillId="0" borderId="1" xfId="0" applyFont="1" applyBorder="1" applyAlignment="1">
      <alignment vertical="center" textRotation="90"/>
    </xf>
    <xf numFmtId="0" fontId="0" fillId="5" borderId="26" xfId="0" applyFill="1" applyBorder="1"/>
    <xf numFmtId="0" fontId="0" fillId="0" borderId="28" xfId="0" applyBorder="1"/>
    <xf numFmtId="2" fontId="12" fillId="0" borderId="37" xfId="6" applyNumberFormat="1" applyFont="1" applyFill="1" applyBorder="1" applyAlignment="1">
      <alignment vertical="center"/>
    </xf>
    <xf numFmtId="2" fontId="12" fillId="0" borderId="38" xfId="6" applyNumberFormat="1" applyFont="1" applyFill="1" applyBorder="1" applyAlignment="1">
      <alignment vertical="center"/>
    </xf>
    <xf numFmtId="165" fontId="44" fillId="0" borderId="0" xfId="7" applyNumberFormat="1" applyFont="1" applyFill="1" applyBorder="1" applyAlignment="1">
      <alignment horizontal="center" vertical="center"/>
    </xf>
    <xf numFmtId="0" fontId="68"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6" applyFont="1" applyFill="1" applyBorder="1" applyAlignment="1">
      <alignment horizontal="left" vertical="center"/>
    </xf>
    <xf numFmtId="0" fontId="7" fillId="0" borderId="0" xfId="6" applyFont="1" applyFill="1" applyBorder="1" applyAlignment="1">
      <alignment horizontal="center" vertical="center"/>
    </xf>
    <xf numFmtId="0" fontId="21" fillId="0" borderId="0" xfId="6"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ont="1" applyFill="1" applyBorder="1" applyAlignment="1">
      <alignment vertical="center" textRotation="90"/>
    </xf>
    <xf numFmtId="169"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vertical="center" textRotation="90"/>
    </xf>
    <xf numFmtId="0" fontId="9" fillId="0" borderId="0" xfId="0" quotePrefix="1" applyFont="1" applyFill="1" applyBorder="1" applyAlignment="1">
      <alignment horizontal="left" vertical="center" wrapText="1"/>
    </xf>
    <xf numFmtId="168" fontId="9" fillId="0" borderId="0" xfId="1" applyNumberFormat="1" applyFont="1" applyFill="1" applyBorder="1" applyAlignment="1">
      <alignment vertical="center" wrapText="1"/>
    </xf>
    <xf numFmtId="169" fontId="9" fillId="0" borderId="0" xfId="0" quotePrefix="1" applyNumberFormat="1" applyFont="1" applyFill="1" applyBorder="1" applyAlignment="1">
      <alignment horizontal="right" vertical="center" wrapText="1"/>
    </xf>
    <xf numFmtId="0" fontId="9" fillId="0" borderId="0" xfId="0" quotePrefix="1" applyFont="1" applyFill="1" applyBorder="1" applyAlignment="1">
      <alignment vertical="center"/>
    </xf>
    <xf numFmtId="1" fontId="9" fillId="0" borderId="0" xfId="0" quotePrefix="1" applyNumberFormat="1" applyFont="1" applyFill="1" applyBorder="1" applyAlignment="1">
      <alignment horizontal="center" vertical="center"/>
    </xf>
    <xf numFmtId="0" fontId="9" fillId="0" borderId="0" xfId="0" quotePrefix="1" applyNumberFormat="1" applyFont="1" applyFill="1" applyBorder="1" applyAlignment="1">
      <alignment horizontal="center" vertical="center"/>
    </xf>
    <xf numFmtId="0" fontId="9" fillId="0" borderId="0" xfId="0" quotePrefix="1" applyNumberFormat="1" applyFont="1" applyFill="1" applyBorder="1" applyAlignment="1">
      <alignment horizontal="right" vertical="center"/>
    </xf>
    <xf numFmtId="0" fontId="9" fillId="0" borderId="0" xfId="0" quotePrefix="1" applyFont="1" applyFill="1" applyBorder="1" applyAlignment="1">
      <alignment horizontal="center" vertical="center" wrapText="1"/>
    </xf>
    <xf numFmtId="169" fontId="9" fillId="0" borderId="0" xfId="0" applyNumberFormat="1" applyFont="1" applyFill="1" applyBorder="1" applyAlignment="1">
      <alignment horizontal="right" vertical="center"/>
    </xf>
    <xf numFmtId="169" fontId="9" fillId="0" borderId="0" xfId="0" applyNumberFormat="1"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169" fontId="9" fillId="0" borderId="0" xfId="0" applyNumberFormat="1" applyFont="1" applyFill="1" applyBorder="1" applyAlignment="1">
      <alignment horizontal="left" vertical="center" wrapText="1"/>
    </xf>
    <xf numFmtId="0" fontId="68" fillId="0" borderId="0" xfId="0" applyFont="1" applyFill="1" applyBorder="1" applyAlignment="1">
      <alignment horizontal="right" vertical="center"/>
    </xf>
    <xf numFmtId="0" fontId="68" fillId="0" borderId="0" xfId="0" applyFont="1" applyFill="1" applyBorder="1" applyAlignment="1">
      <alignment horizontal="left" vertical="center"/>
    </xf>
    <xf numFmtId="1" fontId="0" fillId="0" borderId="0" xfId="0" applyNumberFormat="1" applyFont="1" applyFill="1" applyBorder="1" applyAlignment="1">
      <alignment vertical="center"/>
    </xf>
    <xf numFmtId="0" fontId="23" fillId="0" borderId="0" xfId="6" applyFont="1" applyFill="1" applyBorder="1" applyAlignment="1">
      <alignment horizontal="left" vertical="center"/>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left" vertical="center" wrapText="1"/>
    </xf>
    <xf numFmtId="0" fontId="9" fillId="0" borderId="0" xfId="0" applyFont="1" applyBorder="1" applyAlignment="1">
      <alignment textRotation="90"/>
    </xf>
    <xf numFmtId="0" fontId="9" fillId="0" borderId="1" xfId="0" applyFont="1" applyFill="1" applyBorder="1"/>
    <xf numFmtId="15" fontId="9" fillId="0" borderId="3" xfId="0" applyNumberFormat="1" applyFont="1" applyFill="1" applyBorder="1" applyAlignment="1">
      <alignment horizontal="left" vertical="center"/>
    </xf>
    <xf numFmtId="0" fontId="9" fillId="0" borderId="2" xfId="0" applyFont="1" applyFill="1" applyBorder="1"/>
    <xf numFmtId="0" fontId="9" fillId="0" borderId="5" xfId="0" applyFont="1" applyFill="1" applyBorder="1"/>
    <xf numFmtId="0" fontId="9" fillId="0" borderId="1" xfId="0" applyFont="1" applyFill="1" applyBorder="1" applyAlignment="1">
      <alignment wrapText="1"/>
    </xf>
    <xf numFmtId="0" fontId="9" fillId="0" borderId="3" xfId="0" applyFont="1" applyBorder="1"/>
    <xf numFmtId="0" fontId="9" fillId="0" borderId="1" xfId="0" applyFont="1" applyBorder="1"/>
    <xf numFmtId="0" fontId="9" fillId="0" borderId="2" xfId="0" applyFont="1" applyBorder="1"/>
    <xf numFmtId="0" fontId="45" fillId="0" borderId="16" xfId="6" applyFont="1" applyFill="1" applyBorder="1" applyAlignment="1">
      <alignment horizontal="left" vertical="center"/>
    </xf>
    <xf numFmtId="0" fontId="12" fillId="0" borderId="37" xfId="6" applyFont="1" applyFill="1" applyBorder="1" applyAlignment="1">
      <alignment horizontal="left" vertical="center"/>
    </xf>
    <xf numFmtId="0" fontId="12" fillId="0" borderId="37" xfId="6" applyFont="1" applyFill="1" applyBorder="1" applyAlignment="1">
      <alignment horizontal="right" vertical="center"/>
    </xf>
    <xf numFmtId="2" fontId="12" fillId="0" borderId="37" xfId="6" applyNumberFormat="1" applyFont="1" applyFill="1" applyBorder="1" applyAlignment="1">
      <alignment horizontal="right" vertical="center"/>
    </xf>
    <xf numFmtId="0" fontId="12" fillId="0" borderId="37" xfId="6" applyFont="1" applyFill="1" applyBorder="1" applyAlignment="1">
      <alignment vertical="center"/>
    </xf>
    <xf numFmtId="14" fontId="12" fillId="0" borderId="37" xfId="6" applyNumberFormat="1" applyFont="1" applyFill="1" applyBorder="1" applyAlignment="1">
      <alignment horizontal="right" vertical="center"/>
    </xf>
    <xf numFmtId="1" fontId="12" fillId="0" borderId="37" xfId="6" applyNumberFormat="1" applyFont="1" applyFill="1" applyBorder="1" applyAlignment="1">
      <alignment horizontal="right" vertical="center"/>
    </xf>
    <xf numFmtId="0" fontId="12" fillId="0" borderId="38" xfId="6" applyFont="1" applyFill="1" applyBorder="1" applyAlignment="1">
      <alignment horizontal="left" vertical="center"/>
    </xf>
    <xf numFmtId="0" fontId="56" fillId="0" borderId="38" xfId="6" applyFont="1" applyFill="1" applyBorder="1" applyAlignment="1">
      <alignment horizontal="left" vertical="center"/>
    </xf>
    <xf numFmtId="2" fontId="12" fillId="0" borderId="0" xfId="6" applyNumberFormat="1" applyFont="1" applyFill="1" applyBorder="1" applyAlignment="1">
      <alignment vertical="center"/>
    </xf>
    <xf numFmtId="0" fontId="12" fillId="0" borderId="38" xfId="6" applyFont="1" applyFill="1" applyBorder="1" applyAlignment="1">
      <alignment horizontal="right" vertical="center"/>
    </xf>
    <xf numFmtId="2" fontId="12" fillId="0" borderId="38" xfId="6" applyNumberFormat="1" applyFont="1" applyFill="1" applyBorder="1" applyAlignment="1">
      <alignment horizontal="right" vertical="center"/>
    </xf>
    <xf numFmtId="0" fontId="12" fillId="0" borderId="38" xfId="6" applyFont="1" applyFill="1" applyBorder="1" applyAlignment="1">
      <alignment vertical="center"/>
    </xf>
    <xf numFmtId="14" fontId="12" fillId="0" borderId="38" xfId="6" applyNumberFormat="1" applyFont="1" applyFill="1" applyBorder="1" applyAlignment="1">
      <alignment horizontal="right" vertical="center"/>
    </xf>
    <xf numFmtId="1" fontId="12" fillId="0" borderId="38" xfId="6" applyNumberFormat="1" applyFont="1" applyFill="1" applyBorder="1" applyAlignment="1">
      <alignment horizontal="right" vertical="center"/>
    </xf>
    <xf numFmtId="0" fontId="9" fillId="0" borderId="0" xfId="0" applyFont="1" applyFill="1" applyAlignment="1">
      <alignment horizontal="left"/>
    </xf>
    <xf numFmtId="0" fontId="9" fillId="0" borderId="0" xfId="0" applyFont="1" applyFill="1" applyAlignment="1">
      <alignment horizontal="right"/>
    </xf>
    <xf numFmtId="1" fontId="9" fillId="0" borderId="0" xfId="0" applyNumberFormat="1" applyFont="1" applyFill="1" applyAlignment="1"/>
    <xf numFmtId="2" fontId="9" fillId="0" borderId="0" xfId="0" applyNumberFormat="1" applyFont="1" applyFill="1" applyAlignment="1">
      <alignment horizontal="right"/>
    </xf>
    <xf numFmtId="14" fontId="9" fillId="0" borderId="0" xfId="0" applyNumberFormat="1" applyFont="1" applyFill="1" applyAlignment="1">
      <alignment horizontal="right"/>
    </xf>
    <xf numFmtId="1" fontId="9" fillId="0" borderId="0" xfId="0" applyNumberFormat="1" applyFont="1" applyFill="1" applyAlignment="1">
      <alignment horizontal="right"/>
    </xf>
    <xf numFmtId="0" fontId="9" fillId="0" borderId="0" xfId="0" applyFont="1" applyFill="1" applyAlignment="1">
      <alignment horizontal="left" wrapText="1"/>
    </xf>
    <xf numFmtId="165" fontId="9" fillId="0" borderId="0" xfId="7" applyNumberFormat="1" applyFont="1" applyFill="1" applyAlignment="1"/>
    <xf numFmtId="0" fontId="9" fillId="0" borderId="37" xfId="0" applyFont="1" applyFill="1" applyBorder="1" applyAlignment="1">
      <alignment horizontal="left" wrapText="1"/>
    </xf>
    <xf numFmtId="0" fontId="9" fillId="0" borderId="37" xfId="0" applyFont="1" applyFill="1" applyBorder="1" applyAlignment="1"/>
    <xf numFmtId="165" fontId="9" fillId="0" borderId="37" xfId="7" applyNumberFormat="1" applyFont="1" applyFill="1" applyBorder="1" applyAlignment="1"/>
    <xf numFmtId="0" fontId="9" fillId="0" borderId="22" xfId="0" applyFont="1" applyFill="1" applyBorder="1" applyAlignment="1">
      <alignment horizontal="right"/>
    </xf>
    <xf numFmtId="0" fontId="9" fillId="0" borderId="38" xfId="0" applyFont="1" applyFill="1" applyBorder="1" applyAlignment="1">
      <alignment horizontal="left" wrapText="1"/>
    </xf>
    <xf numFmtId="0" fontId="9" fillId="0" borderId="38" xfId="0" applyFont="1" applyFill="1" applyBorder="1" applyAlignment="1"/>
    <xf numFmtId="165" fontId="9" fillId="0" borderId="38" xfId="7" applyNumberFormat="1" applyFont="1" applyFill="1" applyBorder="1" applyAlignment="1"/>
    <xf numFmtId="0" fontId="9" fillId="0" borderId="15" xfId="0" applyFont="1" applyFill="1" applyBorder="1" applyAlignment="1">
      <alignment horizontal="right"/>
    </xf>
    <xf numFmtId="0" fontId="9" fillId="0" borderId="0" xfId="5"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xf numFmtId="0" fontId="9" fillId="0" borderId="0" xfId="0" applyFont="1" applyFill="1" applyAlignment="1">
      <alignment wrapText="1"/>
    </xf>
    <xf numFmtId="0" fontId="9" fillId="0" borderId="0" xfId="0" applyFont="1" applyFill="1" applyAlignment="1">
      <alignment horizontal="right" wrapText="1"/>
    </xf>
    <xf numFmtId="0" fontId="44" fillId="0" borderId="0" xfId="0" applyFont="1" applyFill="1" applyAlignment="1">
      <alignment horizontal="center" vertical="center"/>
    </xf>
    <xf numFmtId="14" fontId="44" fillId="0" borderId="0" xfId="0" applyNumberFormat="1" applyFont="1" applyFill="1" applyBorder="1" applyAlignment="1">
      <alignment horizontal="center" vertical="center"/>
    </xf>
    <xf numFmtId="0" fontId="21" fillId="0" borderId="0" xfId="0" applyFont="1" applyFill="1"/>
    <xf numFmtId="0" fontId="0" fillId="5" borderId="0" xfId="0" applyFont="1" applyFill="1"/>
    <xf numFmtId="0" fontId="0" fillId="0" borderId="0" xfId="0" applyFont="1" applyBorder="1"/>
    <xf numFmtId="0" fontId="0" fillId="18" borderId="37" xfId="0" applyFont="1" applyFill="1" applyBorder="1"/>
    <xf numFmtId="0" fontId="0" fillId="5" borderId="37" xfId="0" applyFont="1" applyFill="1" applyBorder="1"/>
    <xf numFmtId="0" fontId="0" fillId="0" borderId="0" xfId="0" applyFont="1"/>
    <xf numFmtId="0" fontId="0" fillId="5" borderId="0" xfId="0" applyFont="1" applyFill="1" applyBorder="1"/>
    <xf numFmtId="0" fontId="0" fillId="20" borderId="0" xfId="0" applyFont="1" applyFill="1" applyBorder="1"/>
    <xf numFmtId="0" fontId="0" fillId="18" borderId="1" xfId="0" applyFont="1" applyFill="1" applyBorder="1"/>
    <xf numFmtId="0" fontId="0" fillId="6" borderId="0" xfId="0" applyFont="1" applyFill="1" applyBorder="1"/>
    <xf numFmtId="0" fontId="0" fillId="0" borderId="0" xfId="0" quotePrefix="1" applyFont="1" applyFill="1" applyBorder="1"/>
    <xf numFmtId="0" fontId="0" fillId="6" borderId="45" xfId="0" applyFont="1" applyFill="1" applyBorder="1"/>
    <xf numFmtId="1" fontId="0" fillId="5" borderId="0" xfId="0" applyNumberFormat="1" applyFont="1" applyFill="1"/>
    <xf numFmtId="0" fontId="0" fillId="6" borderId="0" xfId="0" applyFont="1" applyFill="1"/>
    <xf numFmtId="0" fontId="0" fillId="20" borderId="0" xfId="0" applyFont="1" applyFill="1"/>
    <xf numFmtId="0" fontId="0" fillId="18" borderId="3" xfId="0" applyFont="1" applyFill="1" applyBorder="1"/>
    <xf numFmtId="165" fontId="10" fillId="21" borderId="0" xfId="0" applyNumberFormat="1" applyFont="1" applyFill="1" applyBorder="1" applyAlignment="1">
      <alignment horizontal="right" vertical="center"/>
    </xf>
    <xf numFmtId="0" fontId="46" fillId="0" borderId="31" xfId="0" applyFont="1" applyFill="1" applyBorder="1" applyAlignment="1" applyProtection="1">
      <alignment horizontal="center"/>
      <protection locked="0"/>
    </xf>
    <xf numFmtId="0" fontId="46" fillId="0" borderId="32" xfId="0" applyFont="1" applyFill="1" applyBorder="1" applyAlignment="1" applyProtection="1">
      <alignment horizontal="center"/>
      <protection locked="0"/>
    </xf>
    <xf numFmtId="0" fontId="46" fillId="0" borderId="33" xfId="0" applyFont="1" applyFill="1" applyBorder="1" applyAlignment="1" applyProtection="1">
      <alignment horizontal="center"/>
      <protection locked="0"/>
    </xf>
    <xf numFmtId="0" fontId="46" fillId="0" borderId="31" xfId="0" applyFont="1" applyFill="1" applyBorder="1" applyAlignment="1" applyProtection="1">
      <alignment horizontal="center"/>
    </xf>
    <xf numFmtId="0" fontId="46" fillId="0" borderId="32" xfId="0" applyFont="1" applyFill="1" applyBorder="1" applyAlignment="1" applyProtection="1">
      <alignment horizontal="center"/>
    </xf>
    <xf numFmtId="0" fontId="46" fillId="0" borderId="33" xfId="0" applyFont="1" applyFill="1" applyBorder="1" applyAlignment="1" applyProtection="1">
      <alignment horizontal="center"/>
    </xf>
    <xf numFmtId="0" fontId="46" fillId="0" borderId="17" xfId="0" applyFont="1" applyFill="1" applyBorder="1" applyAlignment="1" applyProtection="1">
      <alignment horizontal="center"/>
      <protection locked="0"/>
    </xf>
    <xf numFmtId="0" fontId="46" fillId="0" borderId="1" xfId="0" applyFont="1" applyFill="1" applyBorder="1" applyAlignment="1" applyProtection="1">
      <alignment horizontal="center"/>
      <protection locked="0"/>
    </xf>
    <xf numFmtId="0" fontId="46" fillId="0" borderId="18" xfId="0" applyFont="1" applyFill="1" applyBorder="1" applyAlignment="1" applyProtection="1">
      <alignment horizontal="center"/>
      <protection locked="0"/>
    </xf>
    <xf numFmtId="0" fontId="46" fillId="0" borderId="17" xfId="0" applyFont="1" applyFill="1" applyBorder="1" applyAlignment="1" applyProtection="1">
      <alignment horizontal="center"/>
    </xf>
    <xf numFmtId="0" fontId="46" fillId="0" borderId="1" xfId="0" applyFont="1" applyFill="1" applyBorder="1" applyAlignment="1" applyProtection="1">
      <alignment horizontal="center"/>
    </xf>
    <xf numFmtId="0" fontId="46" fillId="0" borderId="18" xfId="0" applyFont="1" applyFill="1" applyBorder="1" applyAlignment="1" applyProtection="1">
      <alignment horizontal="center"/>
    </xf>
    <xf numFmtId="0" fontId="52" fillId="0" borderId="17" xfId="0" applyFont="1" applyFill="1" applyBorder="1" applyProtection="1">
      <protection locked="0"/>
    </xf>
    <xf numFmtId="0" fontId="52" fillId="0" borderId="1" xfId="0" applyFont="1" applyFill="1" applyBorder="1" applyAlignment="1" applyProtection="1">
      <alignment horizontal="right" vertical="center"/>
      <protection locked="0"/>
    </xf>
    <xf numFmtId="0" fontId="52" fillId="0" borderId="18" xfId="0" applyFont="1" applyFill="1" applyBorder="1" applyAlignment="1" applyProtection="1">
      <alignment horizontal="right" vertical="center"/>
      <protection locked="0"/>
    </xf>
    <xf numFmtId="0" fontId="52" fillId="0" borderId="18" xfId="0" applyFont="1" applyFill="1" applyBorder="1" applyProtection="1">
      <protection locked="0"/>
    </xf>
    <xf numFmtId="0" fontId="52" fillId="0" borderId="17" xfId="0" applyFont="1" applyFill="1" applyBorder="1" applyProtection="1"/>
    <xf numFmtId="0" fontId="52" fillId="0" borderId="17" xfId="0" applyFont="1" applyFill="1" applyBorder="1" applyAlignment="1" applyProtection="1">
      <alignment horizontal="right" vertical="center"/>
      <protection locked="0"/>
    </xf>
    <xf numFmtId="0" fontId="52" fillId="0" borderId="17" xfId="0" applyFont="1" applyFill="1" applyBorder="1" applyAlignment="1" applyProtection="1">
      <alignment horizontal="right"/>
      <protection locked="0"/>
    </xf>
    <xf numFmtId="0" fontId="52" fillId="0" borderId="1" xfId="0" applyFont="1" applyFill="1" applyBorder="1" applyAlignment="1" applyProtection="1">
      <alignment horizontal="right"/>
      <protection locked="0"/>
    </xf>
    <xf numFmtId="0" fontId="52" fillId="0" borderId="18" xfId="0" applyFont="1" applyFill="1" applyBorder="1" applyAlignment="1" applyProtection="1">
      <alignment horizontal="right"/>
      <protection locked="0"/>
    </xf>
    <xf numFmtId="0" fontId="19" fillId="0" borderId="3" xfId="0" applyFont="1" applyFill="1" applyBorder="1" applyProtection="1">
      <protection locked="0"/>
    </xf>
    <xf numFmtId="0" fontId="46" fillId="0" borderId="29" xfId="0" applyFont="1" applyFill="1" applyBorder="1" applyProtection="1">
      <protection locked="0"/>
    </xf>
    <xf numFmtId="0" fontId="46" fillId="0" borderId="19" xfId="0" applyFont="1" applyFill="1" applyBorder="1" applyProtection="1">
      <protection locked="0"/>
    </xf>
    <xf numFmtId="0" fontId="46" fillId="24" borderId="21" xfId="0" applyFont="1" applyFill="1" applyBorder="1" applyAlignment="1" applyProtection="1">
      <alignment horizontal="center"/>
      <protection locked="0"/>
    </xf>
    <xf numFmtId="0" fontId="46" fillId="24" borderId="7" xfId="0" applyFont="1" applyFill="1" applyBorder="1" applyAlignment="1" applyProtection="1">
      <alignment horizontal="center"/>
      <protection locked="0"/>
    </xf>
    <xf numFmtId="0" fontId="46" fillId="24" borderId="59" xfId="0" applyFont="1" applyFill="1" applyBorder="1" applyAlignment="1" applyProtection="1">
      <alignment horizontal="center"/>
      <protection locked="0"/>
    </xf>
    <xf numFmtId="0" fontId="0" fillId="0" borderId="5" xfId="0" quotePrefix="1" applyFont="1" applyFill="1" applyBorder="1" applyAlignment="1">
      <alignment horizontal="center" vertical="center" wrapText="1"/>
    </xf>
    <xf numFmtId="164" fontId="65" fillId="0" borderId="0" xfId="0" applyNumberFormat="1" applyFont="1" applyBorder="1" applyAlignment="1">
      <alignment vertical="center"/>
    </xf>
    <xf numFmtId="0" fontId="3" fillId="0" borderId="37" xfId="0" pivotButton="1" applyFont="1" applyBorder="1" applyAlignment="1">
      <alignment vertical="center"/>
    </xf>
    <xf numFmtId="15" fontId="9" fillId="0" borderId="3" xfId="0" applyNumberFormat="1" applyFont="1" applyBorder="1"/>
    <xf numFmtId="15" fontId="9" fillId="0" borderId="3" xfId="0" applyNumberFormat="1" applyFont="1" applyFill="1" applyBorder="1"/>
    <xf numFmtId="0" fontId="52" fillId="0" borderId="69" xfId="0" applyFont="1" applyBorder="1" applyAlignment="1">
      <alignment horizontal="center" vertical="center" textRotation="90" wrapText="1"/>
    </xf>
    <xf numFmtId="0" fontId="52" fillId="0" borderId="1" xfId="0" applyFont="1" applyBorder="1" applyAlignment="1">
      <alignment horizontal="center" vertical="center" textRotation="90" wrapText="1"/>
    </xf>
    <xf numFmtId="0" fontId="12" fillId="0" borderId="0" xfId="0" applyFont="1" applyFill="1" applyBorder="1" applyAlignment="1">
      <alignment vertical="center"/>
    </xf>
    <xf numFmtId="0" fontId="12" fillId="4" borderId="1" xfId="0" applyFont="1" applyFill="1" applyBorder="1" applyAlignment="1">
      <alignment vertical="center"/>
    </xf>
    <xf numFmtId="0" fontId="9" fillId="0" borderId="1" xfId="0" applyFont="1" applyBorder="1" applyAlignment="1">
      <alignment textRotation="90"/>
    </xf>
    <xf numFmtId="0" fontId="4" fillId="0" borderId="0" xfId="0" applyFont="1" applyFill="1" applyBorder="1" applyAlignment="1">
      <alignment horizontal="left" vertical="center"/>
    </xf>
    <xf numFmtId="0" fontId="71" fillId="0" borderId="0" xfId="0" applyFont="1" applyBorder="1"/>
    <xf numFmtId="0" fontId="71" fillId="0" borderId="0" xfId="0" applyFont="1" applyFill="1" applyBorder="1"/>
    <xf numFmtId="1" fontId="21" fillId="25"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71" fillId="0" borderId="0" xfId="0" applyFont="1" applyBorder="1" applyAlignment="1">
      <alignment horizontal="center"/>
    </xf>
    <xf numFmtId="0" fontId="0" fillId="5" borderId="10" xfId="0" applyFill="1" applyBorder="1" applyAlignment="1">
      <alignment horizontal="left"/>
    </xf>
    <xf numFmtId="0" fontId="0" fillId="5" borderId="39" xfId="0" applyFill="1" applyBorder="1" applyAlignment="1">
      <alignment horizontal="left"/>
    </xf>
    <xf numFmtId="49" fontId="9" fillId="3" borderId="0" xfId="0" applyNumberFormat="1" applyFont="1" applyFill="1" applyBorder="1" applyAlignment="1">
      <alignment vertical="center"/>
    </xf>
    <xf numFmtId="14" fontId="9" fillId="0" borderId="0" xfId="0" applyNumberFormat="1" applyFont="1" applyFill="1" applyBorder="1" applyAlignment="1" applyProtection="1">
      <alignment horizontal="right" vertical="center"/>
    </xf>
    <xf numFmtId="0" fontId="71" fillId="0" borderId="0" xfId="0" applyNumberFormat="1" applyFont="1" applyBorder="1"/>
    <xf numFmtId="0" fontId="73" fillId="0" borderId="0" xfId="0" applyFont="1" applyFill="1" applyBorder="1" applyAlignment="1">
      <alignment vertical="center"/>
    </xf>
    <xf numFmtId="1" fontId="73" fillId="0" borderId="0" xfId="0" applyNumberFormat="1" applyFont="1" applyFill="1" applyBorder="1" applyAlignment="1">
      <alignment horizontal="center" vertical="center"/>
    </xf>
    <xf numFmtId="0" fontId="73" fillId="0" borderId="0" xfId="0" applyNumberFormat="1" applyFont="1" applyFill="1" applyBorder="1" applyAlignment="1">
      <alignment horizontal="center" vertical="center"/>
    </xf>
    <xf numFmtId="0" fontId="73" fillId="0" borderId="0" xfId="0" applyNumberFormat="1" applyFont="1" applyFill="1" applyBorder="1" applyAlignment="1">
      <alignment horizontal="right" vertical="center"/>
    </xf>
    <xf numFmtId="1" fontId="73" fillId="0" borderId="0" xfId="0" applyNumberFormat="1" applyFont="1" applyFill="1" applyBorder="1" applyAlignment="1">
      <alignment horizontal="right" vertical="center"/>
    </xf>
    <xf numFmtId="0" fontId="73" fillId="0" borderId="0" xfId="0" applyFont="1" applyFill="1" applyBorder="1" applyAlignment="1">
      <alignment horizontal="left" vertical="center" wrapText="1"/>
    </xf>
    <xf numFmtId="0" fontId="9" fillId="0" borderId="7" xfId="0" applyFont="1" applyFill="1" applyBorder="1"/>
    <xf numFmtId="0" fontId="0" fillId="5" borderId="13" xfId="0" applyFill="1" applyBorder="1" applyAlignment="1">
      <alignment horizontal="left"/>
    </xf>
    <xf numFmtId="0" fontId="50" fillId="0" borderId="0" xfId="0" applyFont="1" applyFill="1" applyBorder="1" applyAlignment="1" applyProtection="1">
      <alignment horizontal="left" vertical="center"/>
      <protection locked="0"/>
    </xf>
    <xf numFmtId="0" fontId="52" fillId="0" borderId="8" xfId="0" applyFont="1" applyFill="1" applyBorder="1" applyProtection="1"/>
    <xf numFmtId="0" fontId="53" fillId="17" borderId="8" xfId="0" applyFont="1" applyFill="1" applyBorder="1" applyProtection="1"/>
    <xf numFmtId="0" fontId="52" fillId="0" borderId="14" xfId="0" applyFont="1" applyFill="1" applyBorder="1" applyAlignment="1" applyProtection="1">
      <alignment horizontal="center" vertical="center"/>
      <protection locked="0"/>
    </xf>
    <xf numFmtId="0" fontId="9" fillId="2" borderId="0" xfId="0" applyFont="1" applyFill="1"/>
    <xf numFmtId="0" fontId="9" fillId="2" borderId="0" xfId="0" applyFont="1" applyFill="1" applyBorder="1"/>
    <xf numFmtId="0" fontId="72" fillId="0" borderId="0" xfId="17" applyFont="1" applyFill="1" applyBorder="1" applyAlignment="1">
      <alignment vertical="center"/>
    </xf>
    <xf numFmtId="49" fontId="9" fillId="0" borderId="73" xfId="0" applyNumberFormat="1" applyFont="1" applyFill="1" applyBorder="1" applyAlignment="1">
      <alignment horizontal="left" vertical="center"/>
    </xf>
    <xf numFmtId="0" fontId="72" fillId="0" borderId="0" xfId="19" applyFont="1" applyFill="1" applyBorder="1" applyAlignment="1">
      <alignment vertical="center"/>
    </xf>
    <xf numFmtId="49" fontId="9" fillId="0" borderId="73" xfId="0" applyNumberFormat="1" applyFont="1" applyFill="1" applyBorder="1" applyAlignment="1">
      <alignment horizontal="left" vertical="center" wrapText="1"/>
    </xf>
    <xf numFmtId="0" fontId="9" fillId="0" borderId="73" xfId="0" applyNumberFormat="1" applyFont="1" applyFill="1" applyBorder="1" applyAlignment="1">
      <alignment horizontal="left" vertical="center"/>
    </xf>
    <xf numFmtId="0" fontId="9" fillId="0" borderId="73" xfId="0" applyFont="1" applyFill="1" applyBorder="1" applyAlignment="1">
      <alignment horizontal="left" vertical="center"/>
    </xf>
    <xf numFmtId="0" fontId="72" fillId="0" borderId="0" xfId="13" applyFont="1" applyFill="1" applyBorder="1" applyAlignment="1">
      <alignment horizontal="right"/>
    </xf>
    <xf numFmtId="0" fontId="50" fillId="0" borderId="0" xfId="0" applyFont="1" applyFill="1" applyBorder="1" applyAlignment="1" applyProtection="1">
      <alignment horizontal="left" vertical="center"/>
      <protection locked="0"/>
    </xf>
    <xf numFmtId="0" fontId="46" fillId="0" borderId="77" xfId="0" applyFont="1" applyFill="1" applyBorder="1" applyAlignment="1" applyProtection="1">
      <alignment horizontal="center"/>
      <protection locked="0"/>
    </xf>
    <xf numFmtId="0" fontId="46" fillId="0" borderId="3" xfId="0" applyFont="1" applyFill="1" applyBorder="1" applyAlignment="1" applyProtection="1">
      <alignment horizontal="center"/>
      <protection locked="0"/>
    </xf>
    <xf numFmtId="0" fontId="52" fillId="0" borderId="3" xfId="0" applyFont="1" applyFill="1" applyBorder="1" applyProtection="1">
      <protection locked="0"/>
    </xf>
    <xf numFmtId="0" fontId="46" fillId="0" borderId="57" xfId="0" applyFont="1" applyFill="1" applyBorder="1" applyAlignment="1" applyProtection="1">
      <alignment horizontal="center"/>
      <protection locked="0"/>
    </xf>
    <xf numFmtId="0" fontId="46" fillId="0" borderId="2" xfId="0" applyFont="1" applyFill="1" applyBorder="1" applyAlignment="1" applyProtection="1">
      <alignment horizontal="center"/>
      <protection locked="0"/>
    </xf>
    <xf numFmtId="0" fontId="52" fillId="0" borderId="2" xfId="0" applyFont="1" applyFill="1" applyBorder="1" applyProtection="1">
      <protection locked="0"/>
    </xf>
    <xf numFmtId="49" fontId="9" fillId="0" borderId="0" xfId="6" applyNumberFormat="1" applyFont="1" applyFill="1" applyBorder="1" applyAlignment="1">
      <alignment horizontal="left" vertical="center"/>
    </xf>
    <xf numFmtId="0" fontId="0" fillId="0" borderId="0" xfId="0" applyAlignment="1">
      <alignment horizontal="left" indent="1"/>
    </xf>
    <xf numFmtId="165" fontId="0" fillId="18" borderId="34" xfId="0" applyNumberFormat="1" applyFill="1" applyBorder="1"/>
    <xf numFmtId="49" fontId="9" fillId="22" borderId="44" xfId="0" applyNumberFormat="1" applyFont="1" applyFill="1" applyBorder="1" applyAlignment="1">
      <alignment vertical="center"/>
    </xf>
    <xf numFmtId="165" fontId="9" fillId="0" borderId="0" xfId="7" quotePrefix="1" applyNumberFormat="1" applyFont="1" applyFill="1" applyBorder="1" applyAlignment="1">
      <alignment vertical="center"/>
    </xf>
    <xf numFmtId="0" fontId="52" fillId="0" borderId="0" xfId="0" applyFont="1" applyFill="1" applyBorder="1" applyAlignment="1">
      <alignment vertical="center"/>
    </xf>
    <xf numFmtId="3" fontId="12" fillId="0" borderId="0" xfId="18" applyNumberFormat="1" applyFont="1" applyFill="1" applyBorder="1" applyAlignment="1">
      <alignment horizontal="center" vertical="center"/>
    </xf>
    <xf numFmtId="0" fontId="9" fillId="0" borderId="0" xfId="18" applyFont="1" applyFill="1" applyBorder="1" applyAlignment="1">
      <alignment horizontal="left" vertical="center"/>
    </xf>
    <xf numFmtId="0" fontId="12" fillId="0" borderId="0" xfId="18" applyFont="1" applyFill="1" applyBorder="1" applyAlignment="1">
      <alignment horizontal="center" vertical="center"/>
    </xf>
    <xf numFmtId="165" fontId="9" fillId="0" borderId="0" xfId="18" applyNumberFormat="1" applyFont="1" applyFill="1" applyBorder="1" applyAlignment="1">
      <alignment horizontal="left" vertical="center"/>
    </xf>
    <xf numFmtId="0" fontId="12" fillId="0" borderId="0" xfId="0" applyFont="1" applyAlignment="1">
      <alignment vertical="center"/>
    </xf>
    <xf numFmtId="0" fontId="5" fillId="0" borderId="44" xfId="0" applyFont="1" applyFill="1" applyBorder="1" applyAlignment="1">
      <alignment horizontal="center" vertical="center"/>
    </xf>
    <xf numFmtId="165" fontId="0" fillId="20" borderId="38" xfId="0" applyNumberFormat="1" applyFill="1" applyBorder="1"/>
    <xf numFmtId="0" fontId="34" fillId="0" borderId="0" xfId="0" applyFont="1" applyAlignment="1">
      <alignment wrapText="1"/>
    </xf>
    <xf numFmtId="10" fontId="0" fillId="0" borderId="0" xfId="0" applyNumberFormat="1"/>
    <xf numFmtId="0" fontId="74" fillId="0" borderId="0" xfId="0" applyFont="1" applyAlignment="1"/>
    <xf numFmtId="0" fontId="74" fillId="0" borderId="0" xfId="0" applyFont="1" applyAlignment="1">
      <alignment vertical="center"/>
    </xf>
    <xf numFmtId="9" fontId="9" fillId="0" borderId="0" xfId="8" applyFont="1" applyFill="1" applyAlignment="1"/>
    <xf numFmtId="0" fontId="0" fillId="0" borderId="0" xfId="0" pivotButton="1" applyAlignment="1">
      <alignment vertical="center"/>
    </xf>
    <xf numFmtId="166" fontId="45" fillId="6" borderId="0" xfId="6" applyNumberFormat="1" applyFont="1" applyFill="1" applyBorder="1" applyAlignment="1">
      <alignment vertical="center"/>
    </xf>
    <xf numFmtId="0" fontId="0" fillId="0" borderId="0" xfId="0" applyNumberFormat="1" applyAlignment="1">
      <alignment vertical="center"/>
    </xf>
    <xf numFmtId="0" fontId="0" fillId="0" borderId="0" xfId="0" pivotButton="1" applyAlignment="1">
      <alignment horizontal="center" vertical="center"/>
    </xf>
    <xf numFmtId="166" fontId="45" fillId="6" borderId="0" xfId="6" applyNumberFormat="1" applyFont="1" applyFill="1" applyBorder="1" applyAlignment="1">
      <alignment horizontal="left" vertical="center"/>
    </xf>
    <xf numFmtId="0" fontId="75" fillId="0" borderId="17" xfId="0" applyFont="1" applyFill="1" applyBorder="1" applyProtection="1">
      <protection locked="0"/>
    </xf>
    <xf numFmtId="9" fontId="52" fillId="0" borderId="3" xfId="0" applyNumberFormat="1" applyFont="1" applyFill="1" applyBorder="1" applyProtection="1">
      <protection locked="0"/>
    </xf>
    <xf numFmtId="9" fontId="52" fillId="0" borderId="1" xfId="0" applyNumberFormat="1" applyFont="1" applyFill="1" applyBorder="1" applyProtection="1">
      <protection locked="0"/>
    </xf>
    <xf numFmtId="0" fontId="9" fillId="0" borderId="0" xfId="11" applyFont="1" applyFill="1" applyAlignment="1">
      <alignment horizontal="left" vertical="center" wrapText="1"/>
    </xf>
    <xf numFmtId="14" fontId="9" fillId="0" borderId="0" xfId="0" applyNumberFormat="1" applyFont="1" applyFill="1" applyBorder="1" applyAlignment="1">
      <alignment horizontal="right" vertical="center"/>
    </xf>
    <xf numFmtId="49" fontId="9" fillId="0" borderId="44" xfId="0" applyNumberFormat="1" applyFont="1" applyFill="1" applyBorder="1" applyAlignment="1">
      <alignment horizontal="left" vertical="center"/>
    </xf>
    <xf numFmtId="0" fontId="52" fillId="0" borderId="5" xfId="0" applyFont="1" applyFill="1" applyBorder="1" applyProtection="1">
      <protection locked="0"/>
    </xf>
    <xf numFmtId="0" fontId="52" fillId="0" borderId="3" xfId="0" applyFont="1" applyFill="1" applyBorder="1" applyProtection="1"/>
    <xf numFmtId="0" fontId="19" fillId="0" borderId="1" xfId="0" applyFont="1" applyFill="1" applyBorder="1" applyAlignment="1">
      <alignment vertical="center"/>
    </xf>
    <xf numFmtId="0" fontId="19" fillId="0" borderId="2" xfId="0" applyFont="1" applyFill="1" applyBorder="1" applyAlignment="1">
      <alignment vertical="center"/>
    </xf>
    <xf numFmtId="0" fontId="19" fillId="0" borderId="5" xfId="0" applyFont="1" applyFill="1" applyBorder="1" applyProtection="1">
      <protection locked="0"/>
    </xf>
    <xf numFmtId="0" fontId="19" fillId="0" borderId="8" xfId="0" applyFont="1" applyFill="1" applyBorder="1" applyProtection="1">
      <protection locked="0"/>
    </xf>
    <xf numFmtId="0" fontId="19" fillId="0" borderId="6" xfId="0" applyFont="1" applyFill="1" applyBorder="1" applyProtection="1">
      <protection locked="0"/>
    </xf>
    <xf numFmtId="0" fontId="19" fillId="0" borderId="6" xfId="0" applyFont="1" applyFill="1" applyBorder="1" applyAlignment="1">
      <alignment vertical="center"/>
    </xf>
    <xf numFmtId="0" fontId="2" fillId="0" borderId="0" xfId="0" applyFont="1" applyFill="1" applyBorder="1" applyAlignment="1">
      <alignment horizontal="right" vertical="center"/>
    </xf>
    <xf numFmtId="0" fontId="72" fillId="0" borderId="73" xfId="13" applyFont="1" applyFill="1" applyBorder="1" applyAlignment="1"/>
    <xf numFmtId="0" fontId="75" fillId="0" borderId="17" xfId="0" applyFont="1" applyFill="1" applyBorder="1" applyAlignment="1" applyProtection="1">
      <alignment horizontal="right" vertical="center"/>
      <protection locked="0"/>
    </xf>
    <xf numFmtId="0" fontId="75" fillId="0" borderId="1" xfId="0" applyFont="1" applyFill="1" applyBorder="1" applyAlignment="1" applyProtection="1">
      <alignment horizontal="right" vertical="center"/>
      <protection locked="0"/>
    </xf>
    <xf numFmtId="0" fontId="75" fillId="0" borderId="1" xfId="0" applyFont="1" applyFill="1" applyBorder="1" applyProtection="1">
      <protection locked="0"/>
    </xf>
    <xf numFmtId="0" fontId="19" fillId="0" borderId="17" xfId="0" applyFont="1" applyFill="1" applyBorder="1" applyAlignment="1" applyProtection="1">
      <alignment horizontal="right" vertical="center"/>
      <protection locked="0"/>
    </xf>
    <xf numFmtId="0" fontId="19" fillId="0" borderId="1" xfId="0" applyFont="1" applyFill="1" applyBorder="1" applyAlignment="1" applyProtection="1">
      <alignment horizontal="right" vertical="center"/>
      <protection locked="0"/>
    </xf>
    <xf numFmtId="0" fontId="46" fillId="0" borderId="17" xfId="0" applyFont="1" applyFill="1" applyBorder="1" applyAlignment="1" applyProtection="1">
      <alignment horizontal="right" vertical="center"/>
      <protection locked="0"/>
    </xf>
    <xf numFmtId="0" fontId="46" fillId="0" borderId="1" xfId="0" applyFont="1" applyFill="1" applyBorder="1" applyAlignment="1" applyProtection="1">
      <alignment horizontal="right" vertical="center"/>
      <protection locked="0"/>
    </xf>
    <xf numFmtId="0" fontId="46" fillId="0" borderId="18" xfId="0" applyFont="1" applyFill="1" applyBorder="1" applyAlignment="1" applyProtection="1">
      <alignment horizontal="right" vertical="center"/>
      <protection locked="0"/>
    </xf>
    <xf numFmtId="0" fontId="19" fillId="0" borderId="1" xfId="0" applyFont="1" applyFill="1" applyBorder="1" applyProtection="1"/>
    <xf numFmtId="0" fontId="77" fillId="0" borderId="0" xfId="20" applyFill="1" applyAlignment="1">
      <alignment horizontal="right" vertical="center"/>
    </xf>
    <xf numFmtId="166" fontId="12" fillId="0" borderId="20" xfId="6" applyNumberFormat="1" applyFont="1" applyFill="1" applyBorder="1" applyAlignment="1">
      <alignment horizontal="left" vertical="center"/>
    </xf>
    <xf numFmtId="166" fontId="12" fillId="0" borderId="38" xfId="6" applyNumberFormat="1" applyFont="1" applyFill="1" applyBorder="1" applyAlignment="1">
      <alignment horizontal="left" vertical="center"/>
    </xf>
    <xf numFmtId="0" fontId="10" fillId="0" borderId="37" xfId="6" applyFont="1" applyFill="1" applyBorder="1" applyAlignment="1">
      <alignment horizontal="right" vertical="top"/>
    </xf>
    <xf numFmtId="0" fontId="10" fillId="0" borderId="38" xfId="6" applyFont="1" applyFill="1" applyBorder="1" applyAlignment="1">
      <alignment horizontal="right" vertical="top"/>
    </xf>
    <xf numFmtId="0" fontId="38" fillId="5" borderId="37" xfId="6" applyFont="1" applyFill="1" applyBorder="1" applyAlignment="1">
      <alignment horizontal="left"/>
    </xf>
    <xf numFmtId="0" fontId="34" fillId="0" borderId="0" xfId="0" applyFont="1" applyAlignment="1">
      <alignment horizontal="left" wrapText="1"/>
    </xf>
    <xf numFmtId="0" fontId="45" fillId="0" borderId="37" xfId="6" applyFont="1" applyFill="1" applyBorder="1" applyAlignment="1">
      <alignment horizontal="center"/>
    </xf>
    <xf numFmtId="0" fontId="57" fillId="5" borderId="0" xfId="6" applyFont="1" applyFill="1" applyBorder="1" applyAlignment="1">
      <alignment horizontal="left" vertical="center"/>
    </xf>
    <xf numFmtId="0" fontId="7" fillId="6" borderId="0" xfId="0" applyFont="1" applyFill="1" applyBorder="1" applyAlignment="1">
      <alignment horizontal="right"/>
    </xf>
    <xf numFmtId="3" fontId="7" fillId="6" borderId="0" xfId="0" applyNumberFormat="1" applyFont="1" applyFill="1" applyBorder="1" applyAlignment="1">
      <alignment horizontal="right"/>
    </xf>
    <xf numFmtId="3" fontId="7" fillId="6" borderId="45" xfId="0" applyNumberFormat="1" applyFont="1" applyFill="1" applyBorder="1" applyAlignment="1">
      <alignment horizontal="right"/>
    </xf>
    <xf numFmtId="0" fontId="57" fillId="6" borderId="0" xfId="6" applyFont="1" applyFill="1" applyBorder="1" applyAlignment="1">
      <alignment horizontal="left" vertical="center"/>
    </xf>
    <xf numFmtId="0" fontId="57" fillId="6" borderId="45" xfId="6" applyFont="1" applyFill="1" applyBorder="1" applyAlignment="1">
      <alignment horizontal="left" vertical="center"/>
    </xf>
    <xf numFmtId="0" fontId="34" fillId="0" borderId="37" xfId="0" applyFont="1" applyFill="1" applyBorder="1" applyAlignment="1">
      <alignment horizontal="right" vertical="center"/>
    </xf>
    <xf numFmtId="0" fontId="23" fillId="18" borderId="0" xfId="6" applyFont="1" applyFill="1" applyBorder="1" applyAlignment="1">
      <alignment horizontal="left" vertical="center"/>
    </xf>
    <xf numFmtId="166" fontId="26" fillId="18" borderId="0" xfId="6" applyNumberFormat="1" applyFont="1" applyFill="1" applyBorder="1" applyAlignment="1">
      <alignment horizontal="left" vertical="center"/>
    </xf>
    <xf numFmtId="0" fontId="10" fillId="21" borderId="49" xfId="0" applyFont="1" applyFill="1" applyBorder="1" applyAlignment="1">
      <alignment horizontal="center" vertical="center" wrapText="1"/>
    </xf>
    <xf numFmtId="0" fontId="10" fillId="21" borderId="0" xfId="0" applyFont="1" applyFill="1" applyBorder="1" applyAlignment="1">
      <alignment horizontal="center" vertical="center"/>
    </xf>
    <xf numFmtId="0" fontId="10" fillId="21" borderId="49" xfId="0" applyFont="1" applyFill="1" applyBorder="1" applyAlignment="1">
      <alignment horizontal="center" vertical="center"/>
    </xf>
    <xf numFmtId="0" fontId="10" fillId="21" borderId="48" xfId="0" applyFont="1" applyFill="1" applyBorder="1" applyAlignment="1">
      <alignment horizontal="center" vertical="center"/>
    </xf>
    <xf numFmtId="166" fontId="45" fillId="6" borderId="20" xfId="6" applyNumberFormat="1" applyFont="1" applyFill="1" applyBorder="1" applyAlignment="1">
      <alignment horizontal="left" vertical="center"/>
    </xf>
    <xf numFmtId="166" fontId="45" fillId="6" borderId="38" xfId="6" applyNumberFormat="1" applyFont="1" applyFill="1" applyBorder="1" applyAlignment="1">
      <alignment horizontal="left" vertical="center"/>
    </xf>
    <xf numFmtId="0" fontId="46" fillId="0" borderId="43" xfId="0" applyFont="1" applyFill="1" applyBorder="1" applyAlignment="1" applyProtection="1">
      <alignment horizontal="center" vertical="center" wrapText="1"/>
    </xf>
    <xf numFmtId="0" fontId="46" fillId="0" borderId="30" xfId="0" applyFont="1" applyFill="1" applyBorder="1" applyAlignment="1" applyProtection="1">
      <alignment horizontal="center" vertical="center" wrapText="1"/>
    </xf>
    <xf numFmtId="0" fontId="46" fillId="0" borderId="54" xfId="0" applyFont="1" applyFill="1" applyBorder="1" applyAlignment="1" applyProtection="1">
      <alignment horizontal="center" vertical="center"/>
    </xf>
    <xf numFmtId="0" fontId="46" fillId="0" borderId="55" xfId="0" applyFont="1" applyFill="1" applyBorder="1" applyAlignment="1" applyProtection="1">
      <alignment horizontal="center" vertical="center"/>
    </xf>
    <xf numFmtId="0" fontId="46" fillId="0" borderId="56" xfId="0" applyFont="1" applyFill="1" applyBorder="1" applyAlignment="1" applyProtection="1">
      <alignment horizontal="center" vertical="center"/>
    </xf>
    <xf numFmtId="0" fontId="50" fillId="0" borderId="0" xfId="0" applyFont="1" applyFill="1" applyBorder="1" applyAlignment="1" applyProtection="1">
      <alignment horizontal="left" vertical="center"/>
      <protection locked="0"/>
    </xf>
    <xf numFmtId="0" fontId="50" fillId="0" borderId="34" xfId="0" applyFont="1" applyFill="1" applyBorder="1" applyAlignment="1" applyProtection="1">
      <alignment horizontal="left" vertical="center"/>
      <protection locked="0"/>
    </xf>
    <xf numFmtId="0" fontId="22" fillId="0" borderId="31" xfId="0" applyNumberFormat="1" applyFont="1" applyFill="1" applyBorder="1" applyAlignment="1" applyProtection="1">
      <alignment horizontal="center" vertical="center"/>
      <protection locked="0"/>
    </xf>
    <xf numFmtId="0" fontId="22" fillId="0" borderId="17" xfId="0" applyNumberFormat="1" applyFont="1" applyFill="1" applyBorder="1" applyAlignment="1" applyProtection="1">
      <alignment horizontal="center" vertical="center"/>
      <protection locked="0"/>
    </xf>
    <xf numFmtId="0" fontId="22" fillId="0" borderId="32" xfId="0" applyNumberFormat="1"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protection locked="0"/>
    </xf>
    <xf numFmtId="0" fontId="19" fillId="0" borderId="57" xfId="0" applyNumberFormat="1" applyFont="1" applyFill="1" applyBorder="1" applyAlignment="1" applyProtection="1">
      <alignment horizontal="center" vertical="center" wrapText="1"/>
      <protection locked="0"/>
    </xf>
    <xf numFmtId="0" fontId="19" fillId="0" borderId="2" xfId="0" applyNumberFormat="1" applyFont="1" applyFill="1" applyBorder="1" applyAlignment="1" applyProtection="1">
      <alignment horizontal="center" vertical="center" wrapText="1"/>
      <protection locked="0"/>
    </xf>
    <xf numFmtId="0" fontId="46" fillId="24" borderId="60" xfId="0" applyFont="1" applyFill="1" applyBorder="1" applyAlignment="1" applyProtection="1">
      <alignment horizontal="center" vertical="center"/>
      <protection locked="0"/>
    </xf>
    <xf numFmtId="0" fontId="46" fillId="24" borderId="61" xfId="0" applyFont="1" applyFill="1" applyBorder="1" applyAlignment="1" applyProtection="1">
      <alignment horizontal="center" vertical="center"/>
      <protection locked="0"/>
    </xf>
    <xf numFmtId="0" fontId="46" fillId="24" borderId="62" xfId="0" applyFont="1" applyFill="1" applyBorder="1" applyAlignment="1" applyProtection="1">
      <alignment horizontal="center" vertical="center"/>
      <protection locked="0"/>
    </xf>
    <xf numFmtId="0" fontId="46" fillId="0" borderId="58" xfId="0" applyFont="1" applyFill="1" applyBorder="1" applyAlignment="1" applyProtection="1">
      <alignment horizontal="center" vertical="center"/>
      <protection locked="0"/>
    </xf>
    <xf numFmtId="0" fontId="46" fillId="0" borderId="55" xfId="0" applyFont="1" applyFill="1" applyBorder="1" applyAlignment="1" applyProtection="1">
      <alignment horizontal="center" vertical="center"/>
      <protection locked="0"/>
    </xf>
    <xf numFmtId="0" fontId="46" fillId="0" borderId="56" xfId="0" applyFont="1" applyFill="1" applyBorder="1" applyAlignment="1" applyProtection="1">
      <alignment horizontal="center" vertical="center"/>
      <protection locked="0"/>
    </xf>
    <xf numFmtId="0" fontId="46" fillId="0" borderId="69" xfId="0" applyFont="1" applyFill="1" applyBorder="1" applyAlignment="1" applyProtection="1">
      <alignment horizontal="center" vertical="center"/>
      <protection locked="0"/>
    </xf>
    <xf numFmtId="0" fontId="38" fillId="18" borderId="16" xfId="6" applyFont="1" applyFill="1" applyBorder="1" applyAlignment="1">
      <alignment horizontal="left" vertical="center"/>
    </xf>
    <xf numFmtId="0" fontId="38" fillId="18" borderId="37" xfId="6" applyFont="1" applyFill="1" applyBorder="1" applyAlignment="1">
      <alignment horizontal="left" vertical="center"/>
    </xf>
    <xf numFmtId="0" fontId="0" fillId="0" borderId="0" xfId="0" applyBorder="1" applyAlignment="1">
      <alignment horizontal="center" vertical="center"/>
    </xf>
    <xf numFmtId="0" fontId="61" fillId="0" borderId="31" xfId="0" applyFont="1" applyFill="1" applyBorder="1" applyAlignment="1">
      <alignment horizontal="center" vertical="center"/>
    </xf>
    <xf numFmtId="0" fontId="61" fillId="0" borderId="32" xfId="0" applyFont="1" applyFill="1" applyBorder="1" applyAlignment="1">
      <alignment horizontal="center" vertical="center"/>
    </xf>
    <xf numFmtId="0" fontId="61" fillId="0" borderId="33" xfId="0" applyFont="1" applyFill="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8" xfId="0" applyBorder="1" applyAlignment="1">
      <alignment horizontal="center" vertical="center"/>
    </xf>
    <xf numFmtId="0" fontId="0" fillId="0" borderId="72" xfId="0" applyBorder="1" applyAlignment="1">
      <alignment horizontal="center" vertical="center"/>
    </xf>
    <xf numFmtId="166" fontId="26" fillId="18" borderId="20" xfId="6" applyNumberFormat="1" applyFont="1" applyFill="1" applyBorder="1" applyAlignment="1">
      <alignment horizontal="left" vertical="center"/>
    </xf>
    <xf numFmtId="166" fontId="26" fillId="18" borderId="38" xfId="6" applyNumberFormat="1"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8" fillId="0" borderId="0" xfId="0" applyFont="1" applyFill="1" applyBorder="1" applyAlignment="1" applyProtection="1">
      <alignment horizontal="left" vertical="center"/>
      <protection locked="0"/>
    </xf>
    <xf numFmtId="0" fontId="38" fillId="0" borderId="34" xfId="0" applyFont="1" applyFill="1" applyBorder="1" applyAlignment="1" applyProtection="1">
      <alignment horizontal="left" vertical="center"/>
      <protection locked="0"/>
    </xf>
    <xf numFmtId="0" fontId="12" fillId="4" borderId="10" xfId="0" applyFont="1" applyFill="1" applyBorder="1" applyAlignment="1">
      <alignment horizontal="center" vertical="center" textRotation="90"/>
    </xf>
    <xf numFmtId="0" fontId="12" fillId="4" borderId="13" xfId="0" applyFont="1" applyFill="1" applyBorder="1" applyAlignment="1">
      <alignment horizontal="center" vertical="center" textRotation="90"/>
    </xf>
    <xf numFmtId="0" fontId="3" fillId="4" borderId="75" xfId="0" applyFont="1" applyFill="1" applyBorder="1" applyAlignment="1">
      <alignment horizontal="center" vertical="center"/>
    </xf>
    <xf numFmtId="0" fontId="3" fillId="4" borderId="76" xfId="0" applyFont="1" applyFill="1" applyBorder="1" applyAlignment="1">
      <alignment horizontal="center" vertical="center"/>
    </xf>
    <xf numFmtId="0" fontId="12" fillId="4" borderId="52" xfId="0" applyFont="1" applyFill="1" applyBorder="1" applyAlignment="1">
      <alignment horizontal="center" vertical="center" textRotation="90" wrapText="1"/>
    </xf>
    <xf numFmtId="0" fontId="12" fillId="4" borderId="74" xfId="0" applyFont="1" applyFill="1" applyBorder="1" applyAlignment="1">
      <alignment horizontal="center" vertical="center" textRotation="90" wrapText="1"/>
    </xf>
    <xf numFmtId="0" fontId="12" fillId="4" borderId="51" xfId="0" applyFont="1" applyFill="1" applyBorder="1" applyAlignment="1">
      <alignment horizontal="center" vertical="center" textRotation="90"/>
    </xf>
    <xf numFmtId="0" fontId="12" fillId="4" borderId="53" xfId="0" applyFont="1" applyFill="1" applyBorder="1" applyAlignment="1">
      <alignment horizontal="center" vertical="center" textRotation="90"/>
    </xf>
    <xf numFmtId="0" fontId="12" fillId="4" borderId="52" xfId="0" applyFont="1" applyFill="1" applyBorder="1" applyAlignment="1">
      <alignment horizontal="center" vertical="center" textRotation="90"/>
    </xf>
    <xf numFmtId="0" fontId="12" fillId="4" borderId="0" xfId="0" applyFont="1" applyFill="1" applyBorder="1" applyAlignment="1">
      <alignment horizontal="center" vertical="center" textRotation="90"/>
    </xf>
    <xf numFmtId="0" fontId="12" fillId="4" borderId="11"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52" xfId="0" applyFont="1" applyFill="1" applyBorder="1" applyAlignment="1">
      <alignment horizontal="center" vertical="center"/>
    </xf>
    <xf numFmtId="0" fontId="23" fillId="0" borderId="0" xfId="6" applyFont="1" applyFill="1" applyBorder="1" applyAlignment="1">
      <alignment horizontal="left" vertical="center"/>
    </xf>
    <xf numFmtId="0" fontId="18" fillId="0" borderId="0" xfId="6" applyFont="1" applyFill="1" applyBorder="1" applyAlignment="1">
      <alignment horizontal="left" vertical="center"/>
    </xf>
    <xf numFmtId="166" fontId="26" fillId="0" borderId="0" xfId="6" applyNumberFormat="1" applyFont="1" applyFill="1" applyBorder="1" applyAlignment="1">
      <alignment horizontal="left" vertical="center"/>
    </xf>
    <xf numFmtId="166" fontId="18" fillId="18" borderId="0" xfId="6" applyNumberFormat="1" applyFont="1" applyFill="1" applyBorder="1" applyAlignment="1">
      <alignment horizontal="left" wrapText="1"/>
    </xf>
    <xf numFmtId="0" fontId="41" fillId="0" borderId="0" xfId="0" applyFont="1" applyFill="1" applyBorder="1" applyAlignment="1">
      <alignment horizontal="left" wrapText="1"/>
    </xf>
    <xf numFmtId="0" fontId="42" fillId="0" borderId="0" xfId="0" applyFont="1" applyFill="1" applyBorder="1" applyAlignment="1">
      <alignment horizontal="left" vertical="center"/>
    </xf>
    <xf numFmtId="165" fontId="42" fillId="0" borderId="0" xfId="9" applyNumberFormat="1" applyFont="1" applyFill="1" applyBorder="1" applyAlignment="1">
      <alignment horizontal="center" vertical="center"/>
    </xf>
    <xf numFmtId="9" fontId="43" fillId="0" borderId="0" xfId="8" applyFont="1" applyFill="1" applyBorder="1" applyAlignment="1">
      <alignment horizontal="right" vertical="center"/>
    </xf>
    <xf numFmtId="9" fontId="43" fillId="0" borderId="0" xfId="8" applyFont="1" applyFill="1" applyBorder="1" applyAlignment="1">
      <alignment horizontal="center" vertical="center"/>
    </xf>
    <xf numFmtId="165" fontId="43" fillId="0" borderId="0" xfId="9" applyNumberFormat="1" applyFont="1" applyFill="1" applyBorder="1" applyAlignment="1">
      <alignment horizontal="center" vertical="center"/>
    </xf>
  </cellXfs>
  <cellStyles count="21">
    <cellStyle name="Calculation" xfId="18" builtinId="22"/>
    <cellStyle name="Comma" xfId="7" builtinId="3"/>
    <cellStyle name="Comma 2" xfId="1"/>
    <cellStyle name="Comma 3" xfId="14"/>
    <cellStyle name="Comma 4" xfId="15"/>
    <cellStyle name="Comma 4 10" xfId="9"/>
    <cellStyle name="Hyperlink" xfId="6" builtinId="8"/>
    <cellStyle name="Neutral" xfId="20" builtinId="28"/>
    <cellStyle name="Normal" xfId="0" builtinId="0"/>
    <cellStyle name="Normal 2" xfId="2"/>
    <cellStyle name="Normal 2 2" xfId="3"/>
    <cellStyle name="Normal 4" xfId="4"/>
    <cellStyle name="Normal 5" xfId="10"/>
    <cellStyle name="Normal 6" xfId="12"/>
    <cellStyle name="Normal_6_Village Tracts" xfId="16"/>
    <cellStyle name="Normal_Sheet1" xfId="13"/>
    <cellStyle name="Normal_Sheet1_1" xfId="17"/>
    <cellStyle name="Normal_Sheet11" xfId="5"/>
    <cellStyle name="Normal_Sheet3_1" xfId="11"/>
    <cellStyle name="Normal_Towns" xfId="19"/>
    <cellStyle name="Percent" xfId="8" builtinId="5"/>
  </cellStyles>
  <dxfs count="1282">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border>
        <bottom style="medium">
          <color auto="1"/>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ill>
        <patternFill>
          <bgColor auto="1"/>
        </patternFill>
      </fill>
    </dxf>
    <dxf>
      <border>
        <left/>
        <right/>
        <top/>
        <bottom/>
        <horizontal/>
      </border>
    </dxf>
    <dxf>
      <border>
        <left/>
        <right/>
        <top/>
        <bottom/>
        <horizontal/>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ill>
        <patternFill patternType="solid">
          <bgColor rgb="FFFFC800"/>
        </patternFill>
      </fill>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font>
        <b/>
      </font>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65" formatCode="_-* #,##0_-;\-* #,##0_-;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right/>
        <top/>
        <bottom/>
        <horizontal/>
      </border>
    </dxf>
    <dxf>
      <border>
        <left/>
        <right/>
        <top/>
        <bottom/>
        <horizontal/>
      </border>
    </dxf>
    <dxf>
      <fill>
        <patternFill>
          <bgColor auto="1"/>
        </patternFill>
      </fill>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auto="1"/>
        </bottom>
      </border>
    </dxf>
    <dxf>
      <font>
        <color theme="4"/>
      </font>
    </dxf>
    <dxf>
      <font>
        <color theme="4"/>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trike val="0"/>
        <outline val="0"/>
        <shadow val="0"/>
        <u val="none"/>
        <vertAlign val="baseline"/>
        <sz val="11"/>
        <color auto="1"/>
        <name val="Calibri"/>
        <scheme val="minor"/>
      </font>
      <fill>
        <patternFill patternType="none">
          <fgColor indexed="64"/>
          <bgColor auto="1"/>
        </patternFill>
      </fill>
      <alignment vertical="center"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numFmt numFmtId="169" formatCode="dd\-mmm\-yyyy"/>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69" formatCode="dd\-mmm\-yyyy"/>
      <fill>
        <patternFill patternType="none">
          <fgColor indexed="64"/>
          <bgColor auto="1"/>
        </patternFill>
      </fill>
      <alignment vertical="center"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ont>
        <strike val="0"/>
        <outline val="0"/>
        <shadow val="0"/>
        <u val="none"/>
        <vertAlign val="baseline"/>
        <sz val="1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ont>
        <strike val="0"/>
        <outline val="0"/>
        <shadow val="0"/>
        <u val="none"/>
        <vertAlign val="baseline"/>
        <color auto="1"/>
        <name val="Calibri"/>
        <scheme val="minor"/>
      </font>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outline="0">
        <left style="thin">
          <color indexed="64"/>
        </left>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numFmt numFmtId="175" formatCode="d\-mmm\-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Calibri"/>
        <scheme val="minor"/>
      </font>
    </dxf>
    <dxf>
      <border outline="0">
        <bottom style="thin">
          <color indexed="64"/>
        </bottom>
      </border>
    </dxf>
    <dxf>
      <font>
        <strike val="0"/>
        <outline val="0"/>
        <shadow val="0"/>
        <u val="none"/>
        <vertAlign val="baseline"/>
        <color auto="1"/>
        <name val="Calibri"/>
        <scheme val="minor"/>
      </font>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0"/>
        <color theme="1"/>
        <name val="Calibri"/>
        <scheme val="minor"/>
      </font>
      <numFmt numFmtId="13" formatCode="0%"/>
    </dxf>
    <dxf>
      <font>
        <b val="0"/>
        <i val="0"/>
        <strike val="0"/>
        <condense val="0"/>
        <extend val="0"/>
        <outline val="0"/>
        <shadow val="0"/>
        <u val="none"/>
        <vertAlign val="baseline"/>
        <sz val="10"/>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alignment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vertical="center" textRotation="0" indent="0" justifyLastLine="0" shrinkToFit="0" readingOrder="0"/>
    </dxf>
    <dxf>
      <border>
        <bottom style="thin">
          <color indexed="64"/>
        </bottom>
      </border>
    </dxf>
    <dxf>
      <alignment vertical="center" textRotation="0" indent="0" justifyLastLine="0" shrinkToFit="0" readingOrder="0"/>
      <border diagonalUp="0" diagonalDown="0" outline="0">
        <left style="thin">
          <color indexed="64"/>
        </left>
        <right style="thin">
          <color indexed="64"/>
        </right>
        <top/>
        <bottom/>
      </border>
    </dxf>
    <dxf>
      <font>
        <b val="0"/>
        <i val="0"/>
        <color auto="1"/>
      </font>
      <fill>
        <patternFill>
          <bgColor rgb="FFFF0000"/>
        </patternFill>
      </fill>
    </dxf>
    <dxf>
      <font>
        <b val="0"/>
        <i val="0"/>
        <color auto="1"/>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ill>
        <patternFill patternType="solid">
          <bgColor rgb="FFFFC800"/>
        </patternFill>
      </fill>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solid">
          <fgColor theme="5" tint="0.59999389629810485"/>
          <bgColor theme="5"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border>
        <left style="thin">
          <color indexed="64"/>
        </left>
        <right style="thin">
          <color indexed="64"/>
        </right>
        <top style="thin">
          <color indexed="64"/>
        </top>
        <bottom style="thin">
          <color indexed="64"/>
        </bottom>
      </border>
    </dxf>
    <dxf>
      <numFmt numFmtId="165" formatCode="_-* #,##0_-;\-* #,##0_-;_-* &quot;-&quot;??_-;_-@_-"/>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170"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indent="0" justifyLastLine="0" shrinkToFit="0" readingOrder="0"/>
    </dxf>
    <dxf>
      <font>
        <strike val="0"/>
        <outline val="0"/>
        <shadow val="0"/>
        <u val="none"/>
        <vertAlign val="baseline"/>
        <sz val="11"/>
        <color auto="1"/>
        <name val="Calibri"/>
        <scheme val="minor"/>
      </font>
      <numFmt numFmtId="176" formatCode="m/d/yyyy"/>
      <fill>
        <patternFill patternType="none">
          <fgColor indexed="64"/>
          <bgColor auto="1"/>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ill>
        <patternFill patternType="none">
          <fgColor indexed="64"/>
          <bgColor indexed="65"/>
        </patternFill>
      </fill>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ill>
        <patternFill>
          <bgColor rgb="FFFF0000"/>
        </patternFill>
      </fill>
    </dxf>
  </dxfs>
  <tableStyles count="0" defaultTableStyle="TableStyleMedium2" defaultPivotStyle="PivotStyleLight16"/>
  <colors>
    <mruColors>
      <color rgb="FFFFFF00"/>
      <color rgb="FFCC0000"/>
      <color rgb="FFCC3300"/>
      <color rgb="FFFF0000"/>
      <color rgb="FF993300"/>
      <color rgb="FF6CA62C"/>
      <color rgb="FFFD2361"/>
      <color rgb="FF588824"/>
      <color rgb="FFCCE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38" Type="http://schemas.openxmlformats.org/officeDocument/2006/relationships/customXml" Target="../customXml/item4.xml"/><Relationship Id="rId46"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4.xml"/><Relationship Id="rId41"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4"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pivotCacheDefinition" Target="pivotCache/pivotCacheDefinition2.xml"/><Relationship Id="rId30" Type="http://schemas.openxmlformats.org/officeDocument/2006/relationships/pivotCacheDefinition" Target="pivotCache/pivotCacheDefinition5.xml"/><Relationship Id="rId35" Type="http://schemas.openxmlformats.org/officeDocument/2006/relationships/customXml" Target="../customXml/item1.xml"/><Relationship Id="rId43" Type="http://schemas.openxmlformats.org/officeDocument/2006/relationships/customXml" Target="../customXml/item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_October_2018.xlsx]IDP location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703335334551241"/>
          <c:y val="0.13559827434694499"/>
          <c:w val="0.7620403747860286"/>
          <c:h val="0.77055567472927888"/>
        </c:manualLayout>
      </c:layout>
      <c:barChart>
        <c:barDir val="bar"/>
        <c:grouping val="clustered"/>
        <c:varyColors val="0"/>
        <c:ser>
          <c:idx val="0"/>
          <c:order val="0"/>
          <c:tx>
            <c:strRef>
              <c:f>'IDP location Analysis'!$R$11</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'IDP location Analysis'!$Q$12:$Q$32</c:f>
              <c:strCache>
                <c:ptCount val="20"/>
                <c:pt idx="0">
                  <c:v>Bhamo</c:v>
                </c:pt>
                <c:pt idx="1">
                  <c:v>Chipwi</c:v>
                </c:pt>
                <c:pt idx="2">
                  <c:v>Hpakant</c:v>
                </c:pt>
                <c:pt idx="3">
                  <c:v>Hseni</c:v>
                </c:pt>
                <c:pt idx="4">
                  <c:v>Hsipaw</c:v>
                </c:pt>
                <c:pt idx="5">
                  <c:v>Kutkai</c:v>
                </c:pt>
                <c:pt idx="6">
                  <c:v>Mansi</c:v>
                </c:pt>
                <c:pt idx="7">
                  <c:v>Manton</c:v>
                </c:pt>
                <c:pt idx="8">
                  <c:v>Mogaung</c:v>
                </c:pt>
                <c:pt idx="9">
                  <c:v>Mohnyin</c:v>
                </c:pt>
                <c:pt idx="10">
                  <c:v>Momauk</c:v>
                </c:pt>
                <c:pt idx="11">
                  <c:v>Muse</c:v>
                </c:pt>
                <c:pt idx="12">
                  <c:v>Myitkyina</c:v>
                </c:pt>
                <c:pt idx="13">
                  <c:v>Namhkan</c:v>
                </c:pt>
                <c:pt idx="14">
                  <c:v>Namtu</c:v>
                </c:pt>
                <c:pt idx="15">
                  <c:v>Puta-O</c:v>
                </c:pt>
                <c:pt idx="16">
                  <c:v>Shwegu</c:v>
                </c:pt>
                <c:pt idx="17">
                  <c:v>Sumprabum</c:v>
                </c:pt>
                <c:pt idx="18">
                  <c:v>Tanai</c:v>
                </c:pt>
                <c:pt idx="19">
                  <c:v>Waingmaw</c:v>
                </c:pt>
              </c:strCache>
            </c:strRef>
          </c:cat>
          <c:val>
            <c:numRef>
              <c:f>'IDP location Analysis'!$R$12:$R$32</c:f>
              <c:numCache>
                <c:formatCode>General</c:formatCode>
                <c:ptCount val="20"/>
                <c:pt idx="0">
                  <c:v>8124</c:v>
                </c:pt>
                <c:pt idx="1">
                  <c:v>3051</c:v>
                </c:pt>
                <c:pt idx="2">
                  <c:v>3978</c:v>
                </c:pt>
                <c:pt idx="3">
                  <c:v>172</c:v>
                </c:pt>
                <c:pt idx="4">
                  <c:v>120</c:v>
                </c:pt>
                <c:pt idx="5">
                  <c:v>4793</c:v>
                </c:pt>
                <c:pt idx="6">
                  <c:v>13435</c:v>
                </c:pt>
                <c:pt idx="7">
                  <c:v>348</c:v>
                </c:pt>
                <c:pt idx="8">
                  <c:v>1481</c:v>
                </c:pt>
                <c:pt idx="9">
                  <c:v>339</c:v>
                </c:pt>
                <c:pt idx="10">
                  <c:v>24865</c:v>
                </c:pt>
                <c:pt idx="11">
                  <c:v>1052</c:v>
                </c:pt>
                <c:pt idx="12">
                  <c:v>12884</c:v>
                </c:pt>
                <c:pt idx="13">
                  <c:v>2009</c:v>
                </c:pt>
                <c:pt idx="14">
                  <c:v>753</c:v>
                </c:pt>
                <c:pt idx="15">
                  <c:v>412</c:v>
                </c:pt>
                <c:pt idx="16">
                  <c:v>542</c:v>
                </c:pt>
                <c:pt idx="17">
                  <c:v>977</c:v>
                </c:pt>
                <c:pt idx="18">
                  <c:v>1110</c:v>
                </c:pt>
                <c:pt idx="19">
                  <c:v>25409</c:v>
                </c:pt>
              </c:numCache>
            </c:numRef>
          </c:val>
        </c:ser>
        <c:dLbls>
          <c:showLegendKey val="0"/>
          <c:showVal val="0"/>
          <c:showCatName val="0"/>
          <c:showSerName val="0"/>
          <c:showPercent val="0"/>
          <c:showBubbleSize val="0"/>
        </c:dLbls>
        <c:gapWidth val="150"/>
        <c:axId val="246045952"/>
        <c:axId val="246046344"/>
      </c:barChart>
      <c:catAx>
        <c:axId val="246045952"/>
        <c:scaling>
          <c:orientation val="minMax"/>
        </c:scaling>
        <c:delete val="0"/>
        <c:axPos val="l"/>
        <c:numFmt formatCode="General" sourceLinked="0"/>
        <c:majorTickMark val="out"/>
        <c:minorTickMark val="none"/>
        <c:tickLblPos val="nextTo"/>
        <c:crossAx val="246046344"/>
        <c:crosses val="autoZero"/>
        <c:auto val="1"/>
        <c:lblAlgn val="ctr"/>
        <c:lblOffset val="100"/>
        <c:noMultiLvlLbl val="1"/>
      </c:catAx>
      <c:valAx>
        <c:axId val="246046344"/>
        <c:scaling>
          <c:orientation val="minMax"/>
        </c:scaling>
        <c:delete val="0"/>
        <c:axPos val="b"/>
        <c:majorGridlines/>
        <c:numFmt formatCode="General" sourceLinked="1"/>
        <c:majorTickMark val="out"/>
        <c:minorTickMark val="none"/>
        <c:tickLblPos val="nextTo"/>
        <c:crossAx val="246045952"/>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(NGCA)</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tx>
                <c:rich>
                  <a:bodyPr/>
                  <a:lstStyle/>
                  <a:p>
                    <a:fld id="{44799A07-966F-4DF6-BE84-3C79D20A3A23}"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1.5771935617686122E-2"/>
                  <c:y val="1.1173251904778889E-2"/>
                </c:manualLayout>
              </c:layout>
              <c:tx>
                <c:rich>
                  <a:bodyPr/>
                  <a:lstStyle/>
                  <a:p>
                    <a:fld id="{52680980-0D51-4938-BBA4-9781E7F74962}"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5.0328773478695663E-3"/>
                  <c:y val="2.2199900975075099E-2"/>
                </c:manualLayout>
              </c:layout>
              <c:tx>
                <c:rich>
                  <a:bodyPr/>
                  <a:lstStyle/>
                  <a:p>
                    <a:fld id="{8E4DB0FA-7203-4444-88AE-27C198A048EF}"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layout>
                <c:manualLayout>
                  <c:x val="1.4630918275195203E-2"/>
                  <c:y val="1.0710772859916003E-2"/>
                </c:manualLayout>
              </c:layout>
              <c:tx>
                <c:rich>
                  <a:bodyPr/>
                  <a:lstStyle/>
                  <a:p>
                    <a:fld id="{E0AEF8C0-563F-4006-8832-A84076777F3C}"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Graphs!$A$9:$A$12</c:f>
              <c:strCache>
                <c:ptCount val="4"/>
                <c:pt idx="0">
                  <c:v>Camp</c:v>
                </c:pt>
                <c:pt idx="1">
                  <c:v>Host families</c:v>
                </c:pt>
                <c:pt idx="2">
                  <c:v>Boarding School</c:v>
                </c:pt>
                <c:pt idx="3">
                  <c:v>Camp like setting</c:v>
                </c:pt>
              </c:strCache>
            </c:strRef>
          </c:cat>
          <c:val>
            <c:numRef>
              <c:f>Graphs!$B$9:$B$12</c:f>
              <c:numCache>
                <c:formatCode>#,##0</c:formatCode>
                <c:ptCount val="4"/>
                <c:pt idx="0">
                  <c:v>37037</c:v>
                </c:pt>
                <c:pt idx="1">
                  <c:v>0</c:v>
                </c:pt>
                <c:pt idx="2">
                  <c:v>872</c:v>
                </c:pt>
                <c:pt idx="3">
                  <c:v>0</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a:t>
            </a:r>
            <a:r>
              <a:rPr lang="en-US" baseline="0"/>
              <a:t> proportion </a:t>
            </a:r>
            <a:r>
              <a:rPr lang="en-US"/>
              <a:t>according to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tx2">
                  <a:lumMod val="40000"/>
                  <a:lumOff val="60000"/>
                </a:schemeClr>
              </a:solidFill>
              <a:ln w="19050">
                <a:solidFill>
                  <a:schemeClr val="lt1"/>
                </a:solidFill>
              </a:ln>
              <a:effectLst/>
            </c:spPr>
          </c:dPt>
          <c:dPt>
            <c:idx val="1"/>
            <c:bubble3D val="0"/>
            <c:spPr>
              <a:solidFill>
                <a:schemeClr val="tx2">
                  <a:lumMod val="20000"/>
                  <a:lumOff val="80000"/>
                </a:schemeClr>
              </a:solidFill>
              <a:ln w="19050">
                <a:solidFill>
                  <a:schemeClr val="lt1"/>
                </a:solidFill>
              </a:ln>
              <a:effectLst/>
            </c:spPr>
          </c:dPt>
          <c:dLbls>
            <c:dLbl>
              <c:idx val="0"/>
              <c:layout>
                <c:manualLayout>
                  <c:x val="-7.9112536909389561E-2"/>
                  <c:y val="0.1192959458213546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Graphs!$A$16:$A$17</c:f>
              <c:strCache>
                <c:ptCount val="2"/>
                <c:pt idx="0">
                  <c:v>Kachin</c:v>
                </c:pt>
                <c:pt idx="1">
                  <c:v>Northern Shan</c:v>
                </c:pt>
              </c:strCache>
            </c:strRef>
          </c:cat>
          <c:val>
            <c:numRef>
              <c:f>Graphs!$B$16:$B$17</c:f>
              <c:numCache>
                <c:formatCode>General</c:formatCode>
                <c:ptCount val="2"/>
                <c:pt idx="0">
                  <c:v>96607</c:v>
                </c:pt>
                <c:pt idx="1">
                  <c:v>9247</c:v>
                </c:pt>
              </c:numCache>
            </c:numRef>
          </c:val>
        </c:ser>
        <c:dLbls>
          <c:showLegendKey val="0"/>
          <c:showVal val="0"/>
          <c:showCatName val="0"/>
          <c:showSerName val="0"/>
          <c:showPercent val="0"/>
          <c:showBubbleSize val="0"/>
          <c:showLeaderLines val="0"/>
        </c:dLbls>
        <c:firstSliceAng val="0"/>
      </c:pieChart>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68444608389631456"/>
          <c:y val="0.40279274824195993"/>
          <c:w val="0.29720142122005899"/>
          <c:h val="0.224602670376920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_October_2018.xlsx]IDP location Analysis!PivotTable4</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 proportion according to accessibility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'IDP location Analysis'!$C$46:$C$47</c:f>
              <c:strCache>
                <c:ptCount val="1"/>
                <c:pt idx="0">
                  <c:v>Open </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'IDP location Analysis'!$B$48:$B$50</c:f>
              <c:strCache>
                <c:ptCount val="2"/>
                <c:pt idx="0">
                  <c:v>GCA</c:v>
                </c:pt>
                <c:pt idx="1">
                  <c:v>NGCA</c:v>
                </c:pt>
              </c:strCache>
            </c:strRef>
          </c:cat>
          <c:val>
            <c:numRef>
              <c:f>'IDP location Analysis'!$C$48:$C$50</c:f>
              <c:numCache>
                <c:formatCode>_-* #,##0_-;\-* #,##0_-;_-* "-"??_-;_-@_-</c:formatCode>
                <c:ptCount val="2"/>
                <c:pt idx="0">
                  <c:v>67945</c:v>
                </c:pt>
                <c:pt idx="1">
                  <c:v>37909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6942261876269824"/>
          <c:y val="0.41885518562834856"/>
          <c:w val="0.16790102016573019"/>
          <c:h val="0.1950612617720243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_October_2018.xlsx]IDP location Analysis!PivotTable7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Kachin &amp; Northern Shan States </a:t>
            </a:r>
            <a:endParaRPr lang="en-GB">
              <a:solidFill>
                <a:sysClr val="windowText" lastClr="000000"/>
              </a:solidFill>
              <a:effectLst/>
            </a:endParaRPr>
          </a:p>
          <a:p>
            <a:pPr>
              <a:defRPr/>
            </a:pPr>
            <a:r>
              <a:rPr lang="en-US" sz="1800" b="1" i="0" baseline="0">
                <a:solidFill>
                  <a:sysClr val="windowText" lastClr="000000"/>
                </a:solidFill>
                <a:effectLst/>
              </a:rPr>
              <a:t># of IDP locations /Township</a:t>
            </a:r>
            <a:endParaRPr lang="en-GB">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'IDP location Analysis'!$AY$55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'IDP location Analysis'!$AX$56:$AX$76</c:f>
              <c:strCache>
                <c:ptCount val="20"/>
                <c:pt idx="0">
                  <c:v>Bhamo</c:v>
                </c:pt>
                <c:pt idx="1">
                  <c:v>Chipwi</c:v>
                </c:pt>
                <c:pt idx="2">
                  <c:v>Hpakant</c:v>
                </c:pt>
                <c:pt idx="3">
                  <c:v>Hseni</c:v>
                </c:pt>
                <c:pt idx="4">
                  <c:v>Hsipaw</c:v>
                </c:pt>
                <c:pt idx="5">
                  <c:v>Kutkai</c:v>
                </c:pt>
                <c:pt idx="6">
                  <c:v>Mansi</c:v>
                </c:pt>
                <c:pt idx="7">
                  <c:v>Manton</c:v>
                </c:pt>
                <c:pt idx="8">
                  <c:v>Mogaung</c:v>
                </c:pt>
                <c:pt idx="9">
                  <c:v>Mohnyin</c:v>
                </c:pt>
                <c:pt idx="10">
                  <c:v>Momauk</c:v>
                </c:pt>
                <c:pt idx="11">
                  <c:v>Muse</c:v>
                </c:pt>
                <c:pt idx="12">
                  <c:v>Myitkyina</c:v>
                </c:pt>
                <c:pt idx="13">
                  <c:v>Namhkan</c:v>
                </c:pt>
                <c:pt idx="14">
                  <c:v>Namtu</c:v>
                </c:pt>
                <c:pt idx="15">
                  <c:v>Puta-O</c:v>
                </c:pt>
                <c:pt idx="16">
                  <c:v>Shwegu</c:v>
                </c:pt>
                <c:pt idx="17">
                  <c:v>Sumprabum</c:v>
                </c:pt>
                <c:pt idx="18">
                  <c:v>Tanai</c:v>
                </c:pt>
                <c:pt idx="19">
                  <c:v>Waingmaw</c:v>
                </c:pt>
              </c:strCache>
            </c:strRef>
          </c:cat>
          <c:val>
            <c:numRef>
              <c:f>'IDP location Analysis'!$AY$56:$AY$76</c:f>
              <c:numCache>
                <c:formatCode>General</c:formatCode>
                <c:ptCount val="20"/>
                <c:pt idx="0">
                  <c:v>10</c:v>
                </c:pt>
                <c:pt idx="1">
                  <c:v>5</c:v>
                </c:pt>
                <c:pt idx="2">
                  <c:v>23</c:v>
                </c:pt>
                <c:pt idx="3">
                  <c:v>1</c:v>
                </c:pt>
                <c:pt idx="4">
                  <c:v>1</c:v>
                </c:pt>
                <c:pt idx="5">
                  <c:v>16</c:v>
                </c:pt>
                <c:pt idx="6">
                  <c:v>11</c:v>
                </c:pt>
                <c:pt idx="7">
                  <c:v>2</c:v>
                </c:pt>
                <c:pt idx="8">
                  <c:v>8</c:v>
                </c:pt>
                <c:pt idx="9">
                  <c:v>4</c:v>
                </c:pt>
                <c:pt idx="10">
                  <c:v>15</c:v>
                </c:pt>
                <c:pt idx="11">
                  <c:v>3</c:v>
                </c:pt>
                <c:pt idx="12">
                  <c:v>28</c:v>
                </c:pt>
                <c:pt idx="13">
                  <c:v>6</c:v>
                </c:pt>
                <c:pt idx="14">
                  <c:v>4</c:v>
                </c:pt>
                <c:pt idx="15">
                  <c:v>3</c:v>
                </c:pt>
                <c:pt idx="16">
                  <c:v>2</c:v>
                </c:pt>
                <c:pt idx="17">
                  <c:v>3</c:v>
                </c:pt>
                <c:pt idx="18">
                  <c:v>3</c:v>
                </c:pt>
                <c:pt idx="19">
                  <c:v>24</c:v>
                </c:pt>
              </c:numCache>
            </c:numRef>
          </c:val>
        </c:ser>
        <c:dLbls>
          <c:showLegendKey val="0"/>
          <c:showVal val="0"/>
          <c:showCatName val="0"/>
          <c:showSerName val="0"/>
          <c:showPercent val="0"/>
          <c:showBubbleSize val="0"/>
        </c:dLbls>
        <c:gapWidth val="182"/>
        <c:axId val="246048304"/>
        <c:axId val="248958792"/>
      </c:barChart>
      <c:catAx>
        <c:axId val="24604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958792"/>
        <c:crosses val="autoZero"/>
        <c:auto val="1"/>
        <c:lblAlgn val="ctr"/>
        <c:lblOffset val="100"/>
        <c:noMultiLvlLbl val="0"/>
      </c:catAx>
      <c:valAx>
        <c:axId val="248958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04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 proportion according to accessibility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40000"/>
                  <a:lumOff val="60000"/>
                </a:schemeClr>
              </a:solidFill>
              <a:ln w="19050">
                <a:solidFill>
                  <a:schemeClr val="lt1"/>
                </a:solidFill>
              </a:ln>
              <a:effectLst/>
            </c:spPr>
          </c:dPt>
          <c:dPt>
            <c:idx val="1"/>
            <c:bubble3D val="0"/>
            <c:spPr>
              <a:solidFill>
                <a:schemeClr val="tx2">
                  <a:lumMod val="40000"/>
                  <a:lumOff val="60000"/>
                </a:schemeClr>
              </a:solidFill>
              <a:ln w="19050">
                <a:solidFill>
                  <a:schemeClr val="lt1"/>
                </a:solidFill>
              </a:ln>
              <a:effectLst/>
            </c:spPr>
          </c:dPt>
          <c:dLbls>
            <c:dLbl>
              <c:idx val="0"/>
              <c:dLblPos val="bestFit"/>
              <c:showLegendKey val="0"/>
              <c:showVal val="0"/>
              <c:showCatName val="0"/>
              <c:showSerName val="0"/>
              <c:showPercent val="1"/>
              <c:showBubbleSize val="0"/>
              <c:extLst>
                <c:ext xmlns:c15="http://schemas.microsoft.com/office/drawing/2012/chart" uri="{CE6537A1-D6FC-4f65-9D91-7224C49458BB}"/>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Graphs!$A$20:$A$21</c:f>
              <c:strCache>
                <c:ptCount val="2"/>
                <c:pt idx="0">
                  <c:v>NGCA</c:v>
                </c:pt>
                <c:pt idx="1">
                  <c:v>GCA</c:v>
                </c:pt>
              </c:strCache>
            </c:strRef>
          </c:cat>
          <c:val>
            <c:numRef>
              <c:f>Graphs!$B$20:$B$21</c:f>
              <c:numCache>
                <c:formatCode>General</c:formatCode>
                <c:ptCount val="2"/>
                <c:pt idx="0">
                  <c:v>37909</c:v>
                </c:pt>
                <c:pt idx="1">
                  <c:v>67945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6942261876269824"/>
          <c:y val="0.41885518562834856"/>
          <c:w val="0.18242633862031149"/>
          <c:h val="0.1626809374413208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(GCA)</a:t>
            </a:r>
            <a:endParaRPr lang="en-US" sz="1100"/>
          </a:p>
        </c:rich>
      </c:tx>
      <c:layout>
        <c:manualLayout>
          <c:xMode val="edge"/>
          <c:yMode val="edge"/>
          <c:x val="0.20128766349637406"/>
          <c:y val="1.151663503874244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0.14446876538082934"/>
                  <c:y val="-0.13354067306721543"/>
                </c:manualLayout>
              </c:layout>
              <c:showLegendKey val="0"/>
              <c:showVal val="0"/>
              <c:showCatName val="0"/>
              <c:showSerName val="0"/>
              <c:showPercent val="1"/>
              <c:showBubbleSize val="0"/>
              <c:extLst>
                <c:ext xmlns:c15="http://schemas.microsoft.com/office/drawing/2012/chart" uri="{CE6537A1-D6FC-4f65-9D91-7224C49458BB}"/>
              </c:extLst>
            </c:dLbl>
            <c:dLbl>
              <c:idx val="1"/>
              <c:layout>
                <c:manualLayout>
                  <c:x val="1.1091713732842939E-2"/>
                  <c:y val="6.7480482195580891E-3"/>
                </c:manualLayout>
              </c:layout>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0997215331513108E-2"/>
                  <c:y val="1.618664681315431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57999</c:v>
                </c:pt>
                <c:pt idx="1">
                  <c:v>5279</c:v>
                </c:pt>
                <c:pt idx="2">
                  <c:v>0</c:v>
                </c:pt>
                <c:pt idx="3">
                  <c:v>4667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rPr>
              <a:t>Breakdown of IDP Population </a:t>
            </a:r>
            <a:r>
              <a:rPr lang="en-US" sz="1400" b="1" baseline="0">
                <a:solidFill>
                  <a:sysClr val="windowText" lastClr="000000"/>
                </a:solidFill>
              </a:rPr>
              <a:t>by State</a:t>
            </a:r>
            <a:endParaRPr lang="en-US" sz="1400" b="1">
              <a:solidFill>
                <a:sysClr val="windowText" lastClr="000000"/>
              </a:solidFill>
            </a:endParaRPr>
          </a:p>
        </c:rich>
      </c:tx>
      <c:layout>
        <c:manualLayout>
          <c:xMode val="edge"/>
          <c:yMode val="edge"/>
          <c:x val="4.1372953632744486E-2"/>
          <c:y val="3.0701651386488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968884634856429E-2"/>
          <c:y val="0.1621041716727436"/>
          <c:w val="0.43582650830853503"/>
          <c:h val="0.90494531933508315"/>
        </c:manualLayout>
      </c:layout>
      <c:pieChart>
        <c:varyColors val="1"/>
        <c:ser>
          <c:idx val="0"/>
          <c:order val="0"/>
          <c:dPt>
            <c:idx val="0"/>
            <c:bubble3D val="0"/>
            <c:spPr>
              <a:solidFill>
                <a:schemeClr val="accent6">
                  <a:lumMod val="75000"/>
                </a:schemeClr>
              </a:solidFill>
              <a:ln w="19050">
                <a:solidFill>
                  <a:schemeClr val="lt1"/>
                </a:solidFill>
              </a:ln>
              <a:effectLst/>
            </c:spPr>
          </c:dPt>
          <c:dPt>
            <c:idx val="1"/>
            <c:bubble3D val="0"/>
            <c:spPr>
              <a:solidFill>
                <a:schemeClr val="accent2">
                  <a:lumMod val="75000"/>
                </a:schemeClr>
              </a:solidFill>
              <a:ln w="19050">
                <a:solidFill>
                  <a:schemeClr val="lt1"/>
                </a:solidFill>
              </a:ln>
              <a:effectLst/>
            </c:spPr>
          </c:dPt>
          <c:dLbls>
            <c:dLbl>
              <c:idx val="0"/>
              <c:tx>
                <c:rich>
                  <a:bodyPr/>
                  <a:lstStyle/>
                  <a:p>
                    <a:fld id="{407FFA06-A7F1-45C2-AA26-56768F2537AA}"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4.2312145192377235E-2"/>
                  <c:y val="0.10277777777777776"/>
                </c:manualLayout>
              </c:layout>
              <c:tx>
                <c:rich>
                  <a:bodyPr/>
                  <a:lstStyle/>
                  <a:p>
                    <a:fld id="{0315A16E-D267-4C68-8581-60C4B49DDD58}"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('CCCM Dashboard'!$A$31,'CCCM Dashboard'!$A$40)</c:f>
              <c:strCache>
                <c:ptCount val="2"/>
                <c:pt idx="0">
                  <c:v>Kachin</c:v>
                </c:pt>
                <c:pt idx="1">
                  <c:v>Northern Shan</c:v>
                </c:pt>
              </c:strCache>
            </c:strRef>
          </c:cat>
          <c:val>
            <c:numRef>
              <c:f>('CCCM Dashboard'!$D$31,'CCCM Dashboard'!$D$40)</c:f>
              <c:numCache>
                <c:formatCode>_-* #,##0_-;\-* #,##0_-;_-* "-"??_-;_-@_-</c:formatCode>
                <c:ptCount val="2"/>
                <c:pt idx="0">
                  <c:v>96607</c:v>
                </c:pt>
                <c:pt idx="1">
                  <c:v>9247</c:v>
                </c:pt>
              </c:numCache>
            </c:numRef>
          </c:val>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57152431177091823"/>
          <c:y val="0.50653263106065383"/>
          <c:w val="0.26330907665208075"/>
          <c:h val="0.2449130959085975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IDP Population breakdown by Township</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533831955398754"/>
          <c:y val="0.12737983850468099"/>
          <c:w val="0.8305862434596909"/>
          <c:h val="0.69843264087573076"/>
        </c:manualLayout>
      </c:layout>
      <c:barChart>
        <c:barDir val="col"/>
        <c:grouping val="clustered"/>
        <c:varyColors val="0"/>
        <c:ser>
          <c:idx val="0"/>
          <c:order val="0"/>
          <c:spPr>
            <a:solidFill>
              <a:schemeClr val="accent1">
                <a:lumMod val="75000"/>
              </a:schemeClr>
            </a:solidFill>
            <a:ln w="9525" cap="flat" cmpd="sng" algn="ctr">
              <a:solidFill>
                <a:schemeClr val="accent1"/>
              </a:solidFill>
              <a:round/>
            </a:ln>
            <a:effectLst>
              <a:outerShdw blurRad="40000" dist="20000" dir="5400000" rotWithShape="0">
                <a:schemeClr val="accent3">
                  <a:lumMod val="60000"/>
                  <a:lumOff val="40000"/>
                  <a:alpha val="38000"/>
                </a:schemeClr>
              </a:outerShdw>
            </a:effectLst>
          </c:spPr>
          <c:invertIfNegative val="0"/>
          <c:cat>
            <c:strRef>
              <c:f>('CCCM Dashboard'!$B$15:$B$17,'CCCM Dashboard'!$B$21:$B$30,'CCCM Dashboard'!$B$33:$B$39)</c:f>
              <c:strCache>
                <c:ptCount val="20"/>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Kutkai</c:v>
                </c:pt>
                <c:pt idx="15">
                  <c:v>Manton</c:v>
                </c:pt>
                <c:pt idx="16">
                  <c:v>Muse</c:v>
                </c:pt>
                <c:pt idx="17">
                  <c:v>Namhkan</c:v>
                </c:pt>
                <c:pt idx="18">
                  <c:v>Hsipaw</c:v>
                </c:pt>
                <c:pt idx="19">
                  <c:v>Namtu</c:v>
                </c:pt>
              </c:strCache>
            </c:strRef>
          </c:cat>
          <c:val>
            <c:numRef>
              <c:f>('CCCM Dashboard'!$D$15:$D$17,'CCCM Dashboard'!$D$21:$D$30,'CCCM Dashboard'!$D$33:$D$39)</c:f>
              <c:numCache>
                <c:formatCode>_-* #,##0_-;\-* #,##0_-;_-* "-"??_-;_-@_-</c:formatCode>
                <c:ptCount val="20"/>
                <c:pt idx="0">
                  <c:v>8124</c:v>
                </c:pt>
                <c:pt idx="1">
                  <c:v>3051</c:v>
                </c:pt>
                <c:pt idx="2">
                  <c:v>3978</c:v>
                </c:pt>
                <c:pt idx="3">
                  <c:v>13435</c:v>
                </c:pt>
                <c:pt idx="4">
                  <c:v>1481</c:v>
                </c:pt>
                <c:pt idx="5">
                  <c:v>339</c:v>
                </c:pt>
                <c:pt idx="6">
                  <c:v>24865</c:v>
                </c:pt>
                <c:pt idx="7">
                  <c:v>12884</c:v>
                </c:pt>
                <c:pt idx="8">
                  <c:v>412</c:v>
                </c:pt>
                <c:pt idx="9">
                  <c:v>542</c:v>
                </c:pt>
                <c:pt idx="10">
                  <c:v>977</c:v>
                </c:pt>
                <c:pt idx="11">
                  <c:v>1110</c:v>
                </c:pt>
                <c:pt idx="12">
                  <c:v>25409</c:v>
                </c:pt>
                <c:pt idx="13">
                  <c:v>172</c:v>
                </c:pt>
                <c:pt idx="14">
                  <c:v>4793</c:v>
                </c:pt>
                <c:pt idx="15">
                  <c:v>348</c:v>
                </c:pt>
                <c:pt idx="16">
                  <c:v>1052</c:v>
                </c:pt>
                <c:pt idx="17">
                  <c:v>2009</c:v>
                </c:pt>
                <c:pt idx="18">
                  <c:v>120</c:v>
                </c:pt>
                <c:pt idx="19">
                  <c:v>753</c:v>
                </c:pt>
              </c:numCache>
            </c:numRef>
          </c:val>
        </c:ser>
        <c:dLbls>
          <c:showLegendKey val="0"/>
          <c:showVal val="0"/>
          <c:showCatName val="0"/>
          <c:showSerName val="0"/>
          <c:showPercent val="0"/>
          <c:showBubbleSize val="0"/>
        </c:dLbls>
        <c:gapWidth val="100"/>
        <c:overlap val="-24"/>
        <c:axId val="248961144"/>
        <c:axId val="248961536"/>
      </c:barChart>
      <c:catAx>
        <c:axId val="24896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48961536"/>
        <c:crosses val="autoZero"/>
        <c:auto val="1"/>
        <c:lblAlgn val="ctr"/>
        <c:lblOffset val="100"/>
        <c:noMultiLvlLbl val="0"/>
      </c:catAx>
      <c:valAx>
        <c:axId val="248961536"/>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48961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overview'!$F$10</c:f>
              <c:numCache>
                <c:formatCode>General</c:formatCode>
                <c:ptCount val="1"/>
                <c:pt idx="0">
                  <c:v>337</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overview'!$E$10</c:f>
              <c:numCache>
                <c:formatCode>#,##0</c:formatCode>
                <c:ptCount val="1"/>
                <c:pt idx="0">
                  <c:v>467</c:v>
                </c:pt>
              </c:numCache>
            </c:numRef>
          </c:val>
        </c:ser>
        <c:dLbls>
          <c:showLegendKey val="0"/>
          <c:showVal val="0"/>
          <c:showCatName val="0"/>
          <c:showSerName val="0"/>
          <c:showPercent val="0"/>
          <c:showBubbleSize val="0"/>
        </c:dLbls>
        <c:gapWidth val="500"/>
        <c:overlap val="-71"/>
        <c:axId val="247554792"/>
        <c:axId val="247555184"/>
      </c:barChart>
      <c:catAx>
        <c:axId val="247554792"/>
        <c:scaling>
          <c:orientation val="minMax"/>
        </c:scaling>
        <c:delete val="1"/>
        <c:axPos val="b"/>
        <c:majorTickMark val="none"/>
        <c:minorTickMark val="none"/>
        <c:tickLblPos val="nextTo"/>
        <c:crossAx val="247555184"/>
        <c:crosses val="autoZero"/>
        <c:auto val="1"/>
        <c:lblAlgn val="ctr"/>
        <c:lblOffset val="100"/>
        <c:noMultiLvlLbl val="0"/>
      </c:catAx>
      <c:valAx>
        <c:axId val="24755518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475547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overview'!$F$11</c:f>
              <c:numCache>
                <c:formatCode>General</c:formatCode>
                <c:ptCount val="1"/>
                <c:pt idx="0">
                  <c:v>151</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overview'!$E$11</c:f>
              <c:numCache>
                <c:formatCode>#,##0</c:formatCode>
                <c:ptCount val="1"/>
                <c:pt idx="0">
                  <c:v>246</c:v>
                </c:pt>
              </c:numCache>
            </c:numRef>
          </c:val>
        </c:ser>
        <c:dLbls>
          <c:showLegendKey val="0"/>
          <c:showVal val="0"/>
          <c:showCatName val="0"/>
          <c:showSerName val="0"/>
          <c:showPercent val="0"/>
          <c:showBubbleSize val="0"/>
        </c:dLbls>
        <c:gapWidth val="500"/>
        <c:overlap val="-71"/>
        <c:axId val="391388576"/>
        <c:axId val="391388968"/>
      </c:barChart>
      <c:catAx>
        <c:axId val="391388576"/>
        <c:scaling>
          <c:orientation val="minMax"/>
        </c:scaling>
        <c:delete val="1"/>
        <c:axPos val="b"/>
        <c:numFmt formatCode="General" sourceLinked="1"/>
        <c:majorTickMark val="none"/>
        <c:minorTickMark val="none"/>
        <c:tickLblPos val="nextTo"/>
        <c:crossAx val="391388968"/>
        <c:crosses val="autoZero"/>
        <c:auto val="1"/>
        <c:lblAlgn val="ctr"/>
        <c:lblOffset val="100"/>
        <c:noMultiLvlLbl val="0"/>
      </c:catAx>
      <c:valAx>
        <c:axId val="39138896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3885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overview'!$F$12</c:f>
              <c:numCache>
                <c:formatCode>General</c:formatCode>
                <c:ptCount val="1"/>
                <c:pt idx="0">
                  <c:v>257</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overview'!$E$12</c:f>
              <c:numCache>
                <c:formatCode>#,##0</c:formatCode>
                <c:ptCount val="1"/>
                <c:pt idx="0">
                  <c:v>493</c:v>
                </c:pt>
              </c:numCache>
            </c:numRef>
          </c:val>
        </c:ser>
        <c:dLbls>
          <c:showLegendKey val="0"/>
          <c:showVal val="0"/>
          <c:showCatName val="0"/>
          <c:showSerName val="0"/>
          <c:showPercent val="0"/>
          <c:showBubbleSize val="0"/>
        </c:dLbls>
        <c:gapWidth val="500"/>
        <c:overlap val="-71"/>
        <c:axId val="391389752"/>
        <c:axId val="391390144"/>
      </c:barChart>
      <c:catAx>
        <c:axId val="391389752"/>
        <c:scaling>
          <c:orientation val="minMax"/>
        </c:scaling>
        <c:delete val="1"/>
        <c:axPos val="b"/>
        <c:numFmt formatCode="General" sourceLinked="1"/>
        <c:majorTickMark val="none"/>
        <c:minorTickMark val="none"/>
        <c:tickLblPos val="nextTo"/>
        <c:crossAx val="391390144"/>
        <c:crosses val="autoZero"/>
        <c:auto val="1"/>
        <c:lblAlgn val="ctr"/>
        <c:lblOffset val="100"/>
        <c:noMultiLvlLbl val="0"/>
      </c:catAx>
      <c:valAx>
        <c:axId val="3913901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38975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9963177742333"/>
          <c:y val="9.8934534050617973E-2"/>
          <c:w val="0.48300810089668672"/>
          <c:h val="0.6890628929837721"/>
        </c:manualLayout>
      </c:layout>
      <c:barChart>
        <c:barDir val="col"/>
        <c:grouping val="clustered"/>
        <c:varyColors val="0"/>
        <c:ser>
          <c:idx val="0"/>
          <c:order val="0"/>
          <c:tx>
            <c:strRef>
              <c:f>'Shelter overview'!$F$9</c:f>
              <c:strCache>
                <c:ptCount val="1"/>
                <c:pt idx="0">
                  <c:v># Shelters planned</c:v>
                </c:pt>
              </c:strCache>
            </c:strRef>
          </c:tx>
          <c:spPr>
            <a:solidFill>
              <a:srgbClr val="FFC800"/>
            </a:solidFill>
            <a:ln>
              <a:noFill/>
            </a:ln>
            <a:effectLst/>
          </c:spPr>
          <c:invertIfNegative val="0"/>
          <c:val>
            <c:numRef>
              <c:f>'Shelter overview'!$F$15</c:f>
              <c:numCache>
                <c:formatCode>General</c:formatCode>
                <c:ptCount val="1"/>
                <c:pt idx="0">
                  <c:v>112</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overview'!$E$15</c:f>
              <c:numCache>
                <c:formatCode>#,##0</c:formatCode>
                <c:ptCount val="1"/>
                <c:pt idx="0">
                  <c:v>319</c:v>
                </c:pt>
              </c:numCache>
            </c:numRef>
          </c:val>
        </c:ser>
        <c:dLbls>
          <c:showLegendKey val="0"/>
          <c:showVal val="0"/>
          <c:showCatName val="0"/>
          <c:showSerName val="0"/>
          <c:showPercent val="0"/>
          <c:showBubbleSize val="0"/>
        </c:dLbls>
        <c:gapWidth val="500"/>
        <c:overlap val="-71"/>
        <c:axId val="391390928"/>
        <c:axId val="391391320"/>
      </c:barChart>
      <c:catAx>
        <c:axId val="391390928"/>
        <c:scaling>
          <c:orientation val="minMax"/>
        </c:scaling>
        <c:delete val="1"/>
        <c:axPos val="b"/>
        <c:numFmt formatCode="General" sourceLinked="1"/>
        <c:majorTickMark val="none"/>
        <c:minorTickMark val="none"/>
        <c:tickLblPos val="nextTo"/>
        <c:crossAx val="391391320"/>
        <c:crosses val="autoZero"/>
        <c:auto val="1"/>
        <c:lblAlgn val="ctr"/>
        <c:lblOffset val="100"/>
        <c:noMultiLvlLbl val="0"/>
      </c:catAx>
      <c:valAx>
        <c:axId val="39139132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39092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overview'!$F$16</c:f>
              <c:numCache>
                <c:formatCode>General</c:formatCode>
                <c:ptCount val="1"/>
                <c:pt idx="0">
                  <c:v>590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overview'!$E$16</c:f>
              <c:numCache>
                <c:formatCode>#,##0</c:formatCode>
                <c:ptCount val="1"/>
                <c:pt idx="0">
                  <c:v>1068</c:v>
                </c:pt>
              </c:numCache>
            </c:numRef>
          </c:val>
        </c:ser>
        <c:dLbls>
          <c:showLegendKey val="0"/>
          <c:showVal val="0"/>
          <c:showCatName val="0"/>
          <c:showSerName val="0"/>
          <c:showPercent val="0"/>
          <c:showBubbleSize val="0"/>
        </c:dLbls>
        <c:gapWidth val="500"/>
        <c:overlap val="-71"/>
        <c:axId val="391392104"/>
        <c:axId val="380914864"/>
      </c:barChart>
      <c:catAx>
        <c:axId val="391392104"/>
        <c:scaling>
          <c:orientation val="minMax"/>
        </c:scaling>
        <c:delete val="1"/>
        <c:axPos val="b"/>
        <c:numFmt formatCode="General" sourceLinked="1"/>
        <c:majorTickMark val="none"/>
        <c:minorTickMark val="none"/>
        <c:tickLblPos val="nextTo"/>
        <c:crossAx val="380914864"/>
        <c:crosses val="autoZero"/>
        <c:auto val="1"/>
        <c:lblAlgn val="ctr"/>
        <c:lblOffset val="100"/>
        <c:noMultiLvlLbl val="0"/>
      </c:catAx>
      <c:valAx>
        <c:axId val="3809148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39210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overview'!$F$17</c:f>
              <c:numCache>
                <c:formatCode>General</c:formatCode>
                <c:ptCount val="1"/>
                <c:pt idx="0">
                  <c:v>20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overview'!$E$17</c:f>
              <c:numCache>
                <c:formatCode>#,##0</c:formatCode>
                <c:ptCount val="1"/>
                <c:pt idx="0">
                  <c:v>28</c:v>
                </c:pt>
              </c:numCache>
            </c:numRef>
          </c:val>
        </c:ser>
        <c:dLbls>
          <c:showLegendKey val="0"/>
          <c:showVal val="0"/>
          <c:showCatName val="0"/>
          <c:showSerName val="0"/>
          <c:showPercent val="0"/>
          <c:showBubbleSize val="0"/>
        </c:dLbls>
        <c:gapWidth val="500"/>
        <c:overlap val="-71"/>
        <c:axId val="380915648"/>
        <c:axId val="380916040"/>
      </c:barChart>
      <c:catAx>
        <c:axId val="380915648"/>
        <c:scaling>
          <c:orientation val="minMax"/>
        </c:scaling>
        <c:delete val="1"/>
        <c:axPos val="b"/>
        <c:numFmt formatCode="General" sourceLinked="1"/>
        <c:majorTickMark val="none"/>
        <c:minorTickMark val="none"/>
        <c:tickLblPos val="nextTo"/>
        <c:crossAx val="380916040"/>
        <c:crosses val="autoZero"/>
        <c:auto val="1"/>
        <c:lblAlgn val="ctr"/>
        <c:lblOffset val="100"/>
        <c:noMultiLvlLbl val="0"/>
      </c:catAx>
      <c:valAx>
        <c:axId val="38091604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809156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overview'!$F$18</c:f>
              <c:numCache>
                <c:formatCode>General</c:formatCode>
                <c:ptCount val="1"/>
                <c:pt idx="0">
                  <c:v>135</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overview'!$E$18</c:f>
              <c:numCache>
                <c:formatCode>#,##0</c:formatCode>
                <c:ptCount val="1"/>
                <c:pt idx="0">
                  <c:v>271</c:v>
                </c:pt>
              </c:numCache>
            </c:numRef>
          </c:val>
        </c:ser>
        <c:dLbls>
          <c:showLegendKey val="0"/>
          <c:showVal val="0"/>
          <c:showCatName val="0"/>
          <c:showSerName val="0"/>
          <c:showPercent val="0"/>
          <c:showBubbleSize val="0"/>
        </c:dLbls>
        <c:gapWidth val="500"/>
        <c:overlap val="-71"/>
        <c:axId val="380916824"/>
        <c:axId val="380917216"/>
      </c:barChart>
      <c:catAx>
        <c:axId val="380916824"/>
        <c:scaling>
          <c:orientation val="minMax"/>
        </c:scaling>
        <c:delete val="1"/>
        <c:axPos val="b"/>
        <c:numFmt formatCode="General" sourceLinked="1"/>
        <c:majorTickMark val="none"/>
        <c:minorTickMark val="none"/>
        <c:tickLblPos val="nextTo"/>
        <c:crossAx val="380917216"/>
        <c:crosses val="autoZero"/>
        <c:auto val="1"/>
        <c:lblAlgn val="ctr"/>
        <c:lblOffset val="100"/>
        <c:noMultiLvlLbl val="0"/>
      </c:catAx>
      <c:valAx>
        <c:axId val="38091721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809168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overview'!$F$19</c:f>
              <c:numCache>
                <c:formatCode>General</c:formatCode>
                <c:ptCount val="1"/>
                <c:pt idx="0">
                  <c:v>11</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overview'!$E$19</c:f>
              <c:numCache>
                <c:formatCode>#,##0</c:formatCode>
                <c:ptCount val="1"/>
                <c:pt idx="0">
                  <c:v>11</c:v>
                </c:pt>
              </c:numCache>
            </c:numRef>
          </c:val>
        </c:ser>
        <c:dLbls>
          <c:showLegendKey val="0"/>
          <c:showVal val="0"/>
          <c:showCatName val="0"/>
          <c:showSerName val="0"/>
          <c:showPercent val="0"/>
          <c:showBubbleSize val="0"/>
        </c:dLbls>
        <c:gapWidth val="500"/>
        <c:overlap val="-71"/>
        <c:axId val="380918000"/>
        <c:axId val="380918392"/>
      </c:barChart>
      <c:catAx>
        <c:axId val="380918000"/>
        <c:scaling>
          <c:orientation val="minMax"/>
        </c:scaling>
        <c:delete val="1"/>
        <c:axPos val="b"/>
        <c:numFmt formatCode="General" sourceLinked="1"/>
        <c:majorTickMark val="none"/>
        <c:minorTickMark val="none"/>
        <c:tickLblPos val="nextTo"/>
        <c:crossAx val="380918392"/>
        <c:crosses val="autoZero"/>
        <c:auto val="1"/>
        <c:lblAlgn val="ctr"/>
        <c:lblOffset val="100"/>
        <c:noMultiLvlLbl val="0"/>
      </c:catAx>
      <c:valAx>
        <c:axId val="38091839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8091800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overview'!$F$20</c:f>
              <c:numCache>
                <c:formatCode>General</c:formatCode>
                <c:ptCount val="1"/>
                <c:pt idx="0">
                  <c:v>991</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overview'!$E$20</c:f>
              <c:numCache>
                <c:formatCode>#,##0</c:formatCode>
                <c:ptCount val="1"/>
                <c:pt idx="0">
                  <c:v>2529</c:v>
                </c:pt>
              </c:numCache>
            </c:numRef>
          </c:val>
        </c:ser>
        <c:dLbls>
          <c:showLegendKey val="0"/>
          <c:showVal val="0"/>
          <c:showCatName val="0"/>
          <c:showSerName val="0"/>
          <c:showPercent val="0"/>
          <c:showBubbleSize val="0"/>
        </c:dLbls>
        <c:gapWidth val="500"/>
        <c:overlap val="-71"/>
        <c:axId val="251572192"/>
        <c:axId val="251572584"/>
      </c:barChart>
      <c:catAx>
        <c:axId val="251572192"/>
        <c:scaling>
          <c:orientation val="minMax"/>
        </c:scaling>
        <c:delete val="1"/>
        <c:axPos val="b"/>
        <c:numFmt formatCode="General" sourceLinked="1"/>
        <c:majorTickMark val="none"/>
        <c:minorTickMark val="none"/>
        <c:tickLblPos val="nextTo"/>
        <c:crossAx val="251572584"/>
        <c:crosses val="autoZero"/>
        <c:auto val="1"/>
        <c:lblAlgn val="ctr"/>
        <c:lblOffset val="100"/>
        <c:noMultiLvlLbl val="0"/>
      </c:catAx>
      <c:valAx>
        <c:axId val="25157258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15721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C800"/>
            </a:solidFill>
            <a:ln>
              <a:noFill/>
            </a:ln>
            <a:effectLst/>
          </c:spPr>
          <c:invertIfNegative val="0"/>
          <c:val>
            <c:numRef>
              <c:f>'Shelter overview'!$F$21</c:f>
              <c:numCache>
                <c:formatCode>General</c:formatCode>
                <c:ptCount val="1"/>
                <c:pt idx="0">
                  <c:v>74</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overview'!$E$21</c:f>
              <c:numCache>
                <c:formatCode>#,##0</c:formatCode>
                <c:ptCount val="1"/>
                <c:pt idx="0">
                  <c:v>88</c:v>
                </c:pt>
              </c:numCache>
            </c:numRef>
          </c:val>
        </c:ser>
        <c:dLbls>
          <c:showLegendKey val="0"/>
          <c:showVal val="0"/>
          <c:showCatName val="0"/>
          <c:showSerName val="0"/>
          <c:showPercent val="0"/>
          <c:showBubbleSize val="0"/>
        </c:dLbls>
        <c:gapWidth val="500"/>
        <c:overlap val="-71"/>
        <c:axId val="251573368"/>
        <c:axId val="251573760"/>
      </c:barChart>
      <c:catAx>
        <c:axId val="251573368"/>
        <c:scaling>
          <c:orientation val="minMax"/>
        </c:scaling>
        <c:delete val="1"/>
        <c:axPos val="b"/>
        <c:numFmt formatCode="General" sourceLinked="1"/>
        <c:majorTickMark val="none"/>
        <c:minorTickMark val="none"/>
        <c:tickLblPos val="nextTo"/>
        <c:crossAx val="251573760"/>
        <c:crosses val="autoZero"/>
        <c:auto val="1"/>
        <c:lblAlgn val="ctr"/>
        <c:lblOffset val="100"/>
        <c:noMultiLvlLbl val="0"/>
      </c:catAx>
      <c:valAx>
        <c:axId val="25157376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15733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overview'!$F$22</c:f>
              <c:numCache>
                <c:formatCode>General</c:formatCode>
                <c:ptCount val="1"/>
                <c:pt idx="0">
                  <c:v>784</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overview'!$E$22</c:f>
              <c:numCache>
                <c:formatCode>#,##0</c:formatCode>
                <c:ptCount val="1"/>
                <c:pt idx="0">
                  <c:v>1276</c:v>
                </c:pt>
              </c:numCache>
            </c:numRef>
          </c:val>
        </c:ser>
        <c:dLbls>
          <c:showLegendKey val="0"/>
          <c:showVal val="0"/>
          <c:showCatName val="0"/>
          <c:showSerName val="0"/>
          <c:showPercent val="0"/>
          <c:showBubbleSize val="0"/>
        </c:dLbls>
        <c:gapWidth val="500"/>
        <c:overlap val="-71"/>
        <c:axId val="251574544"/>
        <c:axId val="251574936"/>
      </c:barChart>
      <c:catAx>
        <c:axId val="251574544"/>
        <c:scaling>
          <c:orientation val="minMax"/>
        </c:scaling>
        <c:delete val="1"/>
        <c:axPos val="b"/>
        <c:numFmt formatCode="General" sourceLinked="1"/>
        <c:majorTickMark val="none"/>
        <c:minorTickMark val="none"/>
        <c:tickLblPos val="nextTo"/>
        <c:crossAx val="251574936"/>
        <c:crosses val="autoZero"/>
        <c:auto val="1"/>
        <c:lblAlgn val="ctr"/>
        <c:lblOffset val="100"/>
        <c:noMultiLvlLbl val="0"/>
      </c:catAx>
      <c:valAx>
        <c:axId val="25157493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25157454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overview'!$F$23</c:f>
              <c:numCache>
                <c:formatCode>General</c:formatCode>
                <c:ptCount val="1"/>
                <c:pt idx="0">
                  <c:v>40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overview'!$E$23</c:f>
              <c:numCache>
                <c:formatCode>#,##0</c:formatCode>
                <c:ptCount val="1"/>
                <c:pt idx="0">
                  <c:v>261</c:v>
                </c:pt>
              </c:numCache>
            </c:numRef>
          </c:val>
        </c:ser>
        <c:dLbls>
          <c:showLegendKey val="0"/>
          <c:showVal val="0"/>
          <c:showCatName val="0"/>
          <c:showSerName val="0"/>
          <c:showPercent val="0"/>
          <c:showBubbleSize val="0"/>
        </c:dLbls>
        <c:gapWidth val="500"/>
        <c:overlap val="-71"/>
        <c:axId val="391051640"/>
        <c:axId val="391052032"/>
      </c:barChart>
      <c:catAx>
        <c:axId val="391051640"/>
        <c:scaling>
          <c:orientation val="minMax"/>
        </c:scaling>
        <c:delete val="1"/>
        <c:axPos val="b"/>
        <c:numFmt formatCode="General" sourceLinked="1"/>
        <c:majorTickMark val="none"/>
        <c:minorTickMark val="none"/>
        <c:tickLblPos val="nextTo"/>
        <c:crossAx val="391052032"/>
        <c:crosses val="autoZero"/>
        <c:auto val="1"/>
        <c:lblAlgn val="ctr"/>
        <c:lblOffset val="100"/>
        <c:noMultiLvlLbl val="0"/>
      </c:catAx>
      <c:valAx>
        <c:axId val="39105203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0516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overview'!$F$24</c:f>
              <c:numCache>
                <c:formatCode>General</c:formatCode>
                <c:ptCount val="1"/>
                <c:pt idx="0">
                  <c:v>200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overview'!$E$24</c:f>
              <c:numCache>
                <c:formatCode>#,##0</c:formatCode>
                <c:ptCount val="1"/>
                <c:pt idx="0">
                  <c:v>279</c:v>
                </c:pt>
              </c:numCache>
            </c:numRef>
          </c:val>
        </c:ser>
        <c:dLbls>
          <c:showLegendKey val="0"/>
          <c:showVal val="0"/>
          <c:showCatName val="0"/>
          <c:showSerName val="0"/>
          <c:showPercent val="0"/>
          <c:showBubbleSize val="0"/>
        </c:dLbls>
        <c:gapWidth val="500"/>
        <c:overlap val="-71"/>
        <c:axId val="391052816"/>
        <c:axId val="391053208"/>
      </c:barChart>
      <c:catAx>
        <c:axId val="391052816"/>
        <c:scaling>
          <c:orientation val="minMax"/>
        </c:scaling>
        <c:delete val="1"/>
        <c:axPos val="b"/>
        <c:numFmt formatCode="General" sourceLinked="1"/>
        <c:majorTickMark val="none"/>
        <c:minorTickMark val="none"/>
        <c:tickLblPos val="nextTo"/>
        <c:crossAx val="391053208"/>
        <c:crosses val="autoZero"/>
        <c:auto val="1"/>
        <c:lblAlgn val="ctr"/>
        <c:lblOffset val="100"/>
        <c:noMultiLvlLbl val="0"/>
      </c:catAx>
      <c:valAx>
        <c:axId val="39105320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0528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overview'!$F$26</c:f>
              <c:numCache>
                <c:formatCode>General</c:formatCode>
                <c:ptCount val="1"/>
                <c:pt idx="0">
                  <c:v>10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overview'!$E$26</c:f>
              <c:numCache>
                <c:formatCode>#,##0</c:formatCode>
                <c:ptCount val="1"/>
                <c:pt idx="0">
                  <c:v>50</c:v>
                </c:pt>
              </c:numCache>
            </c:numRef>
          </c:val>
        </c:ser>
        <c:dLbls>
          <c:showLegendKey val="0"/>
          <c:showVal val="0"/>
          <c:showCatName val="0"/>
          <c:showSerName val="0"/>
          <c:showPercent val="0"/>
          <c:showBubbleSize val="0"/>
        </c:dLbls>
        <c:gapWidth val="500"/>
        <c:overlap val="-71"/>
        <c:axId val="391053992"/>
        <c:axId val="391054384"/>
      </c:barChart>
      <c:catAx>
        <c:axId val="391053992"/>
        <c:scaling>
          <c:orientation val="minMax"/>
        </c:scaling>
        <c:delete val="1"/>
        <c:axPos val="b"/>
        <c:numFmt formatCode="General" sourceLinked="1"/>
        <c:majorTickMark val="none"/>
        <c:minorTickMark val="none"/>
        <c:tickLblPos val="nextTo"/>
        <c:crossAx val="391054384"/>
        <c:crosses val="autoZero"/>
        <c:auto val="1"/>
        <c:lblAlgn val="ctr"/>
        <c:lblOffset val="100"/>
        <c:noMultiLvlLbl val="0"/>
      </c:catAx>
      <c:valAx>
        <c:axId val="39105438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0539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overview'!$F$27</c:f>
              <c:numCache>
                <c:formatCode>General</c:formatCode>
                <c:ptCount val="1"/>
                <c:pt idx="0">
                  <c:v>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overview'!$E$27</c:f>
              <c:numCache>
                <c:formatCode>#,##0</c:formatCode>
                <c:ptCount val="1"/>
                <c:pt idx="0">
                  <c:v>159</c:v>
                </c:pt>
              </c:numCache>
            </c:numRef>
          </c:val>
        </c:ser>
        <c:dLbls>
          <c:showLegendKey val="0"/>
          <c:showVal val="0"/>
          <c:showCatName val="0"/>
          <c:showSerName val="0"/>
          <c:showPercent val="0"/>
          <c:showBubbleSize val="0"/>
        </c:dLbls>
        <c:gapWidth val="500"/>
        <c:overlap val="-71"/>
        <c:axId val="391055168"/>
        <c:axId val="391430112"/>
      </c:barChart>
      <c:catAx>
        <c:axId val="391055168"/>
        <c:scaling>
          <c:orientation val="minMax"/>
        </c:scaling>
        <c:delete val="1"/>
        <c:axPos val="b"/>
        <c:numFmt formatCode="General" sourceLinked="1"/>
        <c:majorTickMark val="none"/>
        <c:minorTickMark val="none"/>
        <c:tickLblPos val="nextTo"/>
        <c:crossAx val="391430112"/>
        <c:crosses val="autoZero"/>
        <c:auto val="1"/>
        <c:lblAlgn val="ctr"/>
        <c:lblOffset val="100"/>
        <c:noMultiLvlLbl val="0"/>
      </c:catAx>
      <c:valAx>
        <c:axId val="39143011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0551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5873971466938"/>
          <c:y val="0.19384550915319901"/>
          <c:w val="0.49639055867482584"/>
          <c:h val="0.61230898169360204"/>
        </c:manualLayout>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overview'!$F$29</c:f>
              <c:numCache>
                <c:formatCode>General</c:formatCode>
                <c:ptCount val="1"/>
                <c:pt idx="0">
                  <c:v>363</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overview'!$E$29</c:f>
              <c:numCache>
                <c:formatCode>#,##0</c:formatCode>
                <c:ptCount val="1"/>
                <c:pt idx="0">
                  <c:v>1789</c:v>
                </c:pt>
              </c:numCache>
            </c:numRef>
          </c:val>
        </c:ser>
        <c:dLbls>
          <c:showLegendKey val="0"/>
          <c:showVal val="0"/>
          <c:showCatName val="0"/>
          <c:showSerName val="0"/>
          <c:showPercent val="0"/>
          <c:showBubbleSize val="0"/>
        </c:dLbls>
        <c:gapWidth val="500"/>
        <c:overlap val="-71"/>
        <c:axId val="391430896"/>
        <c:axId val="391431288"/>
      </c:barChart>
      <c:catAx>
        <c:axId val="391430896"/>
        <c:scaling>
          <c:orientation val="minMax"/>
        </c:scaling>
        <c:delete val="1"/>
        <c:axPos val="b"/>
        <c:numFmt formatCode="General" sourceLinked="1"/>
        <c:majorTickMark val="none"/>
        <c:minorTickMark val="none"/>
        <c:tickLblPos val="nextTo"/>
        <c:crossAx val="391431288"/>
        <c:crosses val="autoZero"/>
        <c:auto val="1"/>
        <c:lblAlgn val="ctr"/>
        <c:lblOffset val="100"/>
        <c:noMultiLvlLbl val="0"/>
      </c:catAx>
      <c:valAx>
        <c:axId val="39143128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43089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overview'!$F$25</c:f>
              <c:numCache>
                <c:formatCode>General</c:formatCode>
                <c:ptCount val="1"/>
                <c:pt idx="0">
                  <c:v>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overview'!$E$25</c:f>
              <c:numCache>
                <c:formatCode>#,##0</c:formatCode>
                <c:ptCount val="1"/>
                <c:pt idx="0">
                  <c:v>30</c:v>
                </c:pt>
              </c:numCache>
            </c:numRef>
          </c:val>
        </c:ser>
        <c:dLbls>
          <c:showLegendKey val="0"/>
          <c:showVal val="0"/>
          <c:showCatName val="0"/>
          <c:showSerName val="0"/>
          <c:showPercent val="0"/>
          <c:showBubbleSize val="0"/>
        </c:dLbls>
        <c:gapWidth val="500"/>
        <c:overlap val="-71"/>
        <c:axId val="391432072"/>
        <c:axId val="391432464"/>
      </c:barChart>
      <c:catAx>
        <c:axId val="391432072"/>
        <c:scaling>
          <c:orientation val="minMax"/>
        </c:scaling>
        <c:delete val="1"/>
        <c:axPos val="b"/>
        <c:numFmt formatCode="General" sourceLinked="1"/>
        <c:majorTickMark val="none"/>
        <c:minorTickMark val="none"/>
        <c:tickLblPos val="nextTo"/>
        <c:crossAx val="391432464"/>
        <c:crosses val="autoZero"/>
        <c:auto val="1"/>
        <c:lblAlgn val="ctr"/>
        <c:lblOffset val="100"/>
        <c:noMultiLvlLbl val="0"/>
      </c:catAx>
      <c:valAx>
        <c:axId val="3914324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4320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overview'!$F$28</c:f>
              <c:numCache>
                <c:formatCode>General</c:formatCode>
                <c:ptCount val="1"/>
                <c:pt idx="0">
                  <c:v>113</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overview'!$E$28</c:f>
              <c:numCache>
                <c:formatCode>#,##0</c:formatCode>
                <c:ptCount val="1"/>
                <c:pt idx="0">
                  <c:v>235</c:v>
                </c:pt>
              </c:numCache>
            </c:numRef>
          </c:val>
        </c:ser>
        <c:dLbls>
          <c:showLegendKey val="0"/>
          <c:showVal val="0"/>
          <c:showCatName val="0"/>
          <c:showSerName val="0"/>
          <c:showPercent val="0"/>
          <c:showBubbleSize val="0"/>
        </c:dLbls>
        <c:gapWidth val="500"/>
        <c:overlap val="-71"/>
        <c:axId val="391433640"/>
        <c:axId val="391434032"/>
      </c:barChart>
      <c:catAx>
        <c:axId val="391433640"/>
        <c:scaling>
          <c:orientation val="minMax"/>
        </c:scaling>
        <c:delete val="1"/>
        <c:axPos val="b"/>
        <c:numFmt formatCode="General" sourceLinked="1"/>
        <c:majorTickMark val="none"/>
        <c:minorTickMark val="none"/>
        <c:tickLblPos val="nextTo"/>
        <c:crossAx val="391434032"/>
        <c:crosses val="autoZero"/>
        <c:auto val="1"/>
        <c:lblAlgn val="ctr"/>
        <c:lblOffset val="100"/>
        <c:noMultiLvlLbl val="0"/>
      </c:catAx>
      <c:valAx>
        <c:axId val="39143403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4336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overview'!$F$13</c:f>
              <c:numCache>
                <c:formatCode>General</c:formatCode>
                <c:ptCount val="1"/>
                <c:pt idx="0">
                  <c:v>0</c:v>
                </c:pt>
              </c:numCache>
            </c:numRef>
          </c:val>
        </c:ser>
        <c:ser>
          <c:idx val="1"/>
          <c:order val="1"/>
          <c:tx>
            <c:strRef>
              <c:f>'Shelter overview'!$E$9</c:f>
              <c:strCache>
                <c:ptCount val="1"/>
                <c:pt idx="0">
                  <c:v># Shelters needed</c:v>
                </c:pt>
              </c:strCache>
            </c:strRef>
          </c:tx>
          <c:spPr>
            <a:solidFill>
              <a:srgbClr val="CC0000"/>
            </a:solidFill>
            <a:ln>
              <a:noFill/>
            </a:ln>
            <a:effectLst/>
          </c:spPr>
          <c:invertIfNegative val="0"/>
          <c:val>
            <c:numRef>
              <c:f>'Shelter overview'!$E$13</c:f>
              <c:numCache>
                <c:formatCode>#,##0</c:formatCode>
                <c:ptCount val="1"/>
                <c:pt idx="0">
                  <c:v>7</c:v>
                </c:pt>
              </c:numCache>
            </c:numRef>
          </c:val>
        </c:ser>
        <c:dLbls>
          <c:showLegendKey val="0"/>
          <c:showVal val="0"/>
          <c:showCatName val="0"/>
          <c:showSerName val="0"/>
          <c:showPercent val="0"/>
          <c:showBubbleSize val="0"/>
        </c:dLbls>
        <c:gapWidth val="500"/>
        <c:overlap val="-71"/>
        <c:axId val="391434424"/>
        <c:axId val="391434816"/>
      </c:barChart>
      <c:catAx>
        <c:axId val="391434424"/>
        <c:scaling>
          <c:orientation val="minMax"/>
        </c:scaling>
        <c:delete val="1"/>
        <c:axPos val="b"/>
        <c:numFmt formatCode="General" sourceLinked="1"/>
        <c:majorTickMark val="none"/>
        <c:minorTickMark val="none"/>
        <c:tickLblPos val="nextTo"/>
        <c:crossAx val="391434816"/>
        <c:crosses val="autoZero"/>
        <c:auto val="1"/>
        <c:lblAlgn val="ctr"/>
        <c:lblOffset val="100"/>
        <c:noMultiLvlLbl val="0"/>
      </c:catAx>
      <c:valAx>
        <c:axId val="39143481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91434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_October_2018.xlsx]NFI Summary!PivotTable2</c:name>
    <c:fmtId val="0"/>
  </c:pivotSource>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US" sz="1050" b="1">
                <a:solidFill>
                  <a:sysClr val="windowText" lastClr="000000"/>
                </a:solidFill>
              </a:rPr>
              <a:t># of distributions by agencies/location</a:t>
            </a:r>
          </a:p>
          <a:p>
            <a:pPr>
              <a:defRPr sz="1050">
                <a:solidFill>
                  <a:sysClr val="windowText" lastClr="000000"/>
                </a:solidFill>
              </a:defRPr>
            </a:pPr>
            <a:r>
              <a:rPr lang="en-US" sz="800" b="0">
                <a:solidFill>
                  <a:sysClr val="windowText" lastClr="000000"/>
                </a:solidFill>
              </a:rPr>
              <a:t>(Jan</a:t>
            </a:r>
            <a:r>
              <a:rPr lang="en-US" sz="800" b="0" baseline="0">
                <a:solidFill>
                  <a:sysClr val="windowText" lastClr="000000"/>
                </a:solidFill>
              </a:rPr>
              <a:t>-June</a:t>
            </a:r>
          </a:p>
          <a:p>
            <a:pPr>
              <a:defRPr sz="1050">
                <a:solidFill>
                  <a:sysClr val="windowText" lastClr="000000"/>
                </a:solidFill>
              </a:defRPr>
            </a:pPr>
            <a:r>
              <a:rPr lang="en-US" sz="800" b="0" baseline="0">
                <a:solidFill>
                  <a:sysClr val="windowText" lastClr="000000"/>
                </a:solidFill>
              </a:rPr>
              <a:t>2018</a:t>
            </a:r>
            <a:r>
              <a:rPr lang="en-US" sz="800" b="0">
                <a:solidFill>
                  <a:sysClr val="windowText" lastClr="000000"/>
                </a:solidFill>
              </a:rPr>
              <a:t>)</a:t>
            </a:r>
          </a:p>
        </c:rich>
      </c:tx>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8686990675521379E-2"/>
          <c:y val="0.2193174482421178"/>
          <c:w val="0.92262601864895721"/>
          <c:h val="0.38385371254605938"/>
        </c:manualLayout>
      </c:layout>
      <c:barChart>
        <c:barDir val="col"/>
        <c:grouping val="clustered"/>
        <c:varyColors val="0"/>
        <c:ser>
          <c:idx val="0"/>
          <c:order val="0"/>
          <c:tx>
            <c:strRef>
              <c:f>'NFI Summary'!$AY$4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Summary'!$AX$5:$AX$17</c:f>
              <c:strCache>
                <c:ptCount val="12"/>
                <c:pt idx="0">
                  <c:v>Metta</c:v>
                </c:pt>
                <c:pt idx="1">
                  <c:v>MRCS</c:v>
                </c:pt>
                <c:pt idx="2">
                  <c:v>NRC</c:v>
                </c:pt>
                <c:pt idx="3">
                  <c:v>UNHCR</c:v>
                </c:pt>
                <c:pt idx="4">
                  <c:v>Shalom</c:v>
                </c:pt>
                <c:pt idx="5">
                  <c:v>RI</c:v>
                </c:pt>
                <c:pt idx="6">
                  <c:v>KMSS_Myitkyina</c:v>
                </c:pt>
                <c:pt idx="7">
                  <c:v>DRC</c:v>
                </c:pt>
                <c:pt idx="8">
                  <c:v>KBC</c:v>
                </c:pt>
                <c:pt idx="9">
                  <c:v>WVI</c:v>
                </c:pt>
                <c:pt idx="10">
                  <c:v>Plan Int.</c:v>
                </c:pt>
                <c:pt idx="11">
                  <c:v>ICRC</c:v>
                </c:pt>
              </c:strCache>
            </c:strRef>
          </c:cat>
          <c:val>
            <c:numRef>
              <c:f>'NFI Summary'!$AY$5:$AY$17</c:f>
              <c:numCache>
                <c:formatCode>General</c:formatCode>
                <c:ptCount val="12"/>
                <c:pt idx="0">
                  <c:v>15</c:v>
                </c:pt>
                <c:pt idx="1">
                  <c:v>14</c:v>
                </c:pt>
                <c:pt idx="2">
                  <c:v>7</c:v>
                </c:pt>
                <c:pt idx="3">
                  <c:v>18</c:v>
                </c:pt>
                <c:pt idx="4">
                  <c:v>2</c:v>
                </c:pt>
                <c:pt idx="5">
                  <c:v>11</c:v>
                </c:pt>
                <c:pt idx="6">
                  <c:v>2</c:v>
                </c:pt>
                <c:pt idx="7">
                  <c:v>38</c:v>
                </c:pt>
                <c:pt idx="8">
                  <c:v>1</c:v>
                </c:pt>
                <c:pt idx="9">
                  <c:v>11</c:v>
                </c:pt>
                <c:pt idx="10">
                  <c:v>4</c:v>
                </c:pt>
                <c:pt idx="11">
                  <c:v>2</c:v>
                </c:pt>
              </c:numCache>
            </c:numRef>
          </c:val>
        </c:ser>
        <c:dLbls>
          <c:showLegendKey val="0"/>
          <c:showVal val="0"/>
          <c:showCatName val="0"/>
          <c:showSerName val="0"/>
          <c:showPercent val="0"/>
          <c:showBubbleSize val="0"/>
        </c:dLbls>
        <c:gapWidth val="219"/>
        <c:overlap val="-27"/>
        <c:axId val="391436384"/>
        <c:axId val="391436776"/>
      </c:barChart>
      <c:catAx>
        <c:axId val="39143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91436776"/>
        <c:crosses val="autoZero"/>
        <c:auto val="1"/>
        <c:lblAlgn val="ctr"/>
        <c:lblOffset val="100"/>
        <c:noMultiLvlLbl val="0"/>
      </c:catAx>
      <c:valAx>
        <c:axId val="391436776"/>
        <c:scaling>
          <c:orientation val="minMax"/>
        </c:scaling>
        <c:delete val="1"/>
        <c:axPos val="l"/>
        <c:numFmt formatCode="General" sourceLinked="1"/>
        <c:majorTickMark val="none"/>
        <c:minorTickMark val="none"/>
        <c:tickLblPos val="nextTo"/>
        <c:crossAx val="391436384"/>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_October_2018.xlsx]NFI Summary!PivotTable3</c:name>
    <c:fmtId val="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050" b="1">
                <a:solidFill>
                  <a:sysClr val="windowText" lastClr="000000"/>
                </a:solidFill>
              </a:rPr>
              <a:t># of each item distributed</a:t>
            </a:r>
            <a:r>
              <a:rPr lang="en-US" sz="1050" b="1" baseline="0">
                <a:solidFill>
                  <a:sysClr val="windowText" lastClr="000000"/>
                </a:solidFill>
              </a:rPr>
              <a:t> </a:t>
            </a:r>
          </a:p>
          <a:p>
            <a:pPr>
              <a:defRPr>
                <a:solidFill>
                  <a:sysClr val="windowText" lastClr="000000"/>
                </a:solidFill>
              </a:defRPr>
            </a:pPr>
            <a:r>
              <a:rPr lang="en-US" sz="800" b="0" baseline="0">
                <a:solidFill>
                  <a:sysClr val="windowText" lastClr="000000"/>
                </a:solidFill>
              </a:rPr>
              <a:t>(2017 &amp; 2018)</a:t>
            </a:r>
            <a:endParaRPr lang="en-US" sz="800" b="0">
              <a:solidFill>
                <a:sysClr val="windowText" lastClr="000000"/>
              </a:solidFill>
            </a:endParaRPr>
          </a:p>
        </c:rich>
      </c:tx>
      <c:layout>
        <c:manualLayout>
          <c:xMode val="edge"/>
          <c:yMode val="edge"/>
          <c:x val="0.30467899677018734"/>
          <c:y val="2.75846682788266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133767013245133E-2"/>
          <c:y val="0.14474201937296108"/>
          <c:w val="0.96562926509186353"/>
          <c:h val="0.48678097235660323"/>
        </c:manualLayout>
      </c:layout>
      <c:barChart>
        <c:barDir val="col"/>
        <c:grouping val="clustered"/>
        <c:varyColors val="0"/>
        <c:ser>
          <c:idx val="0"/>
          <c:order val="0"/>
          <c:tx>
            <c:strRef>
              <c:f>'NFI Summary'!$AV$4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Summary'!$AU$5:$AU$14</c:f>
              <c:strCache>
                <c:ptCount val="10"/>
                <c:pt idx="0">
                  <c:v> Cash for NFI (# of HHs covered)</c:v>
                </c:pt>
                <c:pt idx="1">
                  <c:v> NFI Core Kit</c:v>
                </c:pt>
                <c:pt idx="2">
                  <c:v> Sanitary Kit</c:v>
                </c:pt>
                <c:pt idx="3">
                  <c:v> Mosquito net</c:v>
                </c:pt>
                <c:pt idx="4">
                  <c:v> Tarpaulin</c:v>
                </c:pt>
                <c:pt idx="5">
                  <c:v> Blanket</c:v>
                </c:pt>
                <c:pt idx="6">
                  <c:v> Kitchen Set</c:v>
                </c:pt>
                <c:pt idx="7">
                  <c:v> Plastic Bucket</c:v>
                </c:pt>
                <c:pt idx="8">
                  <c:v> Plastic Mat</c:v>
                </c:pt>
                <c:pt idx="9">
                  <c:v> Solar lamps</c:v>
                </c:pt>
              </c:strCache>
            </c:strRef>
          </c:cat>
          <c:val>
            <c:numRef>
              <c:f>'NFI Summary'!$AV$5:$AV$14</c:f>
              <c:numCache>
                <c:formatCode>General</c:formatCode>
                <c:ptCount val="10"/>
                <c:pt idx="0">
                  <c:v>466</c:v>
                </c:pt>
                <c:pt idx="1">
                  <c:v>1727</c:v>
                </c:pt>
                <c:pt idx="2">
                  <c:v>3540</c:v>
                </c:pt>
                <c:pt idx="3">
                  <c:v>6095</c:v>
                </c:pt>
                <c:pt idx="4">
                  <c:v>2051</c:v>
                </c:pt>
                <c:pt idx="5">
                  <c:v>11282</c:v>
                </c:pt>
                <c:pt idx="6">
                  <c:v>3258</c:v>
                </c:pt>
                <c:pt idx="7">
                  <c:v>1808</c:v>
                </c:pt>
                <c:pt idx="8">
                  <c:v>6472</c:v>
                </c:pt>
                <c:pt idx="9">
                  <c:v>2191</c:v>
                </c:pt>
              </c:numCache>
            </c:numRef>
          </c:val>
        </c:ser>
        <c:dLbls>
          <c:dLblPos val="outEnd"/>
          <c:showLegendKey val="0"/>
          <c:showVal val="1"/>
          <c:showCatName val="0"/>
          <c:showSerName val="0"/>
          <c:showPercent val="0"/>
          <c:showBubbleSize val="0"/>
        </c:dLbls>
        <c:gapWidth val="219"/>
        <c:overlap val="-27"/>
        <c:axId val="391437560"/>
        <c:axId val="247553616"/>
      </c:barChart>
      <c:catAx>
        <c:axId val="391437560"/>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247553616"/>
        <c:crosses val="autoZero"/>
        <c:auto val="1"/>
        <c:lblAlgn val="ctr"/>
        <c:lblOffset val="100"/>
        <c:noMultiLvlLbl val="0"/>
      </c:catAx>
      <c:valAx>
        <c:axId val="247553616"/>
        <c:scaling>
          <c:orientation val="minMax"/>
        </c:scaling>
        <c:delete val="1"/>
        <c:axPos val="l"/>
        <c:numFmt formatCode="General" sourceLinked="1"/>
        <c:majorTickMark val="none"/>
        <c:minorTickMark val="none"/>
        <c:tickLblPos val="nextTo"/>
        <c:crossAx val="391437560"/>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_October_2018.xlsx]NFI Summary!PivotTable4</c:name>
    <c:fmtId val="1"/>
  </c:pivotSource>
  <c:chart>
    <c:autoTitleDeleted val="1"/>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9247729682794588E-2"/>
          <c:y val="8.6820057174014517E-2"/>
          <c:w val="0.9205058717253839"/>
          <c:h val="0.44316284722767696"/>
        </c:manualLayout>
      </c:layout>
      <c:barChart>
        <c:barDir val="col"/>
        <c:grouping val="clustered"/>
        <c:varyColors val="0"/>
        <c:ser>
          <c:idx val="0"/>
          <c:order val="0"/>
          <c:tx>
            <c:strRef>
              <c:f>'NFI Summary'!$AV$18</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'NFI Summary'!$AU$19:$AU$40</c:f>
              <c:strCache>
                <c:ptCount val="21"/>
                <c:pt idx="0">
                  <c:v>Bhamo</c:v>
                </c:pt>
                <c:pt idx="1">
                  <c:v>Chipwi</c:v>
                </c:pt>
                <c:pt idx="2">
                  <c:v>Hpakant</c:v>
                </c:pt>
                <c:pt idx="3">
                  <c:v>Hseni</c:v>
                </c:pt>
                <c:pt idx="4">
                  <c:v>Kutkai</c:v>
                </c:pt>
                <c:pt idx="5">
                  <c:v>Mansi</c:v>
                </c:pt>
                <c:pt idx="6">
                  <c:v>Myitkyina</c:v>
                </c:pt>
                <c:pt idx="7">
                  <c:v>Namtu</c:v>
                </c:pt>
                <c:pt idx="8">
                  <c:v>Shwegu</c:v>
                </c:pt>
                <c:pt idx="9">
                  <c:v>Sumprabum</c:v>
                </c:pt>
                <c:pt idx="10">
                  <c:v>Tanai</c:v>
                </c:pt>
                <c:pt idx="11">
                  <c:v>Waingmaw</c:v>
                </c:pt>
                <c:pt idx="12">
                  <c:v>Mohnyin</c:v>
                </c:pt>
                <c:pt idx="13">
                  <c:v>Kyaukme</c:v>
                </c:pt>
                <c:pt idx="14">
                  <c:v>Momauk</c:v>
                </c:pt>
                <c:pt idx="15">
                  <c:v>Namhkan</c:v>
                </c:pt>
                <c:pt idx="16">
                  <c:v>Muse</c:v>
                </c:pt>
                <c:pt idx="17">
                  <c:v>Mogaung</c:v>
                </c:pt>
                <c:pt idx="18">
                  <c:v>Injangyang</c:v>
                </c:pt>
                <c:pt idx="19">
                  <c:v>Puta-O</c:v>
                </c:pt>
                <c:pt idx="20">
                  <c:v>Manton</c:v>
                </c:pt>
              </c:strCache>
            </c:strRef>
          </c:cat>
          <c:val>
            <c:numRef>
              <c:f>'NFI Summary'!$AV$19:$AV$40</c:f>
              <c:numCache>
                <c:formatCode>General</c:formatCode>
                <c:ptCount val="21"/>
                <c:pt idx="0">
                  <c:v>23</c:v>
                </c:pt>
                <c:pt idx="1">
                  <c:v>10</c:v>
                </c:pt>
                <c:pt idx="2">
                  <c:v>18</c:v>
                </c:pt>
                <c:pt idx="3">
                  <c:v>3</c:v>
                </c:pt>
                <c:pt idx="4">
                  <c:v>20</c:v>
                </c:pt>
                <c:pt idx="5">
                  <c:v>35</c:v>
                </c:pt>
                <c:pt idx="6">
                  <c:v>66</c:v>
                </c:pt>
                <c:pt idx="7">
                  <c:v>28</c:v>
                </c:pt>
                <c:pt idx="8">
                  <c:v>8</c:v>
                </c:pt>
                <c:pt idx="9">
                  <c:v>4</c:v>
                </c:pt>
                <c:pt idx="10">
                  <c:v>6</c:v>
                </c:pt>
                <c:pt idx="11">
                  <c:v>57</c:v>
                </c:pt>
                <c:pt idx="12">
                  <c:v>3</c:v>
                </c:pt>
                <c:pt idx="13">
                  <c:v>8</c:v>
                </c:pt>
                <c:pt idx="14">
                  <c:v>17</c:v>
                </c:pt>
                <c:pt idx="15">
                  <c:v>23</c:v>
                </c:pt>
                <c:pt idx="16">
                  <c:v>4</c:v>
                </c:pt>
                <c:pt idx="17">
                  <c:v>22</c:v>
                </c:pt>
                <c:pt idx="18">
                  <c:v>2</c:v>
                </c:pt>
                <c:pt idx="19">
                  <c:v>2</c:v>
                </c:pt>
                <c:pt idx="20">
                  <c:v>2</c:v>
                </c:pt>
              </c:numCache>
            </c:numRef>
          </c:val>
        </c:ser>
        <c:dLbls>
          <c:dLblPos val="outEnd"/>
          <c:showLegendKey val="0"/>
          <c:showVal val="1"/>
          <c:showCatName val="0"/>
          <c:showSerName val="0"/>
          <c:showPercent val="0"/>
          <c:showBubbleSize val="0"/>
        </c:dLbls>
        <c:gapWidth val="219"/>
        <c:overlap val="-27"/>
        <c:axId val="381097624"/>
        <c:axId val="381098016"/>
      </c:barChart>
      <c:catAx>
        <c:axId val="381097624"/>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81098016"/>
        <c:crosses val="autoZero"/>
        <c:auto val="1"/>
        <c:lblAlgn val="ctr"/>
        <c:lblOffset val="100"/>
        <c:noMultiLvlLbl val="0"/>
      </c:catAx>
      <c:valAx>
        <c:axId val="381098016"/>
        <c:scaling>
          <c:orientation val="minMax"/>
        </c:scaling>
        <c:delete val="1"/>
        <c:axPos val="l"/>
        <c:numFmt formatCode="General" sourceLinked="1"/>
        <c:majorTickMark val="none"/>
        <c:minorTickMark val="none"/>
        <c:tickLblPos val="nextTo"/>
        <c:crossAx val="381097624"/>
        <c:crosses val="autoZero"/>
        <c:crossBetween val="between"/>
      </c:valAx>
      <c:spPr>
        <a:noFill/>
        <a:ln>
          <a:noFill/>
        </a:ln>
        <a:effectLst/>
      </c:spPr>
    </c:plotArea>
    <c:plotVisOnly val="1"/>
    <c:dispBlanksAs val="gap"/>
    <c:showDLblsOverMax val="0"/>
  </c:chart>
  <c:spPr>
    <a:noFill/>
    <a:ln w="1905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0" dropStyle="combo" dx="16" noThreeD="1" sel="0" val="0"/>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1.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image" Target="../media/image3.png"/><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image" Target="../media/image1.png"/><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image" Target="../media/image15.jpg"/><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image" Target="../media/image23.jpeg"/><Relationship Id="rId3" Type="http://schemas.openxmlformats.org/officeDocument/2006/relationships/image" Target="../media/image1.png"/><Relationship Id="rId7" Type="http://schemas.openxmlformats.org/officeDocument/2006/relationships/image" Target="../media/image19.gif"/><Relationship Id="rId12" Type="http://schemas.openxmlformats.org/officeDocument/2006/relationships/image" Target="../media/image22.jpeg"/><Relationship Id="rId2" Type="http://schemas.openxmlformats.org/officeDocument/2006/relationships/image" Target="../media/image17.png"/><Relationship Id="rId16" Type="http://schemas.openxmlformats.org/officeDocument/2006/relationships/image" Target="../media/image26.jpeg"/><Relationship Id="rId1" Type="http://schemas.openxmlformats.org/officeDocument/2006/relationships/chart" Target="../charts/chart29.xml"/><Relationship Id="rId6" Type="http://schemas.openxmlformats.org/officeDocument/2006/relationships/image" Target="../media/image18.jpeg"/><Relationship Id="rId11" Type="http://schemas.openxmlformats.org/officeDocument/2006/relationships/chart" Target="../charts/chart31.xml"/><Relationship Id="rId5" Type="http://schemas.openxmlformats.org/officeDocument/2006/relationships/hyperlink" Target="http://www.sheltercluster.org/library/standards-and-guidelines-nfi" TargetMode="External"/><Relationship Id="rId15" Type="http://schemas.openxmlformats.org/officeDocument/2006/relationships/image" Target="../media/image25.png"/><Relationship Id="rId10" Type="http://schemas.openxmlformats.org/officeDocument/2006/relationships/image" Target="../media/image21.png"/><Relationship Id="rId4" Type="http://schemas.openxmlformats.org/officeDocument/2006/relationships/image" Target="../media/image3.png"/><Relationship Id="rId9" Type="http://schemas.openxmlformats.org/officeDocument/2006/relationships/image" Target="../media/image20.png"/><Relationship Id="rId14" Type="http://schemas.openxmlformats.org/officeDocument/2006/relationships/image" Target="../media/image2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7</xdr:col>
      <xdr:colOff>771525</xdr:colOff>
      <xdr:row>2</xdr:row>
      <xdr:rowOff>211455</xdr:rowOff>
    </xdr:from>
    <xdr:to>
      <xdr:col>8</xdr:col>
      <xdr:colOff>64770</xdr:colOff>
      <xdr:row>2</xdr:row>
      <xdr:rowOff>333375</xdr:rowOff>
    </xdr:to>
    <xdr:sp macro="" textlink="">
      <xdr:nvSpPr>
        <xdr:cNvPr id="2" name="Rectangle 1"/>
        <xdr:cNvSpPr/>
      </xdr:nvSpPr>
      <xdr:spPr>
        <a:xfrm>
          <a:off x="5476875" y="506730"/>
          <a:ext cx="160020" cy="121920"/>
        </a:xfrm>
        <a:prstGeom prst="rect">
          <a:avLst/>
        </a:prstGeom>
        <a:solidFill>
          <a:srgbClr val="92D05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1384935</xdr:colOff>
      <xdr:row>2</xdr:row>
      <xdr:rowOff>241935</xdr:rowOff>
    </xdr:from>
    <xdr:to>
      <xdr:col>8</xdr:col>
      <xdr:colOff>1522095</xdr:colOff>
      <xdr:row>2</xdr:row>
      <xdr:rowOff>356235</xdr:rowOff>
    </xdr:to>
    <xdr:sp macro="" textlink="">
      <xdr:nvSpPr>
        <xdr:cNvPr id="18" name="Rectangle 17"/>
        <xdr:cNvSpPr/>
      </xdr:nvSpPr>
      <xdr:spPr>
        <a:xfrm>
          <a:off x="4556760" y="537210"/>
          <a:ext cx="137160" cy="114300"/>
        </a:xfrm>
        <a:prstGeom prst="rect">
          <a:avLst/>
        </a:prstGeom>
        <a:solidFill>
          <a:srgbClr val="FD236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868680</xdr:colOff>
      <xdr:row>1</xdr:row>
      <xdr:rowOff>152400</xdr:rowOff>
    </xdr:from>
    <xdr:to>
      <xdr:col>21</xdr:col>
      <xdr:colOff>350520</xdr:colOff>
      <xdr:row>2</xdr:row>
      <xdr:rowOff>304800</xdr:rowOff>
    </xdr:to>
    <xdr:grpSp>
      <xdr:nvGrpSpPr>
        <xdr:cNvPr id="7" name="Group 6"/>
        <xdr:cNvGrpSpPr/>
      </xdr:nvGrpSpPr>
      <xdr:grpSpPr>
        <a:xfrm>
          <a:off x="21404580" y="257175"/>
          <a:ext cx="1653540" cy="342900"/>
          <a:chOff x="6500812" y="317500"/>
          <a:chExt cx="6186806" cy="575469"/>
        </a:xfrm>
      </xdr:grpSpPr>
      <xdr:pic>
        <xdr:nvPicPr>
          <xdr:cNvPr id="8" name="Picture 7"/>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2465070</xdr:colOff>
      <xdr:row>1</xdr:row>
      <xdr:rowOff>7620</xdr:rowOff>
    </xdr:from>
    <xdr:to>
      <xdr:col>19</xdr:col>
      <xdr:colOff>0</xdr:colOff>
      <xdr:row>2</xdr:row>
      <xdr:rowOff>476250</xdr:rowOff>
    </xdr:to>
    <xdr:sp macro="" textlink="">
      <xdr:nvSpPr>
        <xdr:cNvPr id="3" name="TextBox 2"/>
        <xdr:cNvSpPr txBox="1"/>
      </xdr:nvSpPr>
      <xdr:spPr>
        <a:xfrm>
          <a:off x="9170670" y="112395"/>
          <a:ext cx="4002405" cy="65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Camp:</a:t>
          </a:r>
          <a:r>
            <a:rPr lang="en-US" sz="800"/>
            <a:t> Location with CCCM activities/Camp Management Agency</a:t>
          </a:r>
        </a:p>
        <a:p>
          <a:r>
            <a:rPr lang="en-US" sz="800" b="1"/>
            <a:t>Camp like setting</a:t>
          </a:r>
          <a:r>
            <a:rPr lang="en-US" sz="800"/>
            <a:t>: Location which has seen humanitarian interventions</a:t>
          </a:r>
        </a:p>
        <a:p>
          <a:r>
            <a:rPr lang="en-US" sz="800" b="1"/>
            <a:t>Host Community</a:t>
          </a:r>
          <a:r>
            <a:rPr lang="en-US" sz="800"/>
            <a:t>: IDPs living in host communities</a:t>
          </a:r>
        </a:p>
        <a:p>
          <a:r>
            <a:rPr lang="en-US" sz="800" b="1"/>
            <a:t>Boarding school</a:t>
          </a:r>
          <a:r>
            <a:rPr lang="en-US" sz="800"/>
            <a:t>: IDP</a:t>
          </a:r>
          <a:r>
            <a:rPr lang="en-US" sz="800" baseline="0"/>
            <a:t> students living in boarding schools</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3</xdr:row>
          <xdr:rowOff>238125</xdr:rowOff>
        </xdr:from>
        <xdr:to>
          <xdr:col>20</xdr:col>
          <xdr:colOff>238125</xdr:colOff>
          <xdr:row>3</xdr:row>
          <xdr:rowOff>438150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133071</xdr:colOff>
      <xdr:row>4</xdr:row>
      <xdr:rowOff>2241</xdr:rowOff>
    </xdr:from>
    <xdr:to>
      <xdr:col>11</xdr:col>
      <xdr:colOff>487176</xdr:colOff>
      <xdr:row>34</xdr:row>
      <xdr:rowOff>15128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98611</xdr:colOff>
      <xdr:row>1</xdr:row>
      <xdr:rowOff>233084</xdr:rowOff>
    </xdr:from>
    <xdr:to>
      <xdr:col>25</xdr:col>
      <xdr:colOff>887506</xdr:colOff>
      <xdr:row>1</xdr:row>
      <xdr:rowOff>748926</xdr:rowOff>
    </xdr:to>
    <xdr:grpSp>
      <xdr:nvGrpSpPr>
        <xdr:cNvPr id="7" name="Group 6"/>
        <xdr:cNvGrpSpPr/>
      </xdr:nvGrpSpPr>
      <xdr:grpSpPr>
        <a:xfrm>
          <a:off x="13766986" y="375959"/>
          <a:ext cx="5289458" cy="515842"/>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21</xdr:col>
      <xdr:colOff>466725</xdr:colOff>
      <xdr:row>8</xdr:row>
      <xdr:rowOff>200025</xdr:rowOff>
    </xdr:from>
    <xdr:to>
      <xdr:col>26</xdr:col>
      <xdr:colOff>0</xdr:colOff>
      <xdr:row>24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26</xdr:row>
      <xdr:rowOff>0</xdr:rowOff>
    </xdr:from>
    <xdr:to>
      <xdr:col>21</xdr:col>
      <xdr:colOff>0</xdr:colOff>
      <xdr:row>48</xdr:row>
      <xdr:rowOff>53788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466725</xdr:colOff>
      <xdr:row>25</xdr:row>
      <xdr:rowOff>8405</xdr:rowOff>
    </xdr:from>
    <xdr:to>
      <xdr:col>25</xdr:col>
      <xdr:colOff>1159807</xdr:colOff>
      <xdr:row>47</xdr:row>
      <xdr:rowOff>63874</xdr:rowOff>
    </xdr:to>
    <xdr:graphicFrame macro="">
      <xdr:nvGraphicFramePr>
        <xdr:cNvPr id="14" name="Chart 13" hidden="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133348</xdr:colOff>
      <xdr:row>34</xdr:row>
      <xdr:rowOff>106114</xdr:rowOff>
    </xdr:from>
    <xdr:to>
      <xdr:col>11</xdr:col>
      <xdr:colOff>466725</xdr:colOff>
      <xdr:row>72</xdr:row>
      <xdr:rowOff>57151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400050</xdr:colOff>
      <xdr:row>26</xdr:row>
      <xdr:rowOff>38100</xdr:rowOff>
    </xdr:from>
    <xdr:to>
      <xdr:col>26</xdr:col>
      <xdr:colOff>0</xdr:colOff>
      <xdr:row>48</xdr:row>
      <xdr:rowOff>93569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8</xdr:row>
      <xdr:rowOff>220755</xdr:rowOff>
    </xdr:from>
    <xdr:to>
      <xdr:col>21</xdr:col>
      <xdr:colOff>0</xdr:colOff>
      <xdr:row>24</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504825</xdr:colOff>
      <xdr:row>13</xdr:row>
      <xdr:rowOff>0</xdr:rowOff>
    </xdr:from>
    <xdr:ext cx="184731" cy="264560"/>
    <xdr:sp macro="" textlink="">
      <xdr:nvSpPr>
        <xdr:cNvPr id="2" name="TextBox 1"/>
        <xdr:cNvSpPr txBox="1"/>
      </xdr:nvSpPr>
      <xdr:spPr>
        <a:xfrm>
          <a:off x="10401300" y="232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53751</xdr:colOff>
      <xdr:row>5</xdr:row>
      <xdr:rowOff>20304</xdr:rowOff>
    </xdr:from>
    <xdr:to>
      <xdr:col>4</xdr:col>
      <xdr:colOff>1135894</xdr:colOff>
      <xdr:row>12</xdr:row>
      <xdr:rowOff>22411</xdr:rowOff>
    </xdr:to>
    <xdr:grpSp>
      <xdr:nvGrpSpPr>
        <xdr:cNvPr id="3" name="Group 2"/>
        <xdr:cNvGrpSpPr/>
      </xdr:nvGrpSpPr>
      <xdr:grpSpPr>
        <a:xfrm>
          <a:off x="53751" y="839454"/>
          <a:ext cx="3406243" cy="973657"/>
          <a:chOff x="15050954" y="1681076"/>
          <a:chExt cx="2498964" cy="813877"/>
        </a:xfrm>
      </xdr:grpSpPr>
      <xdr:grpSp>
        <xdr:nvGrpSpPr>
          <xdr:cNvPr id="4" name="Group 3"/>
          <xdr:cNvGrpSpPr/>
        </xdr:nvGrpSpPr>
        <xdr:grpSpPr>
          <a:xfrm>
            <a:off x="15050954" y="2093370"/>
            <a:ext cx="2498964" cy="401583"/>
            <a:chOff x="3969371" y="11269984"/>
            <a:chExt cx="1399822" cy="231681"/>
          </a:xfrm>
          <a:effectLst>
            <a:outerShdw blurRad="63500" sx="102000" sy="102000" algn="ctr" rotWithShape="0">
              <a:prstClr val="black">
                <a:alpha val="40000"/>
              </a:prstClr>
            </a:outerShdw>
          </a:effectLst>
        </xdr:grpSpPr>
        <xdr:sp macro="" textlink="">
          <xdr:nvSpPr>
            <xdr:cNvPr id="9" name="Rectangle 8"/>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0" name="TextBox 9"/>
            <xdr:cNvSpPr txBox="1"/>
          </xdr:nvSpPr>
          <xdr:spPr>
            <a:xfrm>
              <a:off x="3969371"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D$41">
          <xdr:nvSpPr>
            <xdr:cNvPr id="11" name="Rectangle 10"/>
            <xdr:cNvSpPr/>
          </xdr:nvSpPr>
          <xdr:spPr>
            <a:xfrm>
              <a:off x="4756498"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A5C96B82-0F2A-4A4B-A2DE-F4FF809651D2}" type="TxLink">
                <a:rPr lang="en-US" sz="1800" b="1" i="0" u="none" strike="noStrike">
                  <a:solidFill>
                    <a:schemeClr val="bg1"/>
                  </a:solidFill>
                  <a:latin typeface="Calibri"/>
                </a:rPr>
                <a:pPr algn="ctr"/>
                <a:t> 105,854 </a:t>
              </a:fld>
              <a:endParaRPr lang="en-US" sz="1800" b="1">
                <a:solidFill>
                  <a:schemeClr val="bg1"/>
                </a:solidFill>
                <a:latin typeface="+mn-lt"/>
              </a:endParaRPr>
            </a:p>
          </xdr:txBody>
        </xdr:sp>
      </xdr:grpSp>
      <xdr:grpSp>
        <xdr:nvGrpSpPr>
          <xdr:cNvPr id="5" name="Group 4"/>
          <xdr:cNvGrpSpPr/>
        </xdr:nvGrpSpPr>
        <xdr:grpSpPr>
          <a:xfrm>
            <a:off x="15085238" y="1681076"/>
            <a:ext cx="2459845" cy="454426"/>
            <a:chOff x="3988722" y="11269189"/>
            <a:chExt cx="1390501" cy="224198"/>
          </a:xfrm>
          <a:effectLst>
            <a:outerShdw blurRad="63500" sx="102000" sy="102000" algn="ctr" rotWithShape="0">
              <a:prstClr val="black">
                <a:alpha val="40000"/>
              </a:prstClr>
            </a:outerShdw>
          </a:effectLst>
        </xdr:grpSpPr>
        <xdr:sp macro="" textlink="$E$41">
          <xdr:nvSpPr>
            <xdr:cNvPr id="6" name="Rectangle 5"/>
            <xdr:cNvSpPr/>
          </xdr:nvSpPr>
          <xdr:spPr>
            <a:xfrm>
              <a:off x="4768472"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6A1083C-4707-4983-A704-93965247AF65}" type="TxLink">
                <a:rPr lang="en-US" sz="2000" b="1" i="0" u="none" strike="noStrike">
                  <a:solidFill>
                    <a:schemeClr val="bg1"/>
                  </a:solidFill>
                  <a:latin typeface="Calibri"/>
                </a:rPr>
                <a:pPr algn="ctr"/>
                <a:t> 172 </a:t>
              </a:fld>
              <a:endParaRPr lang="en-US" sz="2000" b="1">
                <a:solidFill>
                  <a:schemeClr val="bg1"/>
                </a:solidFill>
                <a:latin typeface="+mn-lt"/>
              </a:endParaRPr>
            </a:p>
          </xdr:txBody>
        </xdr:sp>
        <xdr:sp macro="" textlink="">
          <xdr:nvSpPr>
            <xdr:cNvPr id="7" name="Rectangle 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8" name="TextBox 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050" b="1">
                  <a:solidFill>
                    <a:schemeClr val="dk1"/>
                  </a:solidFill>
                  <a:effectLst/>
                  <a:latin typeface="+mn-lt"/>
                  <a:ea typeface="+mn-ea"/>
                  <a:cs typeface="Calibri" pitchFamily="34" charset="0"/>
                </a:rPr>
                <a:t># of IDP</a:t>
              </a:r>
              <a:r>
                <a:rPr lang="en-GB" sz="1050" b="1" baseline="0">
                  <a:solidFill>
                    <a:schemeClr val="dk1"/>
                  </a:solidFill>
                  <a:effectLst/>
                  <a:latin typeface="+mn-lt"/>
                  <a:ea typeface="+mn-ea"/>
                  <a:cs typeface="Calibri" pitchFamily="34" charset="0"/>
                </a:rPr>
                <a:t> Locations</a:t>
              </a:r>
              <a:endParaRPr lang="en-GB" sz="1050" b="1">
                <a:effectLst/>
                <a:latin typeface="+mn-lt"/>
                <a:cs typeface="Calibri" pitchFamily="34" charset="0"/>
              </a:endParaRPr>
            </a:p>
          </xdr:txBody>
        </xdr:sp>
      </xdr:grpSp>
    </xdr:grpSp>
    <xdr:clientData/>
  </xdr:twoCellAnchor>
  <xdr:twoCellAnchor>
    <xdr:from>
      <xdr:col>0</xdr:col>
      <xdr:colOff>0</xdr:colOff>
      <xdr:row>49</xdr:row>
      <xdr:rowOff>36348</xdr:rowOff>
    </xdr:from>
    <xdr:to>
      <xdr:col>18</xdr:col>
      <xdr:colOff>58615</xdr:colOff>
      <xdr:row>49</xdr:row>
      <xdr:rowOff>36348</xdr:rowOff>
    </xdr:to>
    <xdr:sp macro="" textlink="">
      <xdr:nvSpPr>
        <xdr:cNvPr id="12" name="Line 2"/>
        <xdr:cNvSpPr>
          <a:spLocks noChangeShapeType="1"/>
        </xdr:cNvSpPr>
      </xdr:nvSpPr>
      <xdr:spPr bwMode="auto">
        <a:xfrm>
          <a:off x="0" y="8742198"/>
          <a:ext cx="12431590" cy="0"/>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52669</xdr:colOff>
      <xdr:row>50</xdr:row>
      <xdr:rowOff>7922</xdr:rowOff>
    </xdr:from>
    <xdr:to>
      <xdr:col>9</xdr:col>
      <xdr:colOff>462288</xdr:colOff>
      <xdr:row>50</xdr:row>
      <xdr:rowOff>552450</xdr:rowOff>
    </xdr:to>
    <xdr:sp macro="" textlink="">
      <xdr:nvSpPr>
        <xdr:cNvPr id="13" name="TextBox 12"/>
        <xdr:cNvSpPr txBox="1"/>
      </xdr:nvSpPr>
      <xdr:spPr>
        <a:xfrm>
          <a:off x="128869" y="8761397"/>
          <a:ext cx="6943769" cy="544528"/>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CCCM cluster partners, UNHCR, other humanitarian organizations &amp; MIMU.</a:t>
          </a:r>
          <a:endParaRPr lang="en-GB" sz="1000">
            <a:latin typeface="Franklin Gothic Book" pitchFamily="34" charset="0"/>
          </a:endParaRPr>
        </a:p>
      </xdr:txBody>
    </xdr:sp>
    <xdr:clientData/>
  </xdr:twoCellAnchor>
  <xdr:twoCellAnchor>
    <xdr:from>
      <xdr:col>11</xdr:col>
      <xdr:colOff>313207</xdr:colOff>
      <xdr:row>3</xdr:row>
      <xdr:rowOff>0</xdr:rowOff>
    </xdr:from>
    <xdr:to>
      <xdr:col>17</xdr:col>
      <xdr:colOff>1723631</xdr:colOff>
      <xdr:row>4</xdr:row>
      <xdr:rowOff>224118</xdr:rowOff>
    </xdr:to>
    <xdr:grpSp>
      <xdr:nvGrpSpPr>
        <xdr:cNvPr id="16" name="Group 15"/>
        <xdr:cNvGrpSpPr/>
      </xdr:nvGrpSpPr>
      <xdr:grpSpPr>
        <a:xfrm>
          <a:off x="7990357" y="190500"/>
          <a:ext cx="4344124" cy="557493"/>
          <a:chOff x="6500812" y="317500"/>
          <a:chExt cx="6186806" cy="575469"/>
        </a:xfrm>
      </xdr:grpSpPr>
      <xdr:pic>
        <xdr:nvPicPr>
          <xdr:cNvPr id="17" name="Picture 1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268942</xdr:colOff>
      <xdr:row>42</xdr:row>
      <xdr:rowOff>135467</xdr:rowOff>
    </xdr:from>
    <xdr:to>
      <xdr:col>18</xdr:col>
      <xdr:colOff>20543</xdr:colOff>
      <xdr:row>49</xdr:row>
      <xdr:rowOff>22411</xdr:rowOff>
    </xdr:to>
    <xdr:sp macro="" textlink="">
      <xdr:nvSpPr>
        <xdr:cNvPr id="19" name="Rounded Rectangle 18"/>
        <xdr:cNvSpPr/>
      </xdr:nvSpPr>
      <xdr:spPr>
        <a:xfrm>
          <a:off x="7838142" y="7128934"/>
          <a:ext cx="4552201" cy="148714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36%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6</xdr:col>
      <xdr:colOff>112059</xdr:colOff>
      <xdr:row>5</xdr:row>
      <xdr:rowOff>56027</xdr:rowOff>
    </xdr:from>
    <xdr:to>
      <xdr:col>12</xdr:col>
      <xdr:colOff>42333</xdr:colOff>
      <xdr:row>19</xdr:row>
      <xdr:rowOff>137583</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67235</xdr:colOff>
      <xdr:row>19</xdr:row>
      <xdr:rowOff>123266</xdr:rowOff>
    </xdr:from>
    <xdr:to>
      <xdr:col>13</xdr:col>
      <xdr:colOff>127000</xdr:colOff>
      <xdr:row>41</xdr:row>
      <xdr:rowOff>123265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210512</xdr:colOff>
      <xdr:row>9</xdr:row>
      <xdr:rowOff>33178</xdr:rowOff>
    </xdr:from>
    <xdr:to>
      <xdr:col>17</xdr:col>
      <xdr:colOff>1744642</xdr:colOff>
      <xdr:row>42</xdr:row>
      <xdr:rowOff>19313</xdr:rowOff>
    </xdr:to>
    <xdr:pic>
      <xdr:nvPicPr>
        <xdr:cNvPr id="30" name="Picture 2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8133071" y="1781296"/>
          <a:ext cx="3831336" cy="5412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80840</xdr:colOff>
      <xdr:row>5</xdr:row>
      <xdr:rowOff>122464</xdr:rowOff>
    </xdr:from>
    <xdr:to>
      <xdr:col>17</xdr:col>
      <xdr:colOff>1755320</xdr:colOff>
      <xdr:row>8</xdr:row>
      <xdr:rowOff>149678</xdr:rowOff>
    </xdr:to>
    <xdr:sp macro="" textlink="">
      <xdr:nvSpPr>
        <xdr:cNvPr id="29" name="TextBox 1"/>
        <xdr:cNvSpPr txBox="1">
          <a:spLocks/>
        </xdr:cNvSpPr>
      </xdr:nvSpPr>
      <xdr:spPr>
        <a:xfrm>
          <a:off x="8196140" y="1236889"/>
          <a:ext cx="3960480" cy="484414"/>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Township</a:t>
          </a:r>
          <a:endParaRPr lang="en-GB" sz="1050" b="1">
            <a:latin typeface="+mn-lt"/>
          </a:endParaRPr>
        </a:p>
      </xdr:txBody>
    </xdr:sp>
    <xdr:clientData/>
  </xdr:twoCellAnchor>
  <xdr:twoCellAnchor>
    <xdr:from>
      <xdr:col>7</xdr:col>
      <xdr:colOff>709083</xdr:colOff>
      <xdr:row>50</xdr:row>
      <xdr:rowOff>31750</xdr:rowOff>
    </xdr:from>
    <xdr:to>
      <xdr:col>18</xdr:col>
      <xdr:colOff>33666</xdr:colOff>
      <xdr:row>52</xdr:row>
      <xdr:rowOff>69051</xdr:rowOff>
    </xdr:to>
    <xdr:grpSp>
      <xdr:nvGrpSpPr>
        <xdr:cNvPr id="27" name="Group 26"/>
        <xdr:cNvGrpSpPr/>
      </xdr:nvGrpSpPr>
      <xdr:grpSpPr>
        <a:xfrm>
          <a:off x="5633508" y="8585200"/>
          <a:ext cx="6773133" cy="665951"/>
          <a:chOff x="3325099" y="7519775"/>
          <a:chExt cx="6468333" cy="671988"/>
        </a:xfrm>
      </xdr:grpSpPr>
      <xdr:sp macro="" textlink="">
        <xdr:nvSpPr>
          <xdr:cNvPr id="28" name="TextBox 27"/>
          <xdr:cNvSpPr txBox="1"/>
        </xdr:nvSpPr>
        <xdr:spPr>
          <a:xfrm>
            <a:off x="8347362" y="7519775"/>
            <a:ext cx="1442371" cy="1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SALDUCCI@unhcr.org</a:t>
            </a:r>
          </a:p>
          <a:p>
            <a:pPr marL="0" marR="0" indent="0" algn="r" defTabSz="914400" eaLnBrk="1" fontAlgn="auto" latinLnBrk="0" hangingPunct="1">
              <a:lnSpc>
                <a:spcPct val="100000"/>
              </a:lnSpc>
              <a:spcBef>
                <a:spcPts val="0"/>
              </a:spcBef>
              <a:spcAft>
                <a:spcPts val="0"/>
              </a:spcAft>
              <a:buClrTx/>
              <a:buSzTx/>
              <a:buFontTx/>
              <a:buNone/>
              <a:tabLst/>
              <a:defRPr/>
            </a:pPr>
            <a:endParaRPr lang="en-GB" sz="1050" b="1" baseline="0">
              <a:solidFill>
                <a:srgbClr val="0070C0"/>
              </a:solidFill>
              <a:effectLst/>
              <a:latin typeface="+mn-lt"/>
              <a:ea typeface="+mn-ea"/>
              <a:cs typeface="+mn-cs"/>
            </a:endParaRPr>
          </a:p>
        </xdr:txBody>
      </xdr:sp>
      <xdr:grpSp>
        <xdr:nvGrpSpPr>
          <xdr:cNvPr id="31" name="Group 30"/>
          <xdr:cNvGrpSpPr/>
        </xdr:nvGrpSpPr>
        <xdr:grpSpPr>
          <a:xfrm>
            <a:off x="3325099" y="7544530"/>
            <a:ext cx="5671700" cy="647233"/>
            <a:chOff x="3463641" y="7700393"/>
            <a:chExt cx="5671700" cy="647234"/>
          </a:xfrm>
        </xdr:grpSpPr>
        <xdr:sp macro="" textlink="">
          <xdr:nvSpPr>
            <xdr:cNvPr id="37" name="TextBox 36"/>
            <xdr:cNvSpPr txBox="1">
              <a:spLocks/>
            </xdr:cNvSpPr>
          </xdr:nvSpPr>
          <xdr:spPr>
            <a:xfrm>
              <a:off x="3463641" y="7700393"/>
              <a:ext cx="5671700" cy="22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100" b="1" baseline="0">
                  <a:latin typeface="+mn-lt"/>
                </a:rPr>
                <a:t>For more information contact </a:t>
              </a:r>
              <a:r>
                <a:rPr lang="en-GB" sz="1100" b="1" baseline="0">
                  <a:solidFill>
                    <a:schemeClr val="dk1"/>
                  </a:solidFill>
                  <a:effectLst/>
                  <a:latin typeface="+mn-lt"/>
                  <a:ea typeface="+mn-ea"/>
                  <a:cs typeface="+mn-cs"/>
                </a:rPr>
                <a:t>National Cluster Coordinator</a:t>
              </a:r>
              <a:r>
                <a:rPr lang="en-GB" sz="1100" b="1" baseline="0">
                  <a:latin typeface="+mn-lt"/>
                </a:rPr>
                <a:t>: Geraldine Salducci Petruccelli</a:t>
              </a:r>
              <a:endParaRPr lang="en-GB" sz="1800" b="1">
                <a:latin typeface="+mn-lt"/>
              </a:endParaRPr>
            </a:p>
          </xdr:txBody>
        </xdr:sp>
        <xdr:sp macro="" textlink="">
          <xdr:nvSpPr>
            <xdr:cNvPr id="38" name="TextBox 37"/>
            <xdr:cNvSpPr txBox="1">
              <a:spLocks/>
            </xdr:cNvSpPr>
          </xdr:nvSpPr>
          <xdr:spPr>
            <a:xfrm>
              <a:off x="5219251" y="7854058"/>
              <a:ext cx="3408055" cy="493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100" b="1" baseline="0">
                  <a:solidFill>
                    <a:schemeClr val="dk1"/>
                  </a:solidFill>
                  <a:effectLst/>
                  <a:latin typeface="+mn-lt"/>
                  <a:ea typeface="+mn-ea"/>
                  <a:cs typeface="+mn-cs"/>
                </a:rPr>
                <a:t>Sub-National Cluster Coordinator</a:t>
              </a:r>
              <a:r>
                <a:rPr lang="en-GB" sz="1100" b="1" baseline="0">
                  <a:latin typeface="+mn-lt"/>
                </a:rPr>
                <a:t>: Deepika Bhardwaj </a:t>
              </a:r>
            </a:p>
            <a:p>
              <a:pPr algn="l"/>
              <a:r>
                <a:rPr lang="en-GB" sz="1100" b="1" baseline="0">
                  <a:solidFill>
                    <a:schemeClr val="dk1"/>
                  </a:solidFill>
                  <a:effectLst/>
                  <a:latin typeface="+mn-lt"/>
                  <a:ea typeface="+mn-ea"/>
                  <a:cs typeface="+mn-cs"/>
                </a:rPr>
                <a:t>Cluster Focal Person</a:t>
              </a:r>
              <a:r>
                <a:rPr lang="en-GB" sz="1100" b="1" baseline="0">
                  <a:latin typeface="+mn-lt"/>
                </a:rPr>
                <a:t> : </a:t>
              </a:r>
              <a:r>
                <a:rPr lang="en-GB" sz="1100" b="1">
                  <a:latin typeface="+mn-lt"/>
                </a:rPr>
                <a:t>CC Ting Lum</a:t>
              </a:r>
            </a:p>
          </xdr:txBody>
        </xdr:sp>
      </xdr:grpSp>
      <xdr:sp macro="" textlink="">
        <xdr:nvSpPr>
          <xdr:cNvPr id="32" name="TextBox 31"/>
          <xdr:cNvSpPr txBox="1"/>
        </xdr:nvSpPr>
        <xdr:spPr>
          <a:xfrm>
            <a:off x="8104909" y="7701618"/>
            <a:ext cx="1688523" cy="22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BHARDWAD@unhcr.org</a:t>
            </a:r>
          </a:p>
        </xdr:txBody>
      </xdr:sp>
      <xdr:sp macro="" textlink="">
        <xdr:nvSpPr>
          <xdr:cNvPr id="36" name="TextBox 35"/>
          <xdr:cNvSpPr txBox="1"/>
        </xdr:nvSpPr>
        <xdr:spPr>
          <a:xfrm>
            <a:off x="8101445" y="7871336"/>
            <a:ext cx="1688523" cy="22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TINGLUM@unhcr.org</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285750</xdr:colOff>
      <xdr:row>1</xdr:row>
      <xdr:rowOff>38100</xdr:rowOff>
    </xdr:from>
    <xdr:to>
      <xdr:col>44</xdr:col>
      <xdr:colOff>476250</xdr:colOff>
      <xdr:row>41</xdr:row>
      <xdr:rowOff>25527</xdr:rowOff>
    </xdr:to>
    <xdr:pic>
      <xdr:nvPicPr>
        <xdr:cNvPr id="1162" name="Picture 116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0" y="285750"/>
          <a:ext cx="6991350" cy="9893427"/>
        </a:xfrm>
        <a:prstGeom prst="rect">
          <a:avLst/>
        </a:prstGeom>
      </xdr:spPr>
    </xdr:pic>
    <xdr:clientData/>
  </xdr:twoCellAnchor>
  <xdr:twoCellAnchor editAs="oneCell">
    <xdr:from>
      <xdr:col>0</xdr:col>
      <xdr:colOff>0</xdr:colOff>
      <xdr:row>0</xdr:row>
      <xdr:rowOff>0</xdr:rowOff>
    </xdr:from>
    <xdr:to>
      <xdr:col>11</xdr:col>
      <xdr:colOff>136525</xdr:colOff>
      <xdr:row>40</xdr:row>
      <xdr:rowOff>45150</xdr:rowOff>
    </xdr:to>
    <xdr:pic>
      <xdr:nvPicPr>
        <xdr:cNvPr id="9" name="Kachin_Background"/>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985000" cy="9570150"/>
        </a:xfrm>
        <a:prstGeom prst="rect">
          <a:avLst/>
        </a:prstGeom>
        <a:ln>
          <a:solidFill>
            <a:srgbClr val="C00000"/>
          </a:solidFill>
        </a:ln>
      </xdr:spPr>
    </xdr:pic>
    <xdr:clientData/>
  </xdr:twoCellAnchor>
  <xdr:twoCellAnchor>
    <xdr:from>
      <xdr:col>29</xdr:col>
      <xdr:colOff>486208</xdr:colOff>
      <xdr:row>31</xdr:row>
      <xdr:rowOff>151356</xdr:rowOff>
    </xdr:from>
    <xdr:to>
      <xdr:col>33</xdr:col>
      <xdr:colOff>860330</xdr:colOff>
      <xdr:row>38</xdr:row>
      <xdr:rowOff>23095</xdr:rowOff>
    </xdr:to>
    <xdr:grpSp>
      <xdr:nvGrpSpPr>
        <xdr:cNvPr id="3" name="Group 2"/>
        <xdr:cNvGrpSpPr/>
      </xdr:nvGrpSpPr>
      <xdr:grpSpPr>
        <a:xfrm>
          <a:off x="22641358" y="7828506"/>
          <a:ext cx="3460222" cy="16052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26</xdr:row>
      <xdr:rowOff>26908</xdr:rowOff>
    </xdr:from>
    <xdr:to>
      <xdr:col>18</xdr:col>
      <xdr:colOff>2151413</xdr:colOff>
      <xdr:row>27</xdr:row>
      <xdr:rowOff>169783</xdr:rowOff>
    </xdr:to>
    <xdr:grpSp>
      <xdr:nvGrpSpPr>
        <xdr:cNvPr id="10" name="Location"/>
        <xdr:cNvGrpSpPr/>
      </xdr:nvGrpSpPr>
      <xdr:grpSpPr>
        <a:xfrm>
          <a:off x="9873013" y="6465808"/>
          <a:ext cx="127000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30</xdr:col>
      <xdr:colOff>75143</xdr:colOff>
      <xdr:row>39</xdr:row>
      <xdr:rowOff>97367</xdr:rowOff>
    </xdr:from>
    <xdr:to>
      <xdr:col>33</xdr:col>
      <xdr:colOff>532343</xdr:colOff>
      <xdr:row>46</xdr:row>
      <xdr:rowOff>30692</xdr:rowOff>
    </xdr:to>
    <xdr:grpSp>
      <xdr:nvGrpSpPr>
        <xdr:cNvPr id="7" name="Group 6"/>
        <xdr:cNvGrpSpPr/>
      </xdr:nvGrpSpPr>
      <xdr:grpSpPr>
        <a:xfrm>
          <a:off x="22858943" y="9755717"/>
          <a:ext cx="2914650" cy="166687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xdr:txBody>
          </xdr:sp>
        </mc:Choice>
        <mc:Fallback/>
      </mc:AlternateContent>
      <mc:AlternateContent xmlns:mc="http://schemas.openxmlformats.org/markup-compatibility/2006">
        <mc:Choice xmlns:a14="http://schemas.microsoft.com/office/drawing/2010/main" Requires="a14">
          <xdr:sp macro="" textlink="">
            <xdr:nvSpPr>
              <xdr:cNvPr id="64516" name="Label 4" descr="25,000"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4</xdr:col>
      <xdr:colOff>21114</xdr:colOff>
      <xdr:row>44</xdr:row>
      <xdr:rowOff>199069</xdr:rowOff>
    </xdr:from>
    <xdr:to>
      <xdr:col>6</xdr:col>
      <xdr:colOff>4286</xdr:colOff>
      <xdr:row>52</xdr:row>
      <xdr:rowOff>115566</xdr:rowOff>
    </xdr:to>
    <xdr:grpSp>
      <xdr:nvGrpSpPr>
        <xdr:cNvPr id="546" name="Kachin/Shan_G"/>
        <xdr:cNvGrpSpPr/>
      </xdr:nvGrpSpPr>
      <xdr:grpSpPr>
        <a:xfrm>
          <a:off x="2840514" y="11095669"/>
          <a:ext cx="1278572" cy="1326197"/>
          <a:chOff x="12374510" y="887371"/>
          <a:chExt cx="1906595" cy="3922814"/>
        </a:xfrm>
      </xdr:grpSpPr>
      <xdr:sp macro="" textlink="">
        <xdr:nvSpPr>
          <xdr:cNvPr id="547" name="Oval"/>
          <xdr:cNvSpPr/>
        </xdr:nvSpPr>
        <xdr:spPr>
          <a:xfrm>
            <a:off x="12374510" y="887371"/>
            <a:ext cx="1906595" cy="39228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6">
        <xdr:nvSpPr>
          <xdr:cNvPr id="548" name="Pop" hidden="1"/>
          <xdr:cNvSpPr txBox="1"/>
        </xdr:nvSpPr>
        <xdr:spPr>
          <a:xfrm>
            <a:off x="12959415" y="1664337"/>
            <a:ext cx="708964" cy="236889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DAE0558-1BCC-4D53-B23D-B0E4C0E4272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105,854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6">
        <xdr:nvSpPr>
          <xdr:cNvPr id="549" name="N_Camp" hidden="1"/>
          <xdr:cNvSpPr txBox="1"/>
        </xdr:nvSpPr>
        <xdr:spPr>
          <a:xfrm>
            <a:off x="13337142" y="2049327"/>
            <a:ext cx="836059" cy="161570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168D021-3C76-45F2-8B63-71805B502384}" type="TxLink">
              <a:rPr lang="en-US" sz="1600" b="0" i="0" u="none" strike="noStrike">
                <a:solidFill>
                  <a:srgbClr val="000000"/>
                </a:solidFill>
                <a:latin typeface="Calibri"/>
                <a:cs typeface="Arial" pitchFamily="34" charset="0"/>
              </a:rPr>
              <a:pPr algn="r"/>
              <a:t>172 camps</a:t>
            </a:fld>
            <a:endParaRPr lang="en-US" sz="600" i="1">
              <a:solidFill>
                <a:schemeClr val="tx1"/>
              </a:solidFill>
              <a:latin typeface="Arial" pitchFamily="34" charset="0"/>
              <a:cs typeface="Arial" pitchFamily="34" charset="0"/>
            </a:endParaRPr>
          </a:p>
        </xdr:txBody>
      </xdr:sp>
      <xdr:sp macro="" textlink="U26">
        <xdr:nvSpPr>
          <xdr:cNvPr id="55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A8B12D4-D5BE-4552-9C4D-AFD38020031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60325</xdr:colOff>
      <xdr:row>26</xdr:row>
      <xdr:rowOff>107950</xdr:rowOff>
    </xdr:from>
    <xdr:to>
      <xdr:col>5</xdr:col>
      <xdr:colOff>134257</xdr:colOff>
      <xdr:row>29</xdr:row>
      <xdr:rowOff>160875</xdr:rowOff>
    </xdr:to>
    <xdr:grpSp>
      <xdr:nvGrpSpPr>
        <xdr:cNvPr id="1993" name="Bhamo_G"/>
        <xdr:cNvGrpSpPr/>
      </xdr:nvGrpSpPr>
      <xdr:grpSpPr>
        <a:xfrm>
          <a:off x="2308225" y="6546850"/>
          <a:ext cx="1274082" cy="795875"/>
          <a:chOff x="12380951" y="1675478"/>
          <a:chExt cx="1893717" cy="2346603"/>
        </a:xfrm>
      </xdr:grpSpPr>
      <xdr:sp macro="" textlink="">
        <xdr:nvSpPr>
          <xdr:cNvPr id="1994" name="Oval"/>
          <xdr:cNvSpPr/>
        </xdr:nvSpPr>
        <xdr:spPr>
          <a:xfrm>
            <a:off x="13055503" y="2288488"/>
            <a:ext cx="544612" cy="112058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199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7E72231-FDFA-47EF-97F7-BA063C4A7C4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8,124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1996"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2EC1258-0782-4099-958F-79C6920E56A7}" type="TxLink">
              <a:rPr lang="en-US" sz="1600" b="0" i="0" u="none" strike="noStrike">
                <a:solidFill>
                  <a:srgbClr val="000000"/>
                </a:solidFill>
                <a:latin typeface="Calibri"/>
                <a:cs typeface="Arial" pitchFamily="34" charset="0"/>
              </a:rPr>
              <a:pPr algn="r"/>
              <a:t>Column1 cps</a:t>
            </a:fld>
            <a:endParaRPr lang="en-US" sz="600" i="1">
              <a:solidFill>
                <a:schemeClr val="tx1"/>
              </a:solidFill>
              <a:latin typeface="Arial" pitchFamily="34" charset="0"/>
              <a:cs typeface="Arial" pitchFamily="34" charset="0"/>
            </a:endParaRPr>
          </a:p>
        </xdr:txBody>
      </xdr:sp>
      <xdr:sp macro="" textlink="U3">
        <xdr:nvSpPr>
          <xdr:cNvPr id="199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EDD1E63-1C7F-437D-A88B-8BB3B7A7276E}"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998" name="Cluster"/>
          <xdr:cNvGrpSpPr/>
        </xdr:nvGrpSpPr>
        <xdr:grpSpPr>
          <a:xfrm>
            <a:off x="12477748" y="2348604"/>
            <a:ext cx="1732609" cy="380242"/>
            <a:chOff x="12477748" y="2348604"/>
            <a:chExt cx="1732609" cy="380242"/>
          </a:xfrm>
        </xdr:grpSpPr>
        <xdr:grpSp>
          <xdr:nvGrpSpPr>
            <xdr:cNvPr id="1999" name="Shelter_G"/>
            <xdr:cNvGrpSpPr/>
          </xdr:nvGrpSpPr>
          <xdr:grpSpPr>
            <a:xfrm>
              <a:off x="12477748" y="2367654"/>
              <a:ext cx="332972" cy="361192"/>
              <a:chOff x="8585625" y="4782769"/>
              <a:chExt cx="147154" cy="166659"/>
            </a:xfrm>
          </xdr:grpSpPr>
          <xdr:pic>
            <xdr:nvPicPr>
              <xdr:cNvPr id="200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00" name="NFI_G"/>
            <xdr:cNvGrpSpPr/>
          </xdr:nvGrpSpPr>
          <xdr:grpSpPr>
            <a:xfrm>
              <a:off x="13877376" y="2348604"/>
              <a:ext cx="332981" cy="361192"/>
              <a:chOff x="8250078" y="5375644"/>
              <a:chExt cx="147158" cy="166659"/>
            </a:xfrm>
          </xdr:grpSpPr>
          <xdr:pic>
            <xdr:nvPicPr>
              <xdr:cNvPr id="200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60325</xdr:rowOff>
    </xdr:from>
    <xdr:to>
      <xdr:col>8</xdr:col>
      <xdr:colOff>353332</xdr:colOff>
      <xdr:row>18</xdr:row>
      <xdr:rowOff>113250</xdr:rowOff>
    </xdr:to>
    <xdr:grpSp>
      <xdr:nvGrpSpPr>
        <xdr:cNvPr id="2005" name="Chipwi_G"/>
        <xdr:cNvGrpSpPr/>
      </xdr:nvGrpSpPr>
      <xdr:grpSpPr>
        <a:xfrm>
          <a:off x="4298950" y="3775075"/>
          <a:ext cx="1293132" cy="795875"/>
          <a:chOff x="12380951" y="1675478"/>
          <a:chExt cx="1893717" cy="2346603"/>
        </a:xfrm>
      </xdr:grpSpPr>
      <xdr:sp macro="" textlink="">
        <xdr:nvSpPr>
          <xdr:cNvPr id="2006" name="Oval"/>
          <xdr:cNvSpPr/>
        </xdr:nvSpPr>
        <xdr:spPr>
          <a:xfrm>
            <a:off x="13176945" y="2538363"/>
            <a:ext cx="301728" cy="62083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200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0FE56E5-4358-4E52-A95A-E095A569509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3,051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200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7CB1746-3579-4ACC-B7DB-46C463B012CF}" type="TxLink">
              <a:rPr lang="en-US" sz="1600" b="0" i="0" u="none" strike="noStrike">
                <a:solidFill>
                  <a:srgbClr val="000000"/>
                </a:solidFill>
                <a:latin typeface="Calibri"/>
                <a:cs typeface="Arial" pitchFamily="34" charset="0"/>
              </a:rPr>
              <a:pPr algn="r"/>
              <a:t>10 cps</a:t>
            </a:fld>
            <a:endParaRPr lang="en-US" sz="600" i="1">
              <a:solidFill>
                <a:schemeClr val="tx1"/>
              </a:solidFill>
              <a:latin typeface="Arial" pitchFamily="34" charset="0"/>
              <a:cs typeface="Arial" pitchFamily="34" charset="0"/>
            </a:endParaRPr>
          </a:p>
        </xdr:txBody>
      </xdr:sp>
      <xdr:sp macro="" textlink="U4">
        <xdr:nvSpPr>
          <xdr:cNvPr id="200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D821A3F-7DB7-4CDB-AC3F-C949DBC0761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0" name="Cluster"/>
          <xdr:cNvGrpSpPr/>
        </xdr:nvGrpSpPr>
        <xdr:grpSpPr>
          <a:xfrm>
            <a:off x="12477748" y="2348604"/>
            <a:ext cx="1732609" cy="380242"/>
            <a:chOff x="12477748" y="2348604"/>
            <a:chExt cx="1732609" cy="380242"/>
          </a:xfrm>
        </xdr:grpSpPr>
        <xdr:grpSp>
          <xdr:nvGrpSpPr>
            <xdr:cNvPr id="2011" name="Shelter_G"/>
            <xdr:cNvGrpSpPr/>
          </xdr:nvGrpSpPr>
          <xdr:grpSpPr>
            <a:xfrm>
              <a:off x="12477748" y="2367654"/>
              <a:ext cx="332972" cy="361192"/>
              <a:chOff x="8585625" y="4782769"/>
              <a:chExt cx="147154" cy="166659"/>
            </a:xfrm>
          </xdr:grpSpPr>
          <xdr:pic>
            <xdr:nvPicPr>
              <xdr:cNvPr id="201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2" name="NFI_G"/>
            <xdr:cNvGrpSpPr/>
          </xdr:nvGrpSpPr>
          <xdr:grpSpPr>
            <a:xfrm>
              <a:off x="13877376" y="2348604"/>
              <a:ext cx="332981" cy="361192"/>
              <a:chOff x="8250078" y="5375644"/>
              <a:chExt cx="147158" cy="166659"/>
            </a:xfrm>
          </xdr:grpSpPr>
          <xdr:pic>
            <xdr:nvPicPr>
              <xdr:cNvPr id="201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85725</xdr:rowOff>
    </xdr:from>
    <xdr:to>
      <xdr:col>3</xdr:col>
      <xdr:colOff>102507</xdr:colOff>
      <xdr:row>18</xdr:row>
      <xdr:rowOff>138650</xdr:rowOff>
    </xdr:to>
    <xdr:grpSp>
      <xdr:nvGrpSpPr>
        <xdr:cNvPr id="2017" name="Hpakant_G"/>
        <xdr:cNvGrpSpPr/>
      </xdr:nvGrpSpPr>
      <xdr:grpSpPr>
        <a:xfrm>
          <a:off x="1076325" y="3800475"/>
          <a:ext cx="1274082" cy="795875"/>
          <a:chOff x="12380951" y="1675478"/>
          <a:chExt cx="1893717" cy="2346603"/>
        </a:xfrm>
      </xdr:grpSpPr>
      <xdr:sp macro="" textlink="">
        <xdr:nvSpPr>
          <xdr:cNvPr id="2018" name="Oval"/>
          <xdr:cNvSpPr/>
        </xdr:nvSpPr>
        <xdr:spPr>
          <a:xfrm>
            <a:off x="13144406" y="2471412"/>
            <a:ext cx="366808" cy="75473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201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8F1C384-49FF-48CB-AC43-BCA18A9E4F6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3,978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202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9EBA5A5-7B8F-4899-92A4-18945774AA6E}"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5">
        <xdr:nvSpPr>
          <xdr:cNvPr id="202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83EEF21-97E5-40C4-ADBF-813284957F7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22" name="Cluster"/>
          <xdr:cNvGrpSpPr/>
        </xdr:nvGrpSpPr>
        <xdr:grpSpPr>
          <a:xfrm>
            <a:off x="12477748" y="2348604"/>
            <a:ext cx="1732609" cy="380242"/>
            <a:chOff x="12477748" y="2348604"/>
            <a:chExt cx="1732609" cy="380242"/>
          </a:xfrm>
        </xdr:grpSpPr>
        <xdr:grpSp>
          <xdr:nvGrpSpPr>
            <xdr:cNvPr id="2023" name="Shelter_G"/>
            <xdr:cNvGrpSpPr/>
          </xdr:nvGrpSpPr>
          <xdr:grpSpPr>
            <a:xfrm>
              <a:off x="12477748" y="2367654"/>
              <a:ext cx="332972" cy="361192"/>
              <a:chOff x="8585625" y="4782769"/>
              <a:chExt cx="147154" cy="166659"/>
            </a:xfrm>
          </xdr:grpSpPr>
          <xdr:pic>
            <xdr:nvPicPr>
              <xdr:cNvPr id="202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24" name="NFI_G"/>
            <xdr:cNvGrpSpPr/>
          </xdr:nvGrpSpPr>
          <xdr:grpSpPr>
            <a:xfrm>
              <a:off x="13877376" y="2348604"/>
              <a:ext cx="332981" cy="361192"/>
              <a:chOff x="8250078" y="5375644"/>
              <a:chExt cx="147158" cy="166659"/>
            </a:xfrm>
          </xdr:grpSpPr>
          <xdr:pic>
            <xdr:nvPicPr>
              <xdr:cNvPr id="202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547007</xdr:colOff>
      <xdr:row>36</xdr:row>
      <xdr:rowOff>40135</xdr:rowOff>
    </xdr:to>
    <xdr:grpSp>
      <xdr:nvGrpSpPr>
        <xdr:cNvPr id="2029" name="Hseni_G"/>
        <xdr:cNvGrpSpPr/>
      </xdr:nvGrpSpPr>
      <xdr:grpSpPr>
        <a:xfrm>
          <a:off x="3921125" y="8302625"/>
          <a:ext cx="1293132" cy="652910"/>
          <a:chOff x="12380951" y="1748589"/>
          <a:chExt cx="1893717" cy="1900439"/>
        </a:xfrm>
      </xdr:grpSpPr>
      <xdr:sp macro="" textlink="">
        <xdr:nvSpPr>
          <xdr:cNvPr id="2030" name="Oval"/>
          <xdr:cNvSpPr/>
        </xdr:nvSpPr>
        <xdr:spPr>
          <a:xfrm>
            <a:off x="13257180" y="2554162"/>
            <a:ext cx="141259" cy="2892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203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F4CA7F5-FA50-4542-970D-B4643DD6E35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172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203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B1ACFA2-AEFF-4EE0-B582-694AC51B3CDF}" type="TxLink">
              <a:rPr lang="en-US" sz="1600" b="0" i="0" u="none" strike="noStrike">
                <a:solidFill>
                  <a:srgbClr val="000000"/>
                </a:solidFill>
                <a:latin typeface="Calibri"/>
                <a:cs typeface="Arial" pitchFamily="34" charset="0"/>
              </a:rPr>
              <a:pPr algn="r"/>
              <a:t>23 cps</a:t>
            </a:fld>
            <a:endParaRPr lang="en-US" sz="600" i="1">
              <a:solidFill>
                <a:schemeClr val="tx1"/>
              </a:solidFill>
              <a:latin typeface="Arial" pitchFamily="34" charset="0"/>
              <a:cs typeface="Arial" pitchFamily="34" charset="0"/>
            </a:endParaRPr>
          </a:p>
        </xdr:txBody>
      </xdr:sp>
      <xdr:sp macro="" textlink="U6">
        <xdr:nvSpPr>
          <xdr:cNvPr id="203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198162-CD53-436D-BDF9-D996A82DC16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34" name="Cluster"/>
          <xdr:cNvGrpSpPr/>
        </xdr:nvGrpSpPr>
        <xdr:grpSpPr>
          <a:xfrm>
            <a:off x="12477748" y="2348604"/>
            <a:ext cx="1732609" cy="380242"/>
            <a:chOff x="12477748" y="2348604"/>
            <a:chExt cx="1732609" cy="380242"/>
          </a:xfrm>
        </xdr:grpSpPr>
        <xdr:grpSp>
          <xdr:nvGrpSpPr>
            <xdr:cNvPr id="2035" name="Shelter_G"/>
            <xdr:cNvGrpSpPr/>
          </xdr:nvGrpSpPr>
          <xdr:grpSpPr>
            <a:xfrm>
              <a:off x="12477748" y="2367654"/>
              <a:ext cx="332972" cy="361192"/>
              <a:chOff x="8585625" y="4782769"/>
              <a:chExt cx="147154" cy="166659"/>
            </a:xfrm>
          </xdr:grpSpPr>
          <xdr:pic>
            <xdr:nvPicPr>
              <xdr:cNvPr id="203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36" name="NFI_G"/>
            <xdr:cNvGrpSpPr/>
          </xdr:nvGrpSpPr>
          <xdr:grpSpPr>
            <a:xfrm>
              <a:off x="13877376" y="2348604"/>
              <a:ext cx="332981" cy="361192"/>
              <a:chOff x="8250078" y="5375644"/>
              <a:chExt cx="147158" cy="166659"/>
            </a:xfrm>
          </xdr:grpSpPr>
          <xdr:pic>
            <xdr:nvPicPr>
              <xdr:cNvPr id="203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38</xdr:row>
      <xdr:rowOff>31750</xdr:rowOff>
    </xdr:from>
    <xdr:to>
      <xdr:col>5</xdr:col>
      <xdr:colOff>426357</xdr:colOff>
      <xdr:row>40</xdr:row>
      <xdr:rowOff>179835</xdr:rowOff>
    </xdr:to>
    <xdr:grpSp>
      <xdr:nvGrpSpPr>
        <xdr:cNvPr id="2041" name="Hsipaw_G"/>
        <xdr:cNvGrpSpPr/>
      </xdr:nvGrpSpPr>
      <xdr:grpSpPr>
        <a:xfrm>
          <a:off x="2600325" y="9442450"/>
          <a:ext cx="1274082" cy="643385"/>
          <a:chOff x="12380951" y="1748589"/>
          <a:chExt cx="1893717" cy="1900439"/>
        </a:xfrm>
      </xdr:grpSpPr>
      <xdr:sp macro="" textlink="">
        <xdr:nvSpPr>
          <xdr:cNvPr id="2042" name="Oval"/>
          <xdr:cNvSpPr/>
        </xdr:nvSpPr>
        <xdr:spPr>
          <a:xfrm>
            <a:off x="13295115" y="2631852"/>
            <a:ext cx="65390" cy="13391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2043"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C7177D-3EDB-4A99-8A6E-E014F6E922BA}"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204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01EDE2-D4D3-4FCA-8377-F268DD851268}"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7">
        <xdr:nvSpPr>
          <xdr:cNvPr id="204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0805D5-AD09-47F2-AFDB-879605E6BCB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Hsipaw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46" name="Cluster"/>
          <xdr:cNvGrpSpPr/>
        </xdr:nvGrpSpPr>
        <xdr:grpSpPr>
          <a:xfrm>
            <a:off x="12477748" y="2348604"/>
            <a:ext cx="1732609" cy="380242"/>
            <a:chOff x="12477748" y="2348604"/>
            <a:chExt cx="1732609" cy="380242"/>
          </a:xfrm>
        </xdr:grpSpPr>
        <xdr:grpSp>
          <xdr:nvGrpSpPr>
            <xdr:cNvPr id="2047" name="Shelter_G"/>
            <xdr:cNvGrpSpPr/>
          </xdr:nvGrpSpPr>
          <xdr:grpSpPr>
            <a:xfrm>
              <a:off x="12477748" y="2367654"/>
              <a:ext cx="332972" cy="361192"/>
              <a:chOff x="8585625" y="4782769"/>
              <a:chExt cx="147154" cy="166659"/>
            </a:xfrm>
          </xdr:grpSpPr>
          <xdr:pic>
            <xdr:nvPicPr>
              <xdr:cNvPr id="205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48" name="NFI_G"/>
            <xdr:cNvGrpSpPr/>
          </xdr:nvGrpSpPr>
          <xdr:grpSpPr>
            <a:xfrm>
              <a:off x="13877376" y="2348604"/>
              <a:ext cx="332981" cy="361192"/>
              <a:chOff x="8250078" y="5375644"/>
              <a:chExt cx="147158" cy="166659"/>
            </a:xfrm>
          </xdr:grpSpPr>
          <xdr:pic>
            <xdr:nvPicPr>
              <xdr:cNvPr id="204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15875</xdr:rowOff>
    </xdr:from>
    <xdr:to>
      <xdr:col>7</xdr:col>
      <xdr:colOff>204107</xdr:colOff>
      <xdr:row>15</xdr:row>
      <xdr:rowOff>41554</xdr:rowOff>
    </xdr:to>
    <xdr:grpSp>
      <xdr:nvGrpSpPr>
        <xdr:cNvPr id="2053" name="Injangyang_G"/>
        <xdr:cNvGrpSpPr/>
      </xdr:nvGrpSpPr>
      <xdr:grpSpPr>
        <a:xfrm>
          <a:off x="3578225" y="3235325"/>
          <a:ext cx="1293132" cy="520979"/>
          <a:chOff x="12380951" y="1748589"/>
          <a:chExt cx="1893717" cy="1535789"/>
        </a:xfrm>
      </xdr:grpSpPr>
      <xdr:sp macro="" textlink="">
        <xdr:nvSpPr>
          <xdr:cNvPr id="2054"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2055"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8322CC2-F341-4E08-810B-D95EF011BF0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2056"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A7B8464-E029-48A3-9171-CA2820469390}"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205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66F313C-BBD9-4E0D-91D9-796B59346B4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58" name="Cluster"/>
          <xdr:cNvGrpSpPr/>
        </xdr:nvGrpSpPr>
        <xdr:grpSpPr>
          <a:xfrm>
            <a:off x="12477748" y="2348604"/>
            <a:ext cx="1732609" cy="380242"/>
            <a:chOff x="12477748" y="2348604"/>
            <a:chExt cx="1732609" cy="380242"/>
          </a:xfrm>
        </xdr:grpSpPr>
        <xdr:grpSp>
          <xdr:nvGrpSpPr>
            <xdr:cNvPr id="2059" name="Shelter_G"/>
            <xdr:cNvGrpSpPr/>
          </xdr:nvGrpSpPr>
          <xdr:grpSpPr>
            <a:xfrm>
              <a:off x="12477748" y="2367654"/>
              <a:ext cx="332972" cy="361192"/>
              <a:chOff x="8585625" y="4782769"/>
              <a:chExt cx="147154" cy="166659"/>
            </a:xfrm>
          </xdr:grpSpPr>
          <xdr:pic>
            <xdr:nvPicPr>
              <xdr:cNvPr id="206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60" name="NFI_G"/>
            <xdr:cNvGrpSpPr/>
          </xdr:nvGrpSpPr>
          <xdr:grpSpPr>
            <a:xfrm>
              <a:off x="13877376" y="2348604"/>
              <a:ext cx="332981" cy="361192"/>
              <a:chOff x="8250078" y="5375644"/>
              <a:chExt cx="147158" cy="166659"/>
            </a:xfrm>
          </xdr:grpSpPr>
          <xdr:pic>
            <xdr:nvPicPr>
              <xdr:cNvPr id="206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374650</xdr:colOff>
      <xdr:row>7</xdr:row>
      <xdr:rowOff>9525</xdr:rowOff>
    </xdr:from>
    <xdr:to>
      <xdr:col>9</xdr:col>
      <xdr:colOff>67582</xdr:colOff>
      <xdr:row>9</xdr:row>
      <xdr:rowOff>153628</xdr:rowOff>
    </xdr:to>
    <xdr:grpSp>
      <xdr:nvGrpSpPr>
        <xdr:cNvPr id="2065" name="Khaunglanhpu_G"/>
        <xdr:cNvGrpSpPr/>
      </xdr:nvGrpSpPr>
      <xdr:grpSpPr>
        <a:xfrm>
          <a:off x="4489450" y="1743075"/>
          <a:ext cx="1293132" cy="639403"/>
          <a:chOff x="12380951" y="1375536"/>
          <a:chExt cx="1893717" cy="1908842"/>
        </a:xfrm>
      </xdr:grpSpPr>
      <xdr:sp macro="" textlink="">
        <xdr:nvSpPr>
          <xdr:cNvPr id="2066" name="Oval"/>
          <xdr:cNvSpPr/>
        </xdr:nvSpPr>
        <xdr:spPr>
          <a:xfrm>
            <a:off x="13327810" y="232995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2067"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F06038F-D55A-40E0-B3D1-47EFC267AE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2068"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4E64A4B-9EFC-42C7-8187-E02308032B85}"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9">
        <xdr:nvSpPr>
          <xdr:cNvPr id="2069" name="Site"/>
          <xdr:cNvSpPr txBox="1"/>
        </xdr:nvSpPr>
        <xdr:spPr>
          <a:xfrm>
            <a:off x="12380951" y="1375536"/>
            <a:ext cx="1893717"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9309BE-D8ED-4867-85F5-5C3F57D1808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70" name="Cluster"/>
          <xdr:cNvGrpSpPr/>
        </xdr:nvGrpSpPr>
        <xdr:grpSpPr>
          <a:xfrm>
            <a:off x="12477748" y="2348604"/>
            <a:ext cx="1732609" cy="380242"/>
            <a:chOff x="12477748" y="2348604"/>
            <a:chExt cx="1732609" cy="380242"/>
          </a:xfrm>
        </xdr:grpSpPr>
        <xdr:grpSp>
          <xdr:nvGrpSpPr>
            <xdr:cNvPr id="2071" name="Shelter_G"/>
            <xdr:cNvGrpSpPr/>
          </xdr:nvGrpSpPr>
          <xdr:grpSpPr>
            <a:xfrm>
              <a:off x="12477748" y="2367654"/>
              <a:ext cx="332972" cy="361192"/>
              <a:chOff x="8585625" y="4782769"/>
              <a:chExt cx="147154" cy="166659"/>
            </a:xfrm>
          </xdr:grpSpPr>
          <xdr:pic>
            <xdr:nvPicPr>
              <xdr:cNvPr id="207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72" name="NFI_G"/>
            <xdr:cNvGrpSpPr/>
          </xdr:nvGrpSpPr>
          <xdr:grpSpPr>
            <a:xfrm>
              <a:off x="13877376" y="2348604"/>
              <a:ext cx="332981" cy="361192"/>
              <a:chOff x="8250078" y="5375644"/>
              <a:chExt cx="147158" cy="166659"/>
            </a:xfrm>
          </xdr:grpSpPr>
          <xdr:pic>
            <xdr:nvPicPr>
              <xdr:cNvPr id="207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149225</xdr:rowOff>
    </xdr:from>
    <xdr:to>
      <xdr:col>7</xdr:col>
      <xdr:colOff>547007</xdr:colOff>
      <xdr:row>34</xdr:row>
      <xdr:rowOff>202150</xdr:rowOff>
    </xdr:to>
    <xdr:grpSp>
      <xdr:nvGrpSpPr>
        <xdr:cNvPr id="2077" name="Kutkai_G"/>
        <xdr:cNvGrpSpPr/>
      </xdr:nvGrpSpPr>
      <xdr:grpSpPr>
        <a:xfrm>
          <a:off x="3921125" y="7826375"/>
          <a:ext cx="1293132" cy="795875"/>
          <a:chOff x="12380951" y="1675478"/>
          <a:chExt cx="1893717" cy="2346603"/>
        </a:xfrm>
      </xdr:grpSpPr>
      <xdr:sp macro="" textlink="">
        <xdr:nvSpPr>
          <xdr:cNvPr id="2078" name="Oval"/>
          <xdr:cNvSpPr/>
        </xdr:nvSpPr>
        <xdr:spPr>
          <a:xfrm>
            <a:off x="13135584" y="2453261"/>
            <a:ext cx="384450" cy="79103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207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C9F55DB-0975-4162-AF69-CAB85E88D55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4,793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208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0CAD60C-2EB1-4099-9108-E38A553A22C0}"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0">
        <xdr:nvSpPr>
          <xdr:cNvPr id="208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DF4E69E-3D25-4848-A9CD-6154C0013A8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82" name="Cluster"/>
          <xdr:cNvGrpSpPr/>
        </xdr:nvGrpSpPr>
        <xdr:grpSpPr>
          <a:xfrm>
            <a:off x="12477748" y="2348604"/>
            <a:ext cx="1732609" cy="380242"/>
            <a:chOff x="12477748" y="2348604"/>
            <a:chExt cx="1732609" cy="380242"/>
          </a:xfrm>
        </xdr:grpSpPr>
        <xdr:grpSp>
          <xdr:nvGrpSpPr>
            <xdr:cNvPr id="2083" name="Shelter_G"/>
            <xdr:cNvGrpSpPr/>
          </xdr:nvGrpSpPr>
          <xdr:grpSpPr>
            <a:xfrm>
              <a:off x="12477748" y="2367654"/>
              <a:ext cx="332972" cy="361192"/>
              <a:chOff x="8585625" y="4782769"/>
              <a:chExt cx="147154" cy="166659"/>
            </a:xfrm>
          </xdr:grpSpPr>
          <xdr:pic>
            <xdr:nvPicPr>
              <xdr:cNvPr id="208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84" name="NFI_G"/>
            <xdr:cNvGrpSpPr/>
          </xdr:nvGrpSpPr>
          <xdr:grpSpPr>
            <a:xfrm>
              <a:off x="13877376" y="2348604"/>
              <a:ext cx="332981" cy="361192"/>
              <a:chOff x="8250078" y="5375644"/>
              <a:chExt cx="147158" cy="166659"/>
            </a:xfrm>
          </xdr:grpSpPr>
          <xdr:pic>
            <xdr:nvPicPr>
              <xdr:cNvPr id="208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82550</xdr:rowOff>
    </xdr:from>
    <xdr:to>
      <xdr:col>7</xdr:col>
      <xdr:colOff>178707</xdr:colOff>
      <xdr:row>8</xdr:row>
      <xdr:rowOff>108229</xdr:rowOff>
    </xdr:to>
    <xdr:grpSp>
      <xdr:nvGrpSpPr>
        <xdr:cNvPr id="2089" name="Machanbaw_G"/>
        <xdr:cNvGrpSpPr/>
      </xdr:nvGrpSpPr>
      <xdr:grpSpPr>
        <a:xfrm>
          <a:off x="3552825" y="1568450"/>
          <a:ext cx="1293132" cy="520979"/>
          <a:chOff x="12380951" y="1748589"/>
          <a:chExt cx="1893717" cy="1535789"/>
        </a:xfrm>
      </xdr:grpSpPr>
      <xdr:sp macro="" textlink="">
        <xdr:nvSpPr>
          <xdr:cNvPr id="2090"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2091"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7E369E3-3C25-49F9-A75A-F89492861C3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2092"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280B17-09B5-4435-9528-A946B3D29FDF}" type="TxLink">
              <a:rPr lang="en-US" sz="1600" b="0" i="0" u="none" strike="noStrike">
                <a:solidFill>
                  <a:srgbClr val="000000"/>
                </a:solidFill>
                <a:latin typeface="Calibri"/>
                <a:cs typeface="Arial" pitchFamily="34" charset="0"/>
              </a:rPr>
              <a:pPr algn="r"/>
              <a:t>16 cps</a:t>
            </a:fld>
            <a:endParaRPr lang="en-US" sz="600" i="1">
              <a:solidFill>
                <a:schemeClr val="tx1"/>
              </a:solidFill>
              <a:latin typeface="Arial" pitchFamily="34" charset="0"/>
              <a:cs typeface="Arial" pitchFamily="34" charset="0"/>
            </a:endParaRPr>
          </a:p>
        </xdr:txBody>
      </xdr:sp>
      <xdr:sp macro="" textlink="U11">
        <xdr:nvSpPr>
          <xdr:cNvPr id="209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01937A2-968F-41B9-9F1E-3ED29FD168A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94" name="Cluster"/>
          <xdr:cNvGrpSpPr/>
        </xdr:nvGrpSpPr>
        <xdr:grpSpPr>
          <a:xfrm>
            <a:off x="12477748" y="2348604"/>
            <a:ext cx="1732609" cy="380242"/>
            <a:chOff x="12477748" y="2348604"/>
            <a:chExt cx="1732609" cy="380242"/>
          </a:xfrm>
        </xdr:grpSpPr>
        <xdr:grpSp>
          <xdr:nvGrpSpPr>
            <xdr:cNvPr id="2095" name="Shelter_G"/>
            <xdr:cNvGrpSpPr/>
          </xdr:nvGrpSpPr>
          <xdr:grpSpPr>
            <a:xfrm>
              <a:off x="12477748" y="2367654"/>
              <a:ext cx="332972" cy="361192"/>
              <a:chOff x="8585625" y="4782769"/>
              <a:chExt cx="147154" cy="166659"/>
            </a:xfrm>
          </xdr:grpSpPr>
          <xdr:pic>
            <xdr:nvPicPr>
              <xdr:cNvPr id="209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0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96" name="NFI_G"/>
            <xdr:cNvGrpSpPr/>
          </xdr:nvGrpSpPr>
          <xdr:grpSpPr>
            <a:xfrm>
              <a:off x="13877376" y="2348604"/>
              <a:ext cx="332981" cy="361192"/>
              <a:chOff x="8250078" y="5375644"/>
              <a:chExt cx="147158" cy="166659"/>
            </a:xfrm>
          </xdr:grpSpPr>
          <xdr:pic>
            <xdr:nvPicPr>
              <xdr:cNvPr id="209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9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127000</xdr:rowOff>
    </xdr:from>
    <xdr:to>
      <xdr:col>5</xdr:col>
      <xdr:colOff>540657</xdr:colOff>
      <xdr:row>31</xdr:row>
      <xdr:rowOff>179925</xdr:rowOff>
    </xdr:to>
    <xdr:grpSp>
      <xdr:nvGrpSpPr>
        <xdr:cNvPr id="2101" name="Mansi_G"/>
        <xdr:cNvGrpSpPr/>
      </xdr:nvGrpSpPr>
      <xdr:grpSpPr>
        <a:xfrm>
          <a:off x="2714625" y="7061200"/>
          <a:ext cx="1274082" cy="795875"/>
          <a:chOff x="12380951" y="1675478"/>
          <a:chExt cx="1893717" cy="2346603"/>
        </a:xfrm>
      </xdr:grpSpPr>
      <xdr:sp macro="" textlink="">
        <xdr:nvSpPr>
          <xdr:cNvPr id="2102" name="Oval"/>
          <xdr:cNvSpPr/>
        </xdr:nvSpPr>
        <xdr:spPr>
          <a:xfrm>
            <a:off x="12987902" y="2149392"/>
            <a:ext cx="679816" cy="13987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210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8D9F414-AFB5-4272-9808-B37CCD0603F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13,435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210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449390F-BB01-4B89-98FD-02EC002EDAB1}"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2">
        <xdr:nvSpPr>
          <xdr:cNvPr id="210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C9C33B4-E300-499C-B930-9FF1ED17524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06" name="Cluster"/>
          <xdr:cNvGrpSpPr/>
        </xdr:nvGrpSpPr>
        <xdr:grpSpPr>
          <a:xfrm>
            <a:off x="12477748" y="2348604"/>
            <a:ext cx="1732609" cy="380242"/>
            <a:chOff x="12477748" y="2348604"/>
            <a:chExt cx="1732609" cy="380242"/>
          </a:xfrm>
        </xdr:grpSpPr>
        <xdr:grpSp>
          <xdr:nvGrpSpPr>
            <xdr:cNvPr id="2107" name="Shelter_G"/>
            <xdr:cNvGrpSpPr/>
          </xdr:nvGrpSpPr>
          <xdr:grpSpPr>
            <a:xfrm>
              <a:off x="12477748" y="2367654"/>
              <a:ext cx="332972" cy="361192"/>
              <a:chOff x="8585625" y="4782769"/>
              <a:chExt cx="147154" cy="166659"/>
            </a:xfrm>
          </xdr:grpSpPr>
          <xdr:pic>
            <xdr:nvPicPr>
              <xdr:cNvPr id="211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1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08" name="NFI_G"/>
            <xdr:cNvGrpSpPr/>
          </xdr:nvGrpSpPr>
          <xdr:grpSpPr>
            <a:xfrm>
              <a:off x="13877376" y="2348604"/>
              <a:ext cx="332981" cy="361192"/>
              <a:chOff x="8250078" y="5375644"/>
              <a:chExt cx="147158" cy="166659"/>
            </a:xfrm>
          </xdr:grpSpPr>
          <xdr:pic>
            <xdr:nvPicPr>
              <xdr:cNvPr id="210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1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15875</xdr:rowOff>
    </xdr:from>
    <xdr:to>
      <xdr:col>5</xdr:col>
      <xdr:colOff>375557</xdr:colOff>
      <xdr:row>35</xdr:row>
      <xdr:rowOff>163960</xdr:rowOff>
    </xdr:to>
    <xdr:grpSp>
      <xdr:nvGrpSpPr>
        <xdr:cNvPr id="2113" name="Manton_G"/>
        <xdr:cNvGrpSpPr/>
      </xdr:nvGrpSpPr>
      <xdr:grpSpPr>
        <a:xfrm>
          <a:off x="2549525" y="8188325"/>
          <a:ext cx="1274082" cy="643385"/>
          <a:chOff x="12380951" y="1748589"/>
          <a:chExt cx="1893717" cy="1900439"/>
        </a:xfrm>
      </xdr:grpSpPr>
      <xdr:sp macro="" textlink="">
        <xdr:nvSpPr>
          <xdr:cNvPr id="2114" name="Oval"/>
          <xdr:cNvSpPr/>
        </xdr:nvSpPr>
        <xdr:spPr>
          <a:xfrm>
            <a:off x="13258197" y="2556244"/>
            <a:ext cx="139227" cy="28512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11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21BEE80-59BA-4C4C-A420-432BAF93C32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348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11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ABFEC4D-7596-4AA8-A804-0F1D262FE4E7}"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3">
        <xdr:nvSpPr>
          <xdr:cNvPr id="211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1978AE-C543-4707-8236-A06C8DF1BB3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18" name="Cluster"/>
          <xdr:cNvGrpSpPr/>
        </xdr:nvGrpSpPr>
        <xdr:grpSpPr>
          <a:xfrm>
            <a:off x="12477748" y="2348604"/>
            <a:ext cx="1732609" cy="380242"/>
            <a:chOff x="12477748" y="2348604"/>
            <a:chExt cx="1732609" cy="380242"/>
          </a:xfrm>
        </xdr:grpSpPr>
        <xdr:grpSp>
          <xdr:nvGrpSpPr>
            <xdr:cNvPr id="2119" name="Shelter_G"/>
            <xdr:cNvGrpSpPr/>
          </xdr:nvGrpSpPr>
          <xdr:grpSpPr>
            <a:xfrm>
              <a:off x="12477748" y="2367654"/>
              <a:ext cx="332972" cy="361192"/>
              <a:chOff x="8585625" y="4782769"/>
              <a:chExt cx="147154" cy="166659"/>
            </a:xfrm>
          </xdr:grpSpPr>
          <xdr:pic>
            <xdr:nvPicPr>
              <xdr:cNvPr id="212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2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20" name="NFI_G"/>
            <xdr:cNvGrpSpPr/>
          </xdr:nvGrpSpPr>
          <xdr:grpSpPr>
            <a:xfrm>
              <a:off x="13877376" y="2348604"/>
              <a:ext cx="332981" cy="361192"/>
              <a:chOff x="8250078" y="5375644"/>
              <a:chExt cx="147158" cy="166659"/>
            </a:xfrm>
          </xdr:grpSpPr>
          <xdr:pic>
            <xdr:nvPicPr>
              <xdr:cNvPr id="212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2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394607</xdr:colOff>
      <xdr:row>21</xdr:row>
      <xdr:rowOff>106810</xdr:rowOff>
    </xdr:to>
    <xdr:grpSp>
      <xdr:nvGrpSpPr>
        <xdr:cNvPr id="2125" name="Mogaung_G"/>
        <xdr:cNvGrpSpPr/>
      </xdr:nvGrpSpPr>
      <xdr:grpSpPr>
        <a:xfrm>
          <a:off x="1939925" y="4654550"/>
          <a:ext cx="1274082" cy="652910"/>
          <a:chOff x="12380951" y="1748589"/>
          <a:chExt cx="1893717" cy="1900439"/>
        </a:xfrm>
      </xdr:grpSpPr>
      <xdr:sp macro="" textlink="">
        <xdr:nvSpPr>
          <xdr:cNvPr id="2126" name="Oval"/>
          <xdr:cNvSpPr/>
        </xdr:nvSpPr>
        <xdr:spPr>
          <a:xfrm>
            <a:off x="13271495" y="2583481"/>
            <a:ext cx="112627" cy="23065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212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4415E65-F1D4-4684-9647-85CAB5CC932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1,481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212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2AE7432-0B19-4DE2-B8AD-39ABCCCBA4A9}" type="TxLink">
              <a:rPr lang="en-US" sz="1600" b="0" i="0" u="none" strike="noStrike">
                <a:solidFill>
                  <a:srgbClr val="000000"/>
                </a:solidFill>
                <a:latin typeface="Calibri"/>
                <a:cs typeface="Arial" pitchFamily="34" charset="0"/>
              </a:rPr>
              <a:pPr algn="r"/>
              <a:t>2 cps</a:t>
            </a:fld>
            <a:endParaRPr lang="en-US" sz="600" i="1">
              <a:solidFill>
                <a:schemeClr val="tx1"/>
              </a:solidFill>
              <a:latin typeface="Arial" pitchFamily="34" charset="0"/>
              <a:cs typeface="Arial" pitchFamily="34" charset="0"/>
            </a:endParaRPr>
          </a:p>
        </xdr:txBody>
      </xdr:sp>
      <xdr:sp macro="" textlink="U14">
        <xdr:nvSpPr>
          <xdr:cNvPr id="212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02592E4-9D6B-4C39-B1CE-63813AA65F0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30" name="Cluster"/>
          <xdr:cNvGrpSpPr/>
        </xdr:nvGrpSpPr>
        <xdr:grpSpPr>
          <a:xfrm>
            <a:off x="12477748" y="2348604"/>
            <a:ext cx="1732609" cy="380242"/>
            <a:chOff x="12477748" y="2348604"/>
            <a:chExt cx="1732609" cy="380242"/>
          </a:xfrm>
        </xdr:grpSpPr>
        <xdr:grpSp>
          <xdr:nvGrpSpPr>
            <xdr:cNvPr id="2131" name="Shelter_G"/>
            <xdr:cNvGrpSpPr/>
          </xdr:nvGrpSpPr>
          <xdr:grpSpPr>
            <a:xfrm>
              <a:off x="12477748" y="2367654"/>
              <a:ext cx="332972" cy="361192"/>
              <a:chOff x="8585625" y="4782769"/>
              <a:chExt cx="147154" cy="166659"/>
            </a:xfrm>
          </xdr:grpSpPr>
          <xdr:pic>
            <xdr:nvPicPr>
              <xdr:cNvPr id="213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32" name="NFI_G"/>
            <xdr:cNvGrpSpPr/>
          </xdr:nvGrpSpPr>
          <xdr:grpSpPr>
            <a:xfrm>
              <a:off x="13877376" y="2348604"/>
              <a:ext cx="332981" cy="361192"/>
              <a:chOff x="8250078" y="5375644"/>
              <a:chExt cx="147158" cy="166659"/>
            </a:xfrm>
          </xdr:grpSpPr>
          <xdr:pic>
            <xdr:nvPicPr>
              <xdr:cNvPr id="213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102507</xdr:colOff>
      <xdr:row>24</xdr:row>
      <xdr:rowOff>129035</xdr:rowOff>
    </xdr:to>
    <xdr:grpSp>
      <xdr:nvGrpSpPr>
        <xdr:cNvPr id="2137" name="Mohnyin_G"/>
        <xdr:cNvGrpSpPr/>
      </xdr:nvGrpSpPr>
      <xdr:grpSpPr>
        <a:xfrm>
          <a:off x="1076325" y="5419725"/>
          <a:ext cx="1274082" cy="652910"/>
          <a:chOff x="12380951" y="1748589"/>
          <a:chExt cx="1893717" cy="1900439"/>
        </a:xfrm>
      </xdr:grpSpPr>
      <xdr:sp macro="" textlink="">
        <xdr:nvSpPr>
          <xdr:cNvPr id="2138" name="Oval"/>
          <xdr:cNvSpPr/>
        </xdr:nvSpPr>
        <xdr:spPr>
          <a:xfrm>
            <a:off x="13272452" y="2585441"/>
            <a:ext cx="110713" cy="22673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213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86BACCD-78DE-4940-B10D-36F6C8727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214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E4B464C-6A14-490A-BBCF-D0C1DD36F701}" type="TxLink">
              <a:rPr lang="en-US" sz="1600" b="0" i="0" u="none" strike="noStrike">
                <a:solidFill>
                  <a:srgbClr val="000000"/>
                </a:solidFill>
                <a:latin typeface="Calibri"/>
                <a:cs typeface="Arial" pitchFamily="34" charset="0"/>
              </a:rPr>
              <a:pPr algn="r"/>
              <a:t>8 cps</a:t>
            </a:fld>
            <a:endParaRPr lang="en-US" sz="600" i="1">
              <a:solidFill>
                <a:schemeClr val="tx1"/>
              </a:solidFill>
              <a:latin typeface="Arial" pitchFamily="34" charset="0"/>
              <a:cs typeface="Arial" pitchFamily="34" charset="0"/>
            </a:endParaRPr>
          </a:p>
        </xdr:txBody>
      </xdr:sp>
      <xdr:sp macro="" textlink="U15">
        <xdr:nvSpPr>
          <xdr:cNvPr id="214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C42F603-CABF-4F74-B93E-6902C5E52B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42" name="Cluster"/>
          <xdr:cNvGrpSpPr/>
        </xdr:nvGrpSpPr>
        <xdr:grpSpPr>
          <a:xfrm>
            <a:off x="12477748" y="2348604"/>
            <a:ext cx="1732609" cy="380242"/>
            <a:chOff x="12477748" y="2348604"/>
            <a:chExt cx="1732609" cy="380242"/>
          </a:xfrm>
        </xdr:grpSpPr>
        <xdr:grpSp>
          <xdr:nvGrpSpPr>
            <xdr:cNvPr id="2143" name="Shelter_G"/>
            <xdr:cNvGrpSpPr/>
          </xdr:nvGrpSpPr>
          <xdr:grpSpPr>
            <a:xfrm>
              <a:off x="12477748" y="2367654"/>
              <a:ext cx="332972" cy="361192"/>
              <a:chOff x="8585625" y="4782769"/>
              <a:chExt cx="147154" cy="166659"/>
            </a:xfrm>
          </xdr:grpSpPr>
          <xdr:pic>
            <xdr:nvPicPr>
              <xdr:cNvPr id="214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44" name="NFI_G"/>
            <xdr:cNvGrpSpPr/>
          </xdr:nvGrpSpPr>
          <xdr:grpSpPr>
            <a:xfrm>
              <a:off x="13877376" y="2348604"/>
              <a:ext cx="332981" cy="361192"/>
              <a:chOff x="8250078" y="5375644"/>
              <a:chExt cx="147158" cy="166659"/>
            </a:xfrm>
          </xdr:grpSpPr>
          <xdr:pic>
            <xdr:nvPicPr>
              <xdr:cNvPr id="214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88900</xdr:rowOff>
    </xdr:from>
    <xdr:to>
      <xdr:col>6</xdr:col>
      <xdr:colOff>10432</xdr:colOff>
      <xdr:row>27</xdr:row>
      <xdr:rowOff>141825</xdr:rowOff>
    </xdr:to>
    <xdr:grpSp>
      <xdr:nvGrpSpPr>
        <xdr:cNvPr id="2149" name="Momauk_G"/>
        <xdr:cNvGrpSpPr/>
      </xdr:nvGrpSpPr>
      <xdr:grpSpPr>
        <a:xfrm>
          <a:off x="2841625" y="6032500"/>
          <a:ext cx="1283607" cy="795875"/>
          <a:chOff x="12380951" y="1675478"/>
          <a:chExt cx="1893717" cy="2346603"/>
        </a:xfrm>
      </xdr:grpSpPr>
      <xdr:sp macro="" textlink="">
        <xdr:nvSpPr>
          <xdr:cNvPr id="2150" name="Oval"/>
          <xdr:cNvSpPr/>
        </xdr:nvSpPr>
        <xdr:spPr>
          <a:xfrm>
            <a:off x="12858822" y="1883801"/>
            <a:ext cx="937975" cy="19299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2151"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454AD8-6D1E-4B13-87C6-283B14A725B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24,865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215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837D4D6-627B-4D93-8A8A-1DE95A99066D}"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6">
        <xdr:nvSpPr>
          <xdr:cNvPr id="215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4FE8D75-382B-4D7B-BFA8-34D4A106802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54" name="Cluster"/>
          <xdr:cNvGrpSpPr/>
        </xdr:nvGrpSpPr>
        <xdr:grpSpPr>
          <a:xfrm>
            <a:off x="12477748" y="2348604"/>
            <a:ext cx="1732609" cy="380242"/>
            <a:chOff x="12477748" y="2348604"/>
            <a:chExt cx="1732609" cy="380242"/>
          </a:xfrm>
        </xdr:grpSpPr>
        <xdr:grpSp>
          <xdr:nvGrpSpPr>
            <xdr:cNvPr id="2155" name="Shelter_G"/>
            <xdr:cNvGrpSpPr/>
          </xdr:nvGrpSpPr>
          <xdr:grpSpPr>
            <a:xfrm>
              <a:off x="12477748" y="2367654"/>
              <a:ext cx="332972" cy="361192"/>
              <a:chOff x="8585625" y="4782769"/>
              <a:chExt cx="147154" cy="166659"/>
            </a:xfrm>
          </xdr:grpSpPr>
          <xdr:pic>
            <xdr:nvPicPr>
              <xdr:cNvPr id="215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56" name="NFI_G"/>
            <xdr:cNvGrpSpPr/>
          </xdr:nvGrpSpPr>
          <xdr:grpSpPr>
            <a:xfrm>
              <a:off x="13877376" y="2348604"/>
              <a:ext cx="332981" cy="361192"/>
              <a:chOff x="8250078" y="5375644"/>
              <a:chExt cx="147158" cy="166659"/>
            </a:xfrm>
          </xdr:grpSpPr>
          <xdr:pic>
            <xdr:nvPicPr>
              <xdr:cNvPr id="215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177800</xdr:rowOff>
    </xdr:from>
    <xdr:to>
      <xdr:col>8</xdr:col>
      <xdr:colOff>23132</xdr:colOff>
      <xdr:row>31</xdr:row>
      <xdr:rowOff>230725</xdr:rowOff>
    </xdr:to>
    <xdr:grpSp>
      <xdr:nvGrpSpPr>
        <xdr:cNvPr id="2161" name="Muse_G"/>
        <xdr:cNvGrpSpPr/>
      </xdr:nvGrpSpPr>
      <xdr:grpSpPr>
        <a:xfrm>
          <a:off x="3959225" y="7112000"/>
          <a:ext cx="1302657" cy="795875"/>
          <a:chOff x="12380951" y="1675478"/>
          <a:chExt cx="1893717" cy="2346603"/>
        </a:xfrm>
      </xdr:grpSpPr>
      <xdr:sp macro="" textlink="">
        <xdr:nvSpPr>
          <xdr:cNvPr id="2162" name="Oval"/>
          <xdr:cNvSpPr/>
        </xdr:nvSpPr>
        <xdr:spPr>
          <a:xfrm>
            <a:off x="13211753" y="2609984"/>
            <a:ext cx="232113" cy="4775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216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7679C42-A3EB-4AAF-B726-68A910808B52}"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1,052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216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062D508-160D-46D8-8736-5966A8112384}" type="TxLink">
              <a:rPr lang="en-US" sz="1600" b="0" i="0" u="none" strike="noStrike">
                <a:solidFill>
                  <a:srgbClr val="000000"/>
                </a:solidFill>
                <a:latin typeface="Calibri"/>
                <a:cs typeface="Arial" pitchFamily="34" charset="0"/>
              </a:rPr>
              <a:pPr algn="r"/>
              <a:t>15 cps</a:t>
            </a:fld>
            <a:endParaRPr lang="en-US" sz="600" i="1">
              <a:solidFill>
                <a:schemeClr val="tx1"/>
              </a:solidFill>
              <a:latin typeface="Arial" pitchFamily="34" charset="0"/>
              <a:cs typeface="Arial" pitchFamily="34" charset="0"/>
            </a:endParaRPr>
          </a:p>
        </xdr:txBody>
      </xdr:sp>
      <xdr:sp macro="" textlink="U17">
        <xdr:nvSpPr>
          <xdr:cNvPr id="216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44A4624-AF52-4582-A554-727EFB5B3A1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66" name="Cluster"/>
          <xdr:cNvGrpSpPr/>
        </xdr:nvGrpSpPr>
        <xdr:grpSpPr>
          <a:xfrm>
            <a:off x="12477748" y="2348604"/>
            <a:ext cx="1732609" cy="380242"/>
            <a:chOff x="12477748" y="2348604"/>
            <a:chExt cx="1732609" cy="380242"/>
          </a:xfrm>
        </xdr:grpSpPr>
        <xdr:grpSp>
          <xdr:nvGrpSpPr>
            <xdr:cNvPr id="2167" name="Shelter_G"/>
            <xdr:cNvGrpSpPr/>
          </xdr:nvGrpSpPr>
          <xdr:grpSpPr>
            <a:xfrm>
              <a:off x="12477748" y="2367654"/>
              <a:ext cx="332972" cy="361192"/>
              <a:chOff x="8585625" y="4782769"/>
              <a:chExt cx="147154" cy="166659"/>
            </a:xfrm>
          </xdr:grpSpPr>
          <xdr:pic>
            <xdr:nvPicPr>
              <xdr:cNvPr id="217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68" name="NFI_G"/>
            <xdr:cNvGrpSpPr/>
          </xdr:nvGrpSpPr>
          <xdr:grpSpPr>
            <a:xfrm>
              <a:off x="13877376" y="2348604"/>
              <a:ext cx="332981" cy="361192"/>
              <a:chOff x="8250078" y="5375644"/>
              <a:chExt cx="147158" cy="166659"/>
            </a:xfrm>
          </xdr:grpSpPr>
          <xdr:pic>
            <xdr:nvPicPr>
              <xdr:cNvPr id="216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426357</xdr:colOff>
      <xdr:row>23</xdr:row>
      <xdr:rowOff>40225</xdr:rowOff>
    </xdr:to>
    <xdr:grpSp>
      <xdr:nvGrpSpPr>
        <xdr:cNvPr id="2173" name="Myitkyina_G"/>
        <xdr:cNvGrpSpPr/>
      </xdr:nvGrpSpPr>
      <xdr:grpSpPr>
        <a:xfrm>
          <a:off x="2600325" y="4930775"/>
          <a:ext cx="1274082" cy="805400"/>
          <a:chOff x="12380951" y="1675478"/>
          <a:chExt cx="1893717" cy="2346603"/>
        </a:xfrm>
      </xdr:grpSpPr>
      <xdr:sp macro="" textlink="">
        <xdr:nvSpPr>
          <xdr:cNvPr id="2174" name="Oval"/>
          <xdr:cNvSpPr/>
        </xdr:nvSpPr>
        <xdr:spPr>
          <a:xfrm>
            <a:off x="13071339" y="2321071"/>
            <a:ext cx="512941" cy="105541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217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B6AA59A-0BBA-4527-B880-6E938F4921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12,884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217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947CC42-8A69-4029-8ECE-3D0ADECEFAC8}"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8">
        <xdr:nvSpPr>
          <xdr:cNvPr id="217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459C229-2AE5-439D-99AE-377F0347FA5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78" name="Cluster"/>
          <xdr:cNvGrpSpPr/>
        </xdr:nvGrpSpPr>
        <xdr:grpSpPr>
          <a:xfrm>
            <a:off x="12477748" y="2348604"/>
            <a:ext cx="1732609" cy="380242"/>
            <a:chOff x="12477748" y="2348604"/>
            <a:chExt cx="1732609" cy="380242"/>
          </a:xfrm>
        </xdr:grpSpPr>
        <xdr:grpSp>
          <xdr:nvGrpSpPr>
            <xdr:cNvPr id="2179" name="Shelter_G"/>
            <xdr:cNvGrpSpPr/>
          </xdr:nvGrpSpPr>
          <xdr:grpSpPr>
            <a:xfrm>
              <a:off x="12477748" y="2367654"/>
              <a:ext cx="332972" cy="361192"/>
              <a:chOff x="8585625" y="4782769"/>
              <a:chExt cx="147154" cy="166659"/>
            </a:xfrm>
          </xdr:grpSpPr>
          <xdr:pic>
            <xdr:nvPicPr>
              <xdr:cNvPr id="218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80" name="NFI_G"/>
            <xdr:cNvGrpSpPr/>
          </xdr:nvGrpSpPr>
          <xdr:grpSpPr>
            <a:xfrm>
              <a:off x="13877376" y="2348604"/>
              <a:ext cx="332981" cy="361192"/>
              <a:chOff x="8250078" y="5375644"/>
              <a:chExt cx="147158" cy="166659"/>
            </a:xfrm>
          </xdr:grpSpPr>
          <xdr:pic>
            <xdr:nvPicPr>
              <xdr:cNvPr id="218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146050</xdr:rowOff>
    </xdr:from>
    <xdr:to>
      <xdr:col>6</xdr:col>
      <xdr:colOff>302532</xdr:colOff>
      <xdr:row>33</xdr:row>
      <xdr:rowOff>198975</xdr:rowOff>
    </xdr:to>
    <xdr:grpSp>
      <xdr:nvGrpSpPr>
        <xdr:cNvPr id="2185" name="Namhkan_G"/>
        <xdr:cNvGrpSpPr/>
      </xdr:nvGrpSpPr>
      <xdr:grpSpPr>
        <a:xfrm>
          <a:off x="3133725" y="7575550"/>
          <a:ext cx="1283607" cy="795875"/>
          <a:chOff x="12380951" y="1675478"/>
          <a:chExt cx="1893717" cy="2346603"/>
        </a:xfrm>
      </xdr:grpSpPr>
      <xdr:sp macro="" textlink="">
        <xdr:nvSpPr>
          <xdr:cNvPr id="2186" name="Oval"/>
          <xdr:cNvSpPr/>
        </xdr:nvSpPr>
        <xdr:spPr>
          <a:xfrm>
            <a:off x="13195910" y="2577386"/>
            <a:ext cx="263798" cy="54278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218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88426CB-73A6-46DF-AD72-58A246FB0EB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2,009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218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F867D6-5E21-425D-8B17-2EC4ADD465DC}" type="TxLink">
              <a:rPr lang="en-US" sz="1600" b="0" i="0" u="none" strike="noStrike">
                <a:solidFill>
                  <a:srgbClr val="000000"/>
                </a:solidFill>
                <a:latin typeface="Calibri"/>
                <a:cs typeface="Arial" pitchFamily="34" charset="0"/>
              </a:rPr>
              <a:pPr algn="r"/>
              <a:t>28 cps</a:t>
            </a:fld>
            <a:endParaRPr lang="en-US" sz="600" i="1">
              <a:solidFill>
                <a:schemeClr val="tx1"/>
              </a:solidFill>
              <a:latin typeface="Arial" pitchFamily="34" charset="0"/>
              <a:cs typeface="Arial" pitchFamily="34" charset="0"/>
            </a:endParaRPr>
          </a:p>
        </xdr:txBody>
      </xdr:sp>
      <xdr:sp macro="" textlink="U19">
        <xdr:nvSpPr>
          <xdr:cNvPr id="218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2778F5-684E-4A0A-B459-37780B88DF5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90" name="Cluster"/>
          <xdr:cNvGrpSpPr/>
        </xdr:nvGrpSpPr>
        <xdr:grpSpPr>
          <a:xfrm>
            <a:off x="12477748" y="2348604"/>
            <a:ext cx="1732609" cy="380242"/>
            <a:chOff x="12477748" y="2348604"/>
            <a:chExt cx="1732609" cy="380242"/>
          </a:xfrm>
        </xdr:grpSpPr>
        <xdr:grpSp>
          <xdr:nvGrpSpPr>
            <xdr:cNvPr id="2191" name="Shelter_G"/>
            <xdr:cNvGrpSpPr/>
          </xdr:nvGrpSpPr>
          <xdr:grpSpPr>
            <a:xfrm>
              <a:off x="12477748" y="2367654"/>
              <a:ext cx="332972" cy="361192"/>
              <a:chOff x="8585625" y="4782769"/>
              <a:chExt cx="147154" cy="166659"/>
            </a:xfrm>
          </xdr:grpSpPr>
          <xdr:pic>
            <xdr:nvPicPr>
              <xdr:cNvPr id="219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92" name="NFI_G"/>
            <xdr:cNvGrpSpPr/>
          </xdr:nvGrpSpPr>
          <xdr:grpSpPr>
            <a:xfrm>
              <a:off x="13877376" y="2348604"/>
              <a:ext cx="332981" cy="361192"/>
              <a:chOff x="8250078" y="5375644"/>
              <a:chExt cx="147158" cy="166659"/>
            </a:xfrm>
          </xdr:grpSpPr>
          <xdr:pic>
            <xdr:nvPicPr>
              <xdr:cNvPr id="219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85725</xdr:rowOff>
    </xdr:from>
    <xdr:to>
      <xdr:col>6</xdr:col>
      <xdr:colOff>61232</xdr:colOff>
      <xdr:row>37</xdr:row>
      <xdr:rowOff>233810</xdr:rowOff>
    </xdr:to>
    <xdr:grpSp>
      <xdr:nvGrpSpPr>
        <xdr:cNvPr id="2197" name="Namtu_G"/>
        <xdr:cNvGrpSpPr/>
      </xdr:nvGrpSpPr>
      <xdr:grpSpPr>
        <a:xfrm>
          <a:off x="2892425" y="8753475"/>
          <a:ext cx="1283607" cy="643385"/>
          <a:chOff x="12380951" y="1748589"/>
          <a:chExt cx="1893717" cy="1900439"/>
        </a:xfrm>
      </xdr:grpSpPr>
      <xdr:sp macro="" textlink="">
        <xdr:nvSpPr>
          <xdr:cNvPr id="2198" name="Oval"/>
          <xdr:cNvSpPr/>
        </xdr:nvSpPr>
        <xdr:spPr>
          <a:xfrm>
            <a:off x="13259685" y="2559291"/>
            <a:ext cx="136251" cy="27903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219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9DD6BB-6B75-4296-AF00-701ADBBEF2F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753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220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C95BF77-991B-494C-8070-549A5DAF0AEF}"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20">
        <xdr:nvSpPr>
          <xdr:cNvPr id="220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EE38207-293C-402D-8990-F5B8DCB5F75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02" name="Cluster"/>
          <xdr:cNvGrpSpPr/>
        </xdr:nvGrpSpPr>
        <xdr:grpSpPr>
          <a:xfrm>
            <a:off x="12477748" y="2348604"/>
            <a:ext cx="1732609" cy="380242"/>
            <a:chOff x="12477748" y="2348604"/>
            <a:chExt cx="1732609" cy="380242"/>
          </a:xfrm>
        </xdr:grpSpPr>
        <xdr:grpSp>
          <xdr:nvGrpSpPr>
            <xdr:cNvPr id="2203" name="Shelter_G"/>
            <xdr:cNvGrpSpPr/>
          </xdr:nvGrpSpPr>
          <xdr:grpSpPr>
            <a:xfrm>
              <a:off x="12477748" y="2367654"/>
              <a:ext cx="332972" cy="361192"/>
              <a:chOff x="8585625" y="4782769"/>
              <a:chExt cx="147154" cy="166659"/>
            </a:xfrm>
          </xdr:grpSpPr>
          <xdr:pic>
            <xdr:nvPicPr>
              <xdr:cNvPr id="220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04" name="NFI_G"/>
            <xdr:cNvGrpSpPr/>
          </xdr:nvGrpSpPr>
          <xdr:grpSpPr>
            <a:xfrm>
              <a:off x="13877376" y="2348604"/>
              <a:ext cx="332981" cy="361192"/>
              <a:chOff x="8250078" y="5375644"/>
              <a:chExt cx="147158" cy="166659"/>
            </a:xfrm>
          </xdr:grpSpPr>
          <xdr:pic>
            <xdr:nvPicPr>
              <xdr:cNvPr id="220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654957</xdr:colOff>
      <xdr:row>8</xdr:row>
      <xdr:rowOff>14735</xdr:rowOff>
    </xdr:to>
    <xdr:grpSp>
      <xdr:nvGrpSpPr>
        <xdr:cNvPr id="2209" name="Puta-O_G"/>
        <xdr:cNvGrpSpPr/>
      </xdr:nvGrpSpPr>
      <xdr:grpSpPr>
        <a:xfrm>
          <a:off x="2828925" y="1343025"/>
          <a:ext cx="1274082" cy="652910"/>
          <a:chOff x="12380951" y="1748589"/>
          <a:chExt cx="1893717" cy="1900439"/>
        </a:xfrm>
      </xdr:grpSpPr>
      <xdr:sp macro="" textlink="">
        <xdr:nvSpPr>
          <xdr:cNvPr id="2210" name="Oval"/>
          <xdr:cNvSpPr/>
        </xdr:nvSpPr>
        <xdr:spPr>
          <a:xfrm>
            <a:off x="13267596" y="2575497"/>
            <a:ext cx="120426" cy="24662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221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0CBE50E-5A1C-42B0-B8A4-EFF6C916327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412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221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CF1136-8C78-4E65-BB9E-FB46C10C67BB}"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1">
        <xdr:nvSpPr>
          <xdr:cNvPr id="221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7EEED2-CE07-4F28-BE12-8C8A8F5CEA9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14" name="Cluster"/>
          <xdr:cNvGrpSpPr/>
        </xdr:nvGrpSpPr>
        <xdr:grpSpPr>
          <a:xfrm>
            <a:off x="12477748" y="2348604"/>
            <a:ext cx="1732609" cy="380242"/>
            <a:chOff x="12477748" y="2348604"/>
            <a:chExt cx="1732609" cy="380242"/>
          </a:xfrm>
        </xdr:grpSpPr>
        <xdr:grpSp>
          <xdr:nvGrpSpPr>
            <xdr:cNvPr id="2215" name="Shelter_G"/>
            <xdr:cNvGrpSpPr/>
          </xdr:nvGrpSpPr>
          <xdr:grpSpPr>
            <a:xfrm>
              <a:off x="12477748" y="2367654"/>
              <a:ext cx="332972" cy="361192"/>
              <a:chOff x="8585625" y="4782769"/>
              <a:chExt cx="147154" cy="166659"/>
            </a:xfrm>
          </xdr:grpSpPr>
          <xdr:pic>
            <xdr:nvPicPr>
              <xdr:cNvPr id="221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16" name="NFI_G"/>
            <xdr:cNvGrpSpPr/>
          </xdr:nvGrpSpPr>
          <xdr:grpSpPr>
            <a:xfrm>
              <a:off x="13877376" y="2348604"/>
              <a:ext cx="332981" cy="361192"/>
              <a:chOff x="8250078" y="5375644"/>
              <a:chExt cx="147158" cy="166659"/>
            </a:xfrm>
          </xdr:grpSpPr>
          <xdr:pic>
            <xdr:nvPicPr>
              <xdr:cNvPr id="221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180975</xdr:rowOff>
    </xdr:from>
    <xdr:to>
      <xdr:col>4</xdr:col>
      <xdr:colOff>153307</xdr:colOff>
      <xdr:row>28</xdr:row>
      <xdr:rowOff>233900</xdr:rowOff>
    </xdr:to>
    <xdr:grpSp>
      <xdr:nvGrpSpPr>
        <xdr:cNvPr id="2221" name="Shwegu_G"/>
        <xdr:cNvGrpSpPr/>
      </xdr:nvGrpSpPr>
      <xdr:grpSpPr>
        <a:xfrm>
          <a:off x="1698625" y="6372225"/>
          <a:ext cx="1274082" cy="795875"/>
          <a:chOff x="12380951" y="1675478"/>
          <a:chExt cx="1893717" cy="2346603"/>
        </a:xfrm>
      </xdr:grpSpPr>
      <xdr:sp macro="" textlink="">
        <xdr:nvSpPr>
          <xdr:cNvPr id="2222" name="Oval"/>
          <xdr:cNvSpPr/>
        </xdr:nvSpPr>
        <xdr:spPr>
          <a:xfrm>
            <a:off x="13188391" y="2561918"/>
            <a:ext cx="278836" cy="57372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222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E0E137-8190-4C8B-938B-726DC0F0F81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542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222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E7CA8C-61C5-448F-97C1-FAFFA8F3BBE1}"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222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87BAA3-C92A-48C4-B8CC-3A2284C1473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26" name="Cluster"/>
          <xdr:cNvGrpSpPr/>
        </xdr:nvGrpSpPr>
        <xdr:grpSpPr>
          <a:xfrm>
            <a:off x="12477748" y="2348604"/>
            <a:ext cx="1732609" cy="380242"/>
            <a:chOff x="12477748" y="2348604"/>
            <a:chExt cx="1732609" cy="380242"/>
          </a:xfrm>
        </xdr:grpSpPr>
        <xdr:grpSp>
          <xdr:nvGrpSpPr>
            <xdr:cNvPr id="2227" name="Shelter_G"/>
            <xdr:cNvGrpSpPr/>
          </xdr:nvGrpSpPr>
          <xdr:grpSpPr>
            <a:xfrm>
              <a:off x="12477748" y="2367654"/>
              <a:ext cx="332972" cy="361192"/>
              <a:chOff x="8585625" y="4782769"/>
              <a:chExt cx="147154" cy="166659"/>
            </a:xfrm>
          </xdr:grpSpPr>
          <xdr:pic>
            <xdr:nvPicPr>
              <xdr:cNvPr id="223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28" name="NFI_G"/>
            <xdr:cNvGrpSpPr/>
          </xdr:nvGrpSpPr>
          <xdr:grpSpPr>
            <a:xfrm>
              <a:off x="13877376" y="2348604"/>
              <a:ext cx="332981" cy="361192"/>
              <a:chOff x="8250078" y="5375644"/>
              <a:chExt cx="147158" cy="166659"/>
            </a:xfrm>
          </xdr:grpSpPr>
          <xdr:pic>
            <xdr:nvPicPr>
              <xdr:cNvPr id="222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47625</xdr:rowOff>
    </xdr:from>
    <xdr:to>
      <xdr:col>6</xdr:col>
      <xdr:colOff>99332</xdr:colOff>
      <xdr:row>13</xdr:row>
      <xdr:rowOff>195710</xdr:rowOff>
    </xdr:to>
    <xdr:grpSp>
      <xdr:nvGrpSpPr>
        <xdr:cNvPr id="2233" name="Sumprabum_G"/>
        <xdr:cNvGrpSpPr/>
      </xdr:nvGrpSpPr>
      <xdr:grpSpPr>
        <a:xfrm>
          <a:off x="2930525" y="2771775"/>
          <a:ext cx="1283607" cy="643385"/>
          <a:chOff x="12380951" y="1748589"/>
          <a:chExt cx="1893717" cy="1900439"/>
        </a:xfrm>
      </xdr:grpSpPr>
      <xdr:sp macro="" textlink="">
        <xdr:nvSpPr>
          <xdr:cNvPr id="2234" name="Oval"/>
          <xdr:cNvSpPr/>
        </xdr:nvSpPr>
        <xdr:spPr>
          <a:xfrm>
            <a:off x="13245312" y="2529859"/>
            <a:ext cx="164994" cy="33789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223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5BB14E7-4982-460D-A649-3706152FEA2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977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223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F54293-A8CC-4D86-ABFA-088F61DCCE67}" type="TxLink">
              <a:rPr lang="en-US" sz="1600" b="0" i="0" u="none" strike="noStrike">
                <a:solidFill>
                  <a:srgbClr val="000000"/>
                </a:solidFill>
                <a:latin typeface="Calibri"/>
                <a:cs typeface="Arial" pitchFamily="34" charset="0"/>
              </a:rPr>
              <a:pPr algn="r"/>
              <a:t>2 cps</a:t>
            </a:fld>
            <a:endParaRPr lang="en-US" sz="600" i="1">
              <a:solidFill>
                <a:schemeClr val="tx1"/>
              </a:solidFill>
              <a:latin typeface="Arial" pitchFamily="34" charset="0"/>
              <a:cs typeface="Arial" pitchFamily="34" charset="0"/>
            </a:endParaRPr>
          </a:p>
        </xdr:txBody>
      </xdr:sp>
      <xdr:sp macro="" textlink="U23">
        <xdr:nvSpPr>
          <xdr:cNvPr id="223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A380985-59BA-4C70-94A2-D33F777B254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38" name="Cluster"/>
          <xdr:cNvGrpSpPr/>
        </xdr:nvGrpSpPr>
        <xdr:grpSpPr>
          <a:xfrm>
            <a:off x="12477748" y="2348604"/>
            <a:ext cx="1732609" cy="380242"/>
            <a:chOff x="12477748" y="2348604"/>
            <a:chExt cx="1732609" cy="380242"/>
          </a:xfrm>
        </xdr:grpSpPr>
        <xdr:grpSp>
          <xdr:nvGrpSpPr>
            <xdr:cNvPr id="2239" name="Shelter_G"/>
            <xdr:cNvGrpSpPr/>
          </xdr:nvGrpSpPr>
          <xdr:grpSpPr>
            <a:xfrm>
              <a:off x="12477748" y="2367654"/>
              <a:ext cx="332972" cy="361192"/>
              <a:chOff x="8585625" y="4782769"/>
              <a:chExt cx="147154" cy="166659"/>
            </a:xfrm>
          </xdr:grpSpPr>
          <xdr:pic>
            <xdr:nvPicPr>
              <xdr:cNvPr id="224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40" name="NFI_G"/>
            <xdr:cNvGrpSpPr/>
          </xdr:nvGrpSpPr>
          <xdr:grpSpPr>
            <a:xfrm>
              <a:off x="13877376" y="2348604"/>
              <a:ext cx="332981" cy="361192"/>
              <a:chOff x="8250078" y="5375644"/>
              <a:chExt cx="147158" cy="166659"/>
            </a:xfrm>
          </xdr:grpSpPr>
          <xdr:pic>
            <xdr:nvPicPr>
              <xdr:cNvPr id="224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777875</xdr:colOff>
      <xdr:row>12</xdr:row>
      <xdr:rowOff>38100</xdr:rowOff>
    </xdr:from>
    <xdr:to>
      <xdr:col>4</xdr:col>
      <xdr:colOff>89807</xdr:colOff>
      <xdr:row>14</xdr:row>
      <xdr:rowOff>186185</xdr:rowOff>
    </xdr:to>
    <xdr:grpSp>
      <xdr:nvGrpSpPr>
        <xdr:cNvPr id="2245" name="Tanai_G"/>
        <xdr:cNvGrpSpPr/>
      </xdr:nvGrpSpPr>
      <xdr:grpSpPr>
        <a:xfrm>
          <a:off x="1635125" y="3009900"/>
          <a:ext cx="1274082" cy="643385"/>
          <a:chOff x="12380951" y="1748589"/>
          <a:chExt cx="1893717" cy="1900439"/>
        </a:xfrm>
      </xdr:grpSpPr>
      <xdr:sp macro="" textlink="">
        <xdr:nvSpPr>
          <xdr:cNvPr id="2246" name="Oval"/>
          <xdr:cNvSpPr/>
        </xdr:nvSpPr>
        <xdr:spPr>
          <a:xfrm>
            <a:off x="13233806" y="2506293"/>
            <a:ext cx="188008" cy="38503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224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7124DC2-F3E5-4357-A1D9-39FBA7352A3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1,110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224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1E09160-E65B-41D5-8FEC-3BFCA62777A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4">
        <xdr:nvSpPr>
          <xdr:cNvPr id="224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823ED56-0998-4744-98D9-234AB248D1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Tanai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50" name="Cluster"/>
          <xdr:cNvGrpSpPr/>
        </xdr:nvGrpSpPr>
        <xdr:grpSpPr>
          <a:xfrm>
            <a:off x="12477748" y="2348604"/>
            <a:ext cx="1732609" cy="380242"/>
            <a:chOff x="12477748" y="2348604"/>
            <a:chExt cx="1732609" cy="380242"/>
          </a:xfrm>
        </xdr:grpSpPr>
        <xdr:grpSp>
          <xdr:nvGrpSpPr>
            <xdr:cNvPr id="2251" name="Shelter_G"/>
            <xdr:cNvGrpSpPr/>
          </xdr:nvGrpSpPr>
          <xdr:grpSpPr>
            <a:xfrm>
              <a:off x="12477748" y="2367654"/>
              <a:ext cx="332972" cy="361192"/>
              <a:chOff x="8585625" y="4782769"/>
              <a:chExt cx="147154" cy="166659"/>
            </a:xfrm>
          </xdr:grpSpPr>
          <xdr:pic>
            <xdr:nvPicPr>
              <xdr:cNvPr id="225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52" name="NFI_G"/>
            <xdr:cNvGrpSpPr/>
          </xdr:nvGrpSpPr>
          <xdr:grpSpPr>
            <a:xfrm>
              <a:off x="13877376" y="2348604"/>
              <a:ext cx="332981" cy="361192"/>
              <a:chOff x="8250078" y="5375644"/>
              <a:chExt cx="147158" cy="166659"/>
            </a:xfrm>
          </xdr:grpSpPr>
          <xdr:pic>
            <xdr:nvPicPr>
              <xdr:cNvPr id="225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31750</xdr:rowOff>
    </xdr:from>
    <xdr:to>
      <xdr:col>7</xdr:col>
      <xdr:colOff>51707</xdr:colOff>
      <xdr:row>21</xdr:row>
      <xdr:rowOff>84675</xdr:rowOff>
    </xdr:to>
    <xdr:grpSp>
      <xdr:nvGrpSpPr>
        <xdr:cNvPr id="2257" name="Waingmaw_G"/>
        <xdr:cNvGrpSpPr/>
      </xdr:nvGrpSpPr>
      <xdr:grpSpPr>
        <a:xfrm>
          <a:off x="3425825" y="4489450"/>
          <a:ext cx="1293132" cy="795875"/>
          <a:chOff x="12380951" y="1675478"/>
          <a:chExt cx="1893717" cy="2346603"/>
        </a:xfrm>
      </xdr:grpSpPr>
      <xdr:sp macro="" textlink="">
        <xdr:nvSpPr>
          <xdr:cNvPr id="2258" name="Oval"/>
          <xdr:cNvSpPr/>
        </xdr:nvSpPr>
        <xdr:spPr>
          <a:xfrm>
            <a:off x="12863364" y="1893147"/>
            <a:ext cx="928889" cy="19112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5">
        <xdr:nvSpPr>
          <xdr:cNvPr id="225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B347CA4-A3C0-48C6-9CC8-BB56469499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25,409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5">
        <xdr:nvSpPr>
          <xdr:cNvPr id="226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CB4E264-C171-4E07-A3E1-3FD2477279C0}"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5">
        <xdr:nvSpPr>
          <xdr:cNvPr id="226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0406DA2-3308-4199-9713-4D5B90DBDDC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62" name="Cluster"/>
          <xdr:cNvGrpSpPr/>
        </xdr:nvGrpSpPr>
        <xdr:grpSpPr>
          <a:xfrm>
            <a:off x="12477748" y="2348604"/>
            <a:ext cx="1732609" cy="380242"/>
            <a:chOff x="12477748" y="2348604"/>
            <a:chExt cx="1732609" cy="380242"/>
          </a:xfrm>
        </xdr:grpSpPr>
        <xdr:grpSp>
          <xdr:nvGrpSpPr>
            <xdr:cNvPr id="2263" name="Shelter_G"/>
            <xdr:cNvGrpSpPr/>
          </xdr:nvGrpSpPr>
          <xdr:grpSpPr>
            <a:xfrm>
              <a:off x="12477748" y="2367654"/>
              <a:ext cx="332972" cy="361192"/>
              <a:chOff x="8585625" y="4782769"/>
              <a:chExt cx="147154" cy="166659"/>
            </a:xfrm>
          </xdr:grpSpPr>
          <xdr:pic>
            <xdr:nvPicPr>
              <xdr:cNvPr id="226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64" name="NFI_G"/>
            <xdr:cNvGrpSpPr/>
          </xdr:nvGrpSpPr>
          <xdr:grpSpPr>
            <a:xfrm>
              <a:off x="13877376" y="2348604"/>
              <a:ext cx="332981" cy="361192"/>
              <a:chOff x="8250078" y="5375644"/>
              <a:chExt cx="147158" cy="166659"/>
            </a:xfrm>
          </xdr:grpSpPr>
          <xdr:pic>
            <xdr:nvPicPr>
              <xdr:cNvPr id="226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1143000</xdr:colOff>
      <xdr:row>2</xdr:row>
      <xdr:rowOff>4483</xdr:rowOff>
    </xdr:from>
    <xdr:to>
      <xdr:col>8</xdr:col>
      <xdr:colOff>647700</xdr:colOff>
      <xdr:row>3</xdr:row>
      <xdr:rowOff>114300</xdr:rowOff>
    </xdr:to>
    <xdr:grpSp>
      <xdr:nvGrpSpPr>
        <xdr:cNvPr id="2" name="Group 1"/>
        <xdr:cNvGrpSpPr/>
      </xdr:nvGrpSpPr>
      <xdr:grpSpPr>
        <a:xfrm>
          <a:off x="5991225" y="414058"/>
          <a:ext cx="3533775" cy="471767"/>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0</xdr:row>
      <xdr:rowOff>242608</xdr:rowOff>
    </xdr:from>
    <xdr:to>
      <xdr:col>8</xdr:col>
      <xdr:colOff>1066800</xdr:colOff>
      <xdr:row>2</xdr:row>
      <xdr:rowOff>76200</xdr:rowOff>
    </xdr:to>
    <xdr:grpSp>
      <xdr:nvGrpSpPr>
        <xdr:cNvPr id="2" name="Group 1"/>
        <xdr:cNvGrpSpPr/>
      </xdr:nvGrpSpPr>
      <xdr:grpSpPr>
        <a:xfrm>
          <a:off x="6800850" y="242608"/>
          <a:ext cx="3286125" cy="32889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355003</xdr:colOff>
      <xdr:row>0</xdr:row>
      <xdr:rowOff>134471</xdr:rowOff>
    </xdr:from>
    <xdr:to>
      <xdr:col>12</xdr:col>
      <xdr:colOff>237392</xdr:colOff>
      <xdr:row>0</xdr:row>
      <xdr:rowOff>645460</xdr:rowOff>
    </xdr:to>
    <xdr:grpSp>
      <xdr:nvGrpSpPr>
        <xdr:cNvPr id="13" name="Group 12"/>
        <xdr:cNvGrpSpPr/>
      </xdr:nvGrpSpPr>
      <xdr:grpSpPr>
        <a:xfrm>
          <a:off x="5831878" y="134471"/>
          <a:ext cx="4549639" cy="510989"/>
          <a:chOff x="6500812" y="317500"/>
          <a:chExt cx="6186806" cy="575469"/>
        </a:xfrm>
      </xdr:grpSpPr>
      <xdr:pic>
        <xdr:nvPicPr>
          <xdr:cNvPr id="14" name="Picture 1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5" name="Picture 1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355003</xdr:colOff>
      <xdr:row>0</xdr:row>
      <xdr:rowOff>134471</xdr:rowOff>
    </xdr:from>
    <xdr:to>
      <xdr:col>13</xdr:col>
      <xdr:colOff>518160</xdr:colOff>
      <xdr:row>0</xdr:row>
      <xdr:rowOff>645460</xdr:rowOff>
    </xdr:to>
    <xdr:grpSp>
      <xdr:nvGrpSpPr>
        <xdr:cNvPr id="2" name="Group 1"/>
        <xdr:cNvGrpSpPr/>
      </xdr:nvGrpSpPr>
      <xdr:grpSpPr>
        <a:xfrm>
          <a:off x="5831878" y="134471"/>
          <a:ext cx="4963757" cy="510989"/>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95517</xdr:colOff>
      <xdr:row>8</xdr:row>
      <xdr:rowOff>64210</xdr:rowOff>
    </xdr:from>
    <xdr:to>
      <xdr:col>14</xdr:col>
      <xdr:colOff>1041894</xdr:colOff>
      <xdr:row>39</xdr:row>
      <xdr:rowOff>116709</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4009" y="1799225"/>
          <a:ext cx="4762239" cy="5439253"/>
        </a:xfrm>
        <a:prstGeom prst="rect">
          <a:avLst/>
        </a:prstGeom>
        <a:ln w="28575">
          <a:solidFill>
            <a:schemeClr val="tx1"/>
          </a:solidFill>
        </a:ln>
      </xdr:spPr>
    </xdr:pic>
    <xdr:clientData/>
  </xdr:twoCellAnchor>
  <xdr:oneCellAnchor>
    <xdr:from>
      <xdr:col>9</xdr:col>
      <xdr:colOff>504825</xdr:colOff>
      <xdr:row>10</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10</xdr:col>
      <xdr:colOff>615315</xdr:colOff>
      <xdr:row>1</xdr:row>
      <xdr:rowOff>57419</xdr:rowOff>
    </xdr:from>
    <xdr:to>
      <xdr:col>14</xdr:col>
      <xdr:colOff>981075</xdr:colOff>
      <xdr:row>2</xdr:row>
      <xdr:rowOff>142875</xdr:rowOff>
    </xdr:to>
    <xdr:grpSp>
      <xdr:nvGrpSpPr>
        <xdr:cNvPr id="35" name="Group 34"/>
        <xdr:cNvGrpSpPr/>
      </xdr:nvGrpSpPr>
      <xdr:grpSpPr>
        <a:xfrm>
          <a:off x="6755277" y="218611"/>
          <a:ext cx="3010779" cy="444476"/>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86361</xdr:colOff>
      <xdr:row>4</xdr:row>
      <xdr:rowOff>0</xdr:rowOff>
    </xdr:from>
    <xdr:to>
      <xdr:col>14</xdr:col>
      <xdr:colOff>1066800</xdr:colOff>
      <xdr:row>7</xdr:row>
      <xdr:rowOff>38100</xdr:rowOff>
    </xdr:to>
    <xdr:sp macro="" textlink="">
      <xdr:nvSpPr>
        <xdr:cNvPr id="43" name="Rounded Rectangle 42"/>
        <xdr:cNvSpPr/>
      </xdr:nvSpPr>
      <xdr:spPr>
        <a:xfrm>
          <a:off x="4323081" y="809625"/>
          <a:ext cx="4798059" cy="683895"/>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ctr"/>
        <a:lstStyle/>
        <a:p>
          <a:pPr algn="ctr"/>
          <a:r>
            <a:rPr lang="en-US" sz="1200">
              <a:solidFill>
                <a:sysClr val="windowText" lastClr="000000"/>
              </a:solidFill>
              <a:effectLst/>
              <a:latin typeface="+mn-lt"/>
              <a:ea typeface="+mn-ea"/>
              <a:cs typeface="+mn-cs"/>
            </a:rPr>
            <a:t>Shelter Cluster members are currently covering approximately 43% of the shelter needs reported in Kachin and Northern Shan States. </a:t>
          </a:r>
        </a:p>
      </xdr:txBody>
    </xdr:sp>
    <xdr:clientData/>
  </xdr:twoCellAnchor>
  <xdr:twoCellAnchor>
    <xdr:from>
      <xdr:col>80</xdr:col>
      <xdr:colOff>3138</xdr:colOff>
      <xdr:row>35</xdr:row>
      <xdr:rowOff>150159</xdr:rowOff>
    </xdr:from>
    <xdr:to>
      <xdr:col>80</xdr:col>
      <xdr:colOff>3138</xdr:colOff>
      <xdr:row>37</xdr:row>
      <xdr:rowOff>0</xdr:rowOff>
    </xdr:to>
    <xdr:grpSp>
      <xdr:nvGrpSpPr>
        <xdr:cNvPr id="73" name="Shelter_Situation_Group"/>
        <xdr:cNvGrpSpPr/>
      </xdr:nvGrpSpPr>
      <xdr:grpSpPr>
        <a:xfrm>
          <a:off x="50009388" y="6649140"/>
          <a:ext cx="0" cy="157572"/>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79</xdr:col>
      <xdr:colOff>5827</xdr:colOff>
      <xdr:row>36</xdr:row>
      <xdr:rowOff>0</xdr:rowOff>
    </xdr:from>
    <xdr:to>
      <xdr:col>80</xdr:col>
      <xdr:colOff>405</xdr:colOff>
      <xdr:row>37</xdr:row>
      <xdr:rowOff>0</xdr:rowOff>
    </xdr:to>
    <xdr:grpSp>
      <xdr:nvGrpSpPr>
        <xdr:cNvPr id="117" name="Mansi"/>
        <xdr:cNvGrpSpPr/>
      </xdr:nvGrpSpPr>
      <xdr:grpSpPr>
        <a:xfrm>
          <a:off x="49008289" y="6652846"/>
          <a:ext cx="998366" cy="153866"/>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165</xdr:col>
      <xdr:colOff>158676</xdr:colOff>
      <xdr:row>39</xdr:row>
      <xdr:rowOff>0</xdr:rowOff>
    </xdr:from>
    <xdr:to>
      <xdr:col>165</xdr:col>
      <xdr:colOff>158676</xdr:colOff>
      <xdr:row>39</xdr:row>
      <xdr:rowOff>146583</xdr:rowOff>
    </xdr:to>
    <xdr:grpSp>
      <xdr:nvGrpSpPr>
        <xdr:cNvPr id="121" name="Hsipaw"/>
        <xdr:cNvGrpSpPr/>
      </xdr:nvGrpSpPr>
      <xdr:grpSpPr>
        <a:xfrm>
          <a:off x="101636561" y="7121769"/>
          <a:ext cx="0" cy="146583"/>
          <a:chOff x="51590538" y="6415660"/>
          <a:chExt cx="0" cy="346849"/>
        </a:xfrm>
      </xdr:grpSpPr>
      <xdr:sp macro="" textlink="">
        <xdr:nvSpPr>
          <xdr:cNvPr id="122" name="V_1"/>
          <xdr:cNvSpPr/>
        </xdr:nvSpPr>
        <xdr:spPr>
          <a:xfrm>
            <a:off x="51590538" y="6415660"/>
            <a:ext cx="0" cy="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24" name="V_2"/>
          <xdr:cNvSpPr/>
        </xdr:nvSpPr>
        <xdr:spPr>
          <a:xfrm flipH="1">
            <a:off x="51590538" y="6746846"/>
            <a:ext cx="0" cy="1566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5" name="V_3"/>
          <xdr:cNvSpPr/>
        </xdr:nvSpPr>
        <xdr:spPr>
          <a:xfrm>
            <a:off x="51590538" y="6762508"/>
            <a:ext cx="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647700</xdr:colOff>
      <xdr:row>28</xdr:row>
      <xdr:rowOff>7620</xdr:rowOff>
    </xdr:from>
    <xdr:to>
      <xdr:col>11</xdr:col>
      <xdr:colOff>121920</xdr:colOff>
      <xdr:row>32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464820</xdr:colOff>
      <xdr:row>16</xdr:row>
      <xdr:rowOff>121920</xdr:rowOff>
    </xdr:from>
    <xdr:to>
      <xdr:col>14</xdr:col>
      <xdr:colOff>38100</xdr:colOff>
      <xdr:row>21</xdr:row>
      <xdr:rowOff>30480</xdr:rowOff>
    </xdr:to>
    <xdr:graphicFrame macro="">
      <xdr:nvGraphicFramePr>
        <xdr:cNvPr id="134"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899160</xdr:colOff>
      <xdr:row>16</xdr:row>
      <xdr:rowOff>30480</xdr:rowOff>
    </xdr:from>
    <xdr:to>
      <xdr:col>10</xdr:col>
      <xdr:colOff>373380</xdr:colOff>
      <xdr:row>20</xdr:row>
      <xdr:rowOff>99060</xdr:rowOff>
    </xdr:to>
    <xdr:graphicFrame macro="">
      <xdr:nvGraphicFramePr>
        <xdr:cNvPr id="135"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558897</xdr:colOff>
      <xdr:row>32</xdr:row>
      <xdr:rowOff>60082</xdr:rowOff>
    </xdr:from>
    <xdr:to>
      <xdr:col>14</xdr:col>
      <xdr:colOff>132177</xdr:colOff>
      <xdr:row>38</xdr:row>
      <xdr:rowOff>20810</xdr:rowOff>
    </xdr:to>
    <xdr:graphicFrame macro="">
      <xdr:nvGraphicFramePr>
        <xdr:cNvPr id="136"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1042474</xdr:colOff>
      <xdr:row>30</xdr:row>
      <xdr:rowOff>26963</xdr:rowOff>
    </xdr:from>
    <xdr:to>
      <xdr:col>11</xdr:col>
      <xdr:colOff>516694</xdr:colOff>
      <xdr:row>34</xdr:row>
      <xdr:rowOff>89388</xdr:rowOff>
    </xdr:to>
    <xdr:graphicFrame macro="">
      <xdr:nvGraphicFramePr>
        <xdr:cNvPr id="137" name="Chart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716866</xdr:colOff>
      <xdr:row>34</xdr:row>
      <xdr:rowOff>133643</xdr:rowOff>
    </xdr:from>
    <xdr:to>
      <xdr:col>11</xdr:col>
      <xdr:colOff>191086</xdr:colOff>
      <xdr:row>39</xdr:row>
      <xdr:rowOff>92173</xdr:rowOff>
    </xdr:to>
    <xdr:graphicFrame macro="">
      <xdr:nvGraphicFramePr>
        <xdr:cNvPr id="138"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437271</xdr:colOff>
      <xdr:row>19</xdr:row>
      <xdr:rowOff>118697</xdr:rowOff>
    </xdr:from>
    <xdr:to>
      <xdr:col>10</xdr:col>
      <xdr:colOff>1008771</xdr:colOff>
      <xdr:row>23</xdr:row>
      <xdr:rowOff>187277</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480646</xdr:colOff>
      <xdr:row>21</xdr:row>
      <xdr:rowOff>110197</xdr:rowOff>
    </xdr:from>
    <xdr:to>
      <xdr:col>9</xdr:col>
      <xdr:colOff>1024597</xdr:colOff>
      <xdr:row>26</xdr:row>
      <xdr:rowOff>24912</xdr:rowOff>
    </xdr:to>
    <xdr:graphicFrame macro="">
      <xdr:nvGraphicFramePr>
        <xdr:cNvPr id="140"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925684</xdr:colOff>
      <xdr:row>23</xdr:row>
      <xdr:rowOff>155623</xdr:rowOff>
    </xdr:from>
    <xdr:to>
      <xdr:col>11</xdr:col>
      <xdr:colOff>409429</xdr:colOff>
      <xdr:row>29</xdr:row>
      <xdr:rowOff>80889</xdr:rowOff>
    </xdr:to>
    <xdr:graphicFrame macro="">
      <xdr:nvGraphicFramePr>
        <xdr:cNvPr id="141" name="Chart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359018</xdr:colOff>
      <xdr:row>29</xdr:row>
      <xdr:rowOff>143314</xdr:rowOff>
    </xdr:from>
    <xdr:to>
      <xdr:col>13</xdr:col>
      <xdr:colOff>337036</xdr:colOff>
      <xdr:row>34</xdr:row>
      <xdr:rowOff>44547</xdr:rowOff>
    </xdr:to>
    <xdr:graphicFrame macro="">
      <xdr:nvGraphicFramePr>
        <xdr:cNvPr id="142" name="Chart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923193</xdr:colOff>
      <xdr:row>18</xdr:row>
      <xdr:rowOff>879</xdr:rowOff>
    </xdr:from>
    <xdr:to>
      <xdr:col>11</xdr:col>
      <xdr:colOff>461597</xdr:colOff>
      <xdr:row>22</xdr:row>
      <xdr:rowOff>69459</xdr:rowOff>
    </xdr:to>
    <xdr:graphicFrame macro="">
      <xdr:nvGraphicFramePr>
        <xdr:cNvPr id="143" name="Chart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381000</xdr:colOff>
      <xdr:row>32</xdr:row>
      <xdr:rowOff>22860</xdr:rowOff>
    </xdr:from>
    <xdr:to>
      <xdr:col>12</xdr:col>
      <xdr:colOff>327660</xdr:colOff>
      <xdr:row>36</xdr:row>
      <xdr:rowOff>45720</xdr:rowOff>
    </xdr:to>
    <xdr:graphicFrame macro="">
      <xdr:nvGraphicFramePr>
        <xdr:cNvPr id="144" name="Chart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119575</xdr:colOff>
      <xdr:row>36</xdr:row>
      <xdr:rowOff>129540</xdr:rowOff>
    </xdr:from>
    <xdr:to>
      <xdr:col>12</xdr:col>
      <xdr:colOff>66235</xdr:colOff>
      <xdr:row>39</xdr:row>
      <xdr:rowOff>158115</xdr:rowOff>
    </xdr:to>
    <xdr:graphicFrame macro="">
      <xdr:nvGraphicFramePr>
        <xdr:cNvPr id="145"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152986</xdr:colOff>
      <xdr:row>26</xdr:row>
      <xdr:rowOff>4103</xdr:rowOff>
    </xdr:from>
    <xdr:to>
      <xdr:col>10</xdr:col>
      <xdr:colOff>724486</xdr:colOff>
      <xdr:row>30</xdr:row>
      <xdr:rowOff>103163</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982980</xdr:colOff>
      <xdr:row>10</xdr:row>
      <xdr:rowOff>53340</xdr:rowOff>
    </xdr:from>
    <xdr:to>
      <xdr:col>11</xdr:col>
      <xdr:colOff>457200</xdr:colOff>
      <xdr:row>14</xdr:row>
      <xdr:rowOff>91440</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327660</xdr:colOff>
      <xdr:row>19</xdr:row>
      <xdr:rowOff>0</xdr:rowOff>
    </xdr:from>
    <xdr:to>
      <xdr:col>12</xdr:col>
      <xdr:colOff>274320</xdr:colOff>
      <xdr:row>23</xdr:row>
      <xdr:rowOff>68580</xdr:rowOff>
    </xdr:to>
    <xdr:graphicFrame macro="">
      <xdr:nvGraphicFramePr>
        <xdr:cNvPr id="148"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365760</xdr:colOff>
      <xdr:row>27</xdr:row>
      <xdr:rowOff>114300</xdr:rowOff>
    </xdr:from>
    <xdr:to>
      <xdr:col>14</xdr:col>
      <xdr:colOff>944880</xdr:colOff>
      <xdr:row>31</xdr:row>
      <xdr:rowOff>45720</xdr:rowOff>
    </xdr:to>
    <xdr:sp macro="" textlink="">
      <xdr:nvSpPr>
        <xdr:cNvPr id="5" name="TextBox 4"/>
        <xdr:cNvSpPr txBox="1"/>
      </xdr:nvSpPr>
      <xdr:spPr>
        <a:xfrm>
          <a:off x="7421880" y="4907280"/>
          <a:ext cx="15773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   </a:t>
          </a:r>
          <a:r>
            <a:rPr lang="en-US" sz="1400" baseline="0"/>
            <a:t>  </a:t>
          </a:r>
          <a:r>
            <a:rPr lang="en-US" sz="1400"/>
            <a:t>Shelter planned</a:t>
          </a:r>
        </a:p>
        <a:p>
          <a:r>
            <a:rPr lang="en-US" sz="1400" baseline="0"/>
            <a:t>     Shelter Needed</a:t>
          </a:r>
          <a:endParaRPr lang="en-US" sz="1400"/>
        </a:p>
      </xdr:txBody>
    </xdr:sp>
    <xdr:clientData/>
  </xdr:twoCellAnchor>
  <xdr:twoCellAnchor>
    <xdr:from>
      <xdr:col>12</xdr:col>
      <xdr:colOff>512886</xdr:colOff>
      <xdr:row>27</xdr:row>
      <xdr:rowOff>153865</xdr:rowOff>
    </xdr:from>
    <xdr:to>
      <xdr:col>13</xdr:col>
      <xdr:colOff>0</xdr:colOff>
      <xdr:row>28</xdr:row>
      <xdr:rowOff>161191</xdr:rowOff>
    </xdr:to>
    <xdr:sp macro="" textlink="">
      <xdr:nvSpPr>
        <xdr:cNvPr id="6" name="Rectangle 5"/>
        <xdr:cNvSpPr/>
      </xdr:nvSpPr>
      <xdr:spPr>
        <a:xfrm>
          <a:off x="8330713" y="5348653"/>
          <a:ext cx="65941" cy="16851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41564</xdr:rowOff>
    </xdr:from>
    <xdr:to>
      <xdr:col>6</xdr:col>
      <xdr:colOff>103909</xdr:colOff>
      <xdr:row>42</xdr:row>
      <xdr:rowOff>25976</xdr:rowOff>
    </xdr:to>
    <xdr:sp macro="" textlink="">
      <xdr:nvSpPr>
        <xdr:cNvPr id="70" name="TextBox 69"/>
        <xdr:cNvSpPr txBox="1"/>
      </xdr:nvSpPr>
      <xdr:spPr>
        <a:xfrm>
          <a:off x="164523" y="7696200"/>
          <a:ext cx="3169227" cy="57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Shelter cluster partners, UNHCR, </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other humanitarian organizations &amp; MIMU.</a:t>
          </a:r>
          <a:endParaRPr lang="en-GB" sz="1000">
            <a:latin typeface="Franklin Gothic Book" pitchFamily="34" charset="0"/>
          </a:endParaRPr>
        </a:p>
      </xdr:txBody>
    </xdr:sp>
    <xdr:clientData/>
  </xdr:twoCellAnchor>
  <xdr:twoCellAnchor>
    <xdr:from>
      <xdr:col>5</xdr:col>
      <xdr:colOff>36635</xdr:colOff>
      <xdr:row>41</xdr:row>
      <xdr:rowOff>13675</xdr:rowOff>
    </xdr:from>
    <xdr:to>
      <xdr:col>14</xdr:col>
      <xdr:colOff>1013114</xdr:colOff>
      <xdr:row>42</xdr:row>
      <xdr:rowOff>115229</xdr:rowOff>
    </xdr:to>
    <xdr:grpSp>
      <xdr:nvGrpSpPr>
        <xdr:cNvPr id="3" name="Group 2"/>
        <xdr:cNvGrpSpPr/>
      </xdr:nvGrpSpPr>
      <xdr:grpSpPr>
        <a:xfrm>
          <a:off x="2784231" y="7457829"/>
          <a:ext cx="7013864" cy="695035"/>
          <a:chOff x="2784231" y="7435848"/>
          <a:chExt cx="7013864" cy="695035"/>
        </a:xfrm>
      </xdr:grpSpPr>
      <xdr:sp macro="" textlink="">
        <xdr:nvSpPr>
          <xdr:cNvPr id="50" name="TextBox 49"/>
          <xdr:cNvSpPr txBox="1"/>
        </xdr:nvSpPr>
        <xdr:spPr>
          <a:xfrm>
            <a:off x="8230065" y="7435848"/>
            <a:ext cx="1564019" cy="1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SALDUCCI@unhcr.org</a:t>
            </a:r>
          </a:p>
          <a:p>
            <a:pPr marL="0" marR="0" indent="0" algn="r" defTabSz="914400" eaLnBrk="1" fontAlgn="auto" latinLnBrk="0" hangingPunct="1">
              <a:lnSpc>
                <a:spcPct val="100000"/>
              </a:lnSpc>
              <a:spcBef>
                <a:spcPts val="0"/>
              </a:spcBef>
              <a:spcAft>
                <a:spcPts val="0"/>
              </a:spcAft>
              <a:buClrTx/>
              <a:buSzTx/>
              <a:buFontTx/>
              <a:buNone/>
              <a:tabLst/>
              <a:defRPr/>
            </a:pPr>
            <a:endParaRPr lang="en-GB" sz="1050" b="1" baseline="0">
              <a:solidFill>
                <a:srgbClr val="0070C0"/>
              </a:solidFill>
              <a:effectLst/>
              <a:latin typeface="+mn-lt"/>
              <a:ea typeface="+mn-ea"/>
              <a:cs typeface="+mn-cs"/>
            </a:endParaRPr>
          </a:p>
        </xdr:txBody>
      </xdr:sp>
      <xdr:grpSp>
        <xdr:nvGrpSpPr>
          <xdr:cNvPr id="10" name="Group 9"/>
          <xdr:cNvGrpSpPr/>
        </xdr:nvGrpSpPr>
        <xdr:grpSpPr>
          <a:xfrm>
            <a:off x="2784231" y="7460764"/>
            <a:ext cx="6311179" cy="670119"/>
            <a:chOff x="3463641" y="7700393"/>
            <a:chExt cx="5820302" cy="665671"/>
          </a:xfrm>
        </xdr:grpSpPr>
        <xdr:sp macro="" textlink="">
          <xdr:nvSpPr>
            <xdr:cNvPr id="49" name="TextBox 48"/>
            <xdr:cNvSpPr txBox="1">
              <a:spLocks/>
            </xdr:cNvSpPr>
          </xdr:nvSpPr>
          <xdr:spPr>
            <a:xfrm>
              <a:off x="3463641" y="7700393"/>
              <a:ext cx="5671700" cy="22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100" b="1" baseline="0">
                  <a:latin typeface="+mn-lt"/>
                </a:rPr>
                <a:t>For more information contact the National Cluster Coordinator   : Geraldine Salducci Petruccelli</a:t>
              </a:r>
              <a:endParaRPr lang="en-GB" sz="1800" b="1">
                <a:latin typeface="+mn-lt"/>
              </a:endParaRPr>
            </a:p>
          </xdr:txBody>
        </xdr:sp>
        <xdr:sp macro="" textlink="">
          <xdr:nvSpPr>
            <xdr:cNvPr id="72" name="TextBox 71"/>
            <xdr:cNvSpPr txBox="1">
              <a:spLocks/>
            </xdr:cNvSpPr>
          </xdr:nvSpPr>
          <xdr:spPr>
            <a:xfrm>
              <a:off x="5281285" y="7872495"/>
              <a:ext cx="4002658" cy="493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latin typeface="+mn-lt"/>
                </a:rPr>
                <a:t>Sub-National Cluster  Coordinator: </a:t>
              </a:r>
              <a:r>
                <a:rPr lang="en-GB" sz="1100" b="1" baseline="0">
                  <a:solidFill>
                    <a:schemeClr val="dk1"/>
                  </a:solidFill>
                  <a:effectLst/>
                  <a:latin typeface="+mn-lt"/>
                  <a:ea typeface="+mn-ea"/>
                  <a:cs typeface="+mn-cs"/>
                </a:rPr>
                <a:t>Deepika Bhardwaj </a:t>
              </a:r>
              <a:endParaRPr lang="en-US">
                <a:effectLst/>
              </a:endParaRPr>
            </a:p>
            <a:p>
              <a:pPr algn="l"/>
              <a:r>
                <a:rPr lang="en-GB" sz="1100" b="1" baseline="0">
                  <a:solidFill>
                    <a:schemeClr val="dk1"/>
                  </a:solidFill>
                  <a:effectLst/>
                  <a:latin typeface="+mn-lt"/>
                  <a:ea typeface="+mn-ea"/>
                  <a:cs typeface="+mn-cs"/>
                </a:rPr>
                <a:t>Cluster  Focal Person</a:t>
              </a:r>
              <a:r>
                <a:rPr lang="en-GB" sz="1100" b="1" baseline="0">
                  <a:latin typeface="+mn-lt"/>
                </a:rPr>
                <a:t> :  </a:t>
              </a:r>
              <a:r>
                <a:rPr lang="en-GB" sz="1100" b="1">
                  <a:latin typeface="+mn-lt"/>
                </a:rPr>
                <a:t>Soe Moe Kyi</a:t>
              </a:r>
            </a:p>
          </xdr:txBody>
        </xdr:sp>
      </xdr:grpSp>
      <xdr:sp macro="" textlink="">
        <xdr:nvSpPr>
          <xdr:cNvPr id="57" name="TextBox 56"/>
          <xdr:cNvSpPr txBox="1"/>
        </xdr:nvSpPr>
        <xdr:spPr>
          <a:xfrm>
            <a:off x="7967164" y="7618906"/>
            <a:ext cx="1830931" cy="22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BHARDWAD@unhcr.org</a:t>
            </a:r>
          </a:p>
        </xdr:txBody>
      </xdr:sp>
      <xdr:sp macro="" textlink="">
        <xdr:nvSpPr>
          <xdr:cNvPr id="59" name="TextBox 58"/>
          <xdr:cNvSpPr txBox="1"/>
        </xdr:nvSpPr>
        <xdr:spPr>
          <a:xfrm>
            <a:off x="7963408" y="7789759"/>
            <a:ext cx="1830931" cy="222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KYIS@unhcr.org</a:t>
            </a:r>
          </a:p>
        </xdr:txBody>
      </xdr:sp>
    </xdr:grpSp>
    <xdr:clientData/>
  </xdr:twoCellAnchor>
  <xdr:twoCellAnchor>
    <xdr:from>
      <xdr:col>12</xdr:col>
      <xdr:colOff>512886</xdr:colOff>
      <xdr:row>29</xdr:row>
      <xdr:rowOff>65943</xdr:rowOff>
    </xdr:from>
    <xdr:to>
      <xdr:col>13</xdr:col>
      <xdr:colOff>0</xdr:colOff>
      <xdr:row>30</xdr:row>
      <xdr:rowOff>73270</xdr:rowOff>
    </xdr:to>
    <xdr:sp macro="" textlink="">
      <xdr:nvSpPr>
        <xdr:cNvPr id="51" name="Rectangle 50"/>
        <xdr:cNvSpPr/>
      </xdr:nvSpPr>
      <xdr:spPr>
        <a:xfrm>
          <a:off x="8330713" y="5583116"/>
          <a:ext cx="65941" cy="168519"/>
        </a:xfrm>
        <a:prstGeom prst="rect">
          <a:avLst/>
        </a:prstGeom>
        <a:solidFill>
          <a:srgbClr val="C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857250</xdr:colOff>
      <xdr:row>6</xdr:row>
      <xdr:rowOff>205154</xdr:rowOff>
    </xdr:from>
    <xdr:to>
      <xdr:col>11</xdr:col>
      <xdr:colOff>327954</xdr:colOff>
      <xdr:row>9</xdr:row>
      <xdr:rowOff>77080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21981</xdr:colOff>
      <xdr:row>9</xdr:row>
      <xdr:rowOff>87924</xdr:rowOff>
    </xdr:from>
    <xdr:to>
      <xdr:col>10</xdr:col>
      <xdr:colOff>578826</xdr:colOff>
      <xdr:row>14</xdr:row>
      <xdr:rowOff>31947</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153865</xdr:colOff>
      <xdr:row>36</xdr:row>
      <xdr:rowOff>146539</xdr:rowOff>
    </xdr:from>
    <xdr:to>
      <xdr:col>13</xdr:col>
      <xdr:colOff>129833</xdr:colOff>
      <xdr:row>40</xdr:row>
      <xdr:rowOff>13922</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220980</xdr:colOff>
      <xdr:row>0</xdr:row>
      <xdr:rowOff>68580</xdr:rowOff>
    </xdr:from>
    <xdr:to>
      <xdr:col>11</xdr:col>
      <xdr:colOff>264795</xdr:colOff>
      <xdr:row>0</xdr:row>
      <xdr:rowOff>441959</xdr:rowOff>
    </xdr:to>
    <xdr:grpSp>
      <xdr:nvGrpSpPr>
        <xdr:cNvPr id="2" name="Group 1"/>
        <xdr:cNvGrpSpPr/>
      </xdr:nvGrpSpPr>
      <xdr:grpSpPr>
        <a:xfrm>
          <a:off x="2792730" y="68580"/>
          <a:ext cx="3491865" cy="373379"/>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821903</xdr:colOff>
      <xdr:row>1</xdr:row>
      <xdr:rowOff>83820</xdr:rowOff>
    </xdr:from>
    <xdr:to>
      <xdr:col>8</xdr:col>
      <xdr:colOff>1844041</xdr:colOff>
      <xdr:row>2</xdr:row>
      <xdr:rowOff>133350</xdr:rowOff>
    </xdr:to>
    <xdr:grpSp>
      <xdr:nvGrpSpPr>
        <xdr:cNvPr id="10" name="Group 9"/>
        <xdr:cNvGrpSpPr/>
      </xdr:nvGrpSpPr>
      <xdr:grpSpPr>
        <a:xfrm>
          <a:off x="6222578" y="179070"/>
          <a:ext cx="5613188" cy="46863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22</xdr:row>
      <xdr:rowOff>31750</xdr:rowOff>
    </xdr:from>
    <xdr:to>
      <xdr:col>6</xdr:col>
      <xdr:colOff>733425</xdr:colOff>
      <xdr:row>40</xdr:row>
      <xdr:rowOff>152399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749931</xdr:colOff>
      <xdr:row>4</xdr:row>
      <xdr:rowOff>27868</xdr:rowOff>
    </xdr:from>
    <xdr:to>
      <xdr:col>18</xdr:col>
      <xdr:colOff>48503</xdr:colOff>
      <xdr:row>50</xdr:row>
      <xdr:rowOff>2362</xdr:rowOff>
    </xdr:to>
    <xdr:pic>
      <xdr:nvPicPr>
        <xdr:cNvPr id="4" name="Picture 3"/>
        <xdr:cNvPicPr>
          <a:picLocks noChangeAspect="1"/>
        </xdr:cNvPicPr>
      </xdr:nvPicPr>
      <xdr:blipFill>
        <a:blip xmlns:r="http://schemas.openxmlformats.org/officeDocument/2006/relationships" r:embed="rId2"/>
        <a:stretch>
          <a:fillRect/>
        </a:stretch>
      </xdr:blipFill>
      <xdr:spPr>
        <a:xfrm>
          <a:off x="3865967" y="1109636"/>
          <a:ext cx="6076643" cy="8650748"/>
        </a:xfrm>
        <a:prstGeom prst="rect">
          <a:avLst/>
        </a:prstGeom>
      </xdr:spPr>
    </xdr:pic>
    <xdr:clientData/>
  </xdr:twoCellAnchor>
  <xdr:twoCellAnchor>
    <xdr:from>
      <xdr:col>12</xdr:col>
      <xdr:colOff>220980</xdr:colOff>
      <xdr:row>1</xdr:row>
      <xdr:rowOff>60960</xdr:rowOff>
    </xdr:from>
    <xdr:to>
      <xdr:col>18</xdr:col>
      <xdr:colOff>384810</xdr:colOff>
      <xdr:row>2</xdr:row>
      <xdr:rowOff>129722</xdr:rowOff>
    </xdr:to>
    <xdr:grpSp>
      <xdr:nvGrpSpPr>
        <xdr:cNvPr id="22" name="Group 21"/>
        <xdr:cNvGrpSpPr/>
      </xdr:nvGrpSpPr>
      <xdr:grpSpPr>
        <a:xfrm>
          <a:off x="6582319" y="197031"/>
          <a:ext cx="3301978" cy="383428"/>
          <a:chOff x="6500812" y="317500"/>
          <a:chExt cx="6186806" cy="575469"/>
        </a:xfrm>
      </xdr:grpSpPr>
      <xdr:pic>
        <xdr:nvPicPr>
          <xdr:cNvPr id="23" name="Picture 22"/>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3</xdr:row>
      <xdr:rowOff>9525</xdr:rowOff>
    </xdr:from>
    <xdr:to>
      <xdr:col>18</xdr:col>
      <xdr:colOff>438150</xdr:colOff>
      <xdr:row>3</xdr:row>
      <xdr:rowOff>504825</xdr:rowOff>
    </xdr:to>
    <xdr:sp macro="" textlink="">
      <xdr:nvSpPr>
        <xdr:cNvPr id="31" name="Rounded Rectangle 30">
          <a:hlinkClick xmlns:r="http://schemas.openxmlformats.org/officeDocument/2006/relationships" r:id="rId5"/>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Standards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editAs="oneCell">
    <xdr:from>
      <xdr:col>2</xdr:col>
      <xdr:colOff>773768</xdr:colOff>
      <xdr:row>37</xdr:row>
      <xdr:rowOff>102884</xdr:rowOff>
    </xdr:from>
    <xdr:to>
      <xdr:col>3</xdr:col>
      <xdr:colOff>358959</xdr:colOff>
      <xdr:row>39</xdr:row>
      <xdr:rowOff>15904</xdr:rowOff>
    </xdr:to>
    <xdr:pic>
      <xdr:nvPicPr>
        <xdr:cNvPr id="43" name="Picture 4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7406" y="7527281"/>
          <a:ext cx="394829" cy="287216"/>
        </a:xfrm>
        <a:prstGeom prst="rect">
          <a:avLst/>
        </a:prstGeom>
      </xdr:spPr>
    </xdr:pic>
    <xdr:clientData/>
  </xdr:twoCellAnchor>
  <xdr:twoCellAnchor editAs="oneCell">
    <xdr:from>
      <xdr:col>2</xdr:col>
      <xdr:colOff>400996</xdr:colOff>
      <xdr:row>37</xdr:row>
      <xdr:rowOff>51985</xdr:rowOff>
    </xdr:from>
    <xdr:to>
      <xdr:col>2</xdr:col>
      <xdr:colOff>731381</xdr:colOff>
      <xdr:row>39</xdr:row>
      <xdr:rowOff>94095</xdr:rowOff>
    </xdr:to>
    <xdr:pic>
      <xdr:nvPicPr>
        <xdr:cNvPr id="45" name="Picture 4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634" y="7476382"/>
          <a:ext cx="330385" cy="416306"/>
        </a:xfrm>
        <a:prstGeom prst="rect">
          <a:avLst/>
        </a:prstGeom>
      </xdr:spPr>
    </xdr:pic>
    <xdr:clientData/>
  </xdr:twoCellAnchor>
  <xdr:twoCellAnchor>
    <xdr:from>
      <xdr:col>1</xdr:col>
      <xdr:colOff>95249</xdr:colOff>
      <xdr:row>4</xdr:row>
      <xdr:rowOff>57151</xdr:rowOff>
    </xdr:from>
    <xdr:to>
      <xdr:col>6</xdr:col>
      <xdr:colOff>742950</xdr:colOff>
      <xdr:row>20</xdr:row>
      <xdr:rowOff>105833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47623</xdr:colOff>
      <xdr:row>56</xdr:row>
      <xdr:rowOff>93131</xdr:rowOff>
    </xdr:from>
    <xdr:to>
      <xdr:col>6</xdr:col>
      <xdr:colOff>317499</xdr:colOff>
      <xdr:row>91</xdr:row>
      <xdr:rowOff>10583</xdr:rowOff>
    </xdr:to>
    <xdr:sp macro="" textlink="">
      <xdr:nvSpPr>
        <xdr:cNvPr id="39" name="TextBox 38"/>
        <xdr:cNvSpPr txBox="1"/>
      </xdr:nvSpPr>
      <xdr:spPr>
        <a:xfrm>
          <a:off x="206373" y="10517714"/>
          <a:ext cx="3233209" cy="59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50" baseline="0">
              <a:solidFill>
                <a:schemeClr val="dk1"/>
              </a:solidFill>
              <a:effectLst/>
              <a:latin typeface="Franklin Gothic Book" pitchFamily="34" charset="0"/>
              <a:ea typeface="+mn-ea"/>
              <a:cs typeface="+mn-cs"/>
            </a:rPr>
            <a:t>Sources: </a:t>
          </a:r>
        </a:p>
        <a:p>
          <a:pPr marL="0" marR="0" indent="0" defTabSz="914400" eaLnBrk="1" fontAlgn="auto" latinLnBrk="0" hangingPunct="1">
            <a:lnSpc>
              <a:spcPct val="100000"/>
            </a:lnSpc>
            <a:spcBef>
              <a:spcPts val="0"/>
            </a:spcBef>
            <a:spcAft>
              <a:spcPts val="0"/>
            </a:spcAft>
            <a:buClrTx/>
            <a:buSzTx/>
            <a:buFontTx/>
            <a:buNone/>
            <a:tabLst/>
            <a:defRPr/>
          </a:pPr>
          <a:r>
            <a:rPr lang="en-GB" sz="1050" baseline="0">
              <a:solidFill>
                <a:schemeClr val="dk1"/>
              </a:solidFill>
              <a:effectLst/>
              <a:latin typeface="Franklin Gothic Book" pitchFamily="34" charset="0"/>
              <a:ea typeface="+mn-ea"/>
              <a:cs typeface="+mn-cs"/>
            </a:rPr>
            <a:t>NFI cluster partners, UNHCR, other humanitarian </a:t>
          </a:r>
        </a:p>
        <a:p>
          <a:pPr marL="0" marR="0" indent="0" defTabSz="914400" eaLnBrk="1" fontAlgn="auto" latinLnBrk="0" hangingPunct="1">
            <a:lnSpc>
              <a:spcPct val="100000"/>
            </a:lnSpc>
            <a:spcBef>
              <a:spcPts val="0"/>
            </a:spcBef>
            <a:spcAft>
              <a:spcPts val="0"/>
            </a:spcAft>
            <a:buClrTx/>
            <a:buSzTx/>
            <a:buFontTx/>
            <a:buNone/>
            <a:tabLst/>
            <a:defRPr/>
          </a:pPr>
          <a:r>
            <a:rPr lang="en-GB" sz="1050" baseline="0">
              <a:solidFill>
                <a:schemeClr val="dk1"/>
              </a:solidFill>
              <a:effectLst/>
              <a:latin typeface="Franklin Gothic Book" pitchFamily="34" charset="0"/>
              <a:ea typeface="+mn-ea"/>
              <a:cs typeface="+mn-cs"/>
            </a:rPr>
            <a:t>organizations &amp; MIMU.</a:t>
          </a:r>
          <a:endParaRPr lang="en-GB" sz="1050">
            <a:latin typeface="Franklin Gothic Book" pitchFamily="34" charset="0"/>
          </a:endParaRPr>
        </a:p>
      </xdr:txBody>
    </xdr:sp>
    <xdr:clientData/>
  </xdr:twoCellAnchor>
  <xdr:twoCellAnchor editAs="oneCell">
    <xdr:from>
      <xdr:col>1</xdr:col>
      <xdr:colOff>85724</xdr:colOff>
      <xdr:row>41</xdr:row>
      <xdr:rowOff>9524</xdr:rowOff>
    </xdr:from>
    <xdr:to>
      <xdr:col>6</xdr:col>
      <xdr:colOff>573213</xdr:colOff>
      <xdr:row>54</xdr:row>
      <xdr:rowOff>38099</xdr:rowOff>
    </xdr:to>
    <xdr:pic>
      <xdr:nvPicPr>
        <xdr:cNvPr id="7" name="Picture 6"/>
        <xdr:cNvPicPr>
          <a:picLocks noChangeAspect="1"/>
        </xdr:cNvPicPr>
      </xdr:nvPicPr>
      <xdr:blipFill>
        <a:blip xmlns:r="http://schemas.openxmlformats.org/officeDocument/2006/relationships" r:embed="rId9"/>
        <a:stretch>
          <a:fillRect/>
        </a:stretch>
      </xdr:blipFill>
      <xdr:spPr>
        <a:xfrm>
          <a:off x="255813" y="8167006"/>
          <a:ext cx="3657943" cy="2273754"/>
        </a:xfrm>
        <a:prstGeom prst="rect">
          <a:avLst/>
        </a:prstGeom>
      </xdr:spPr>
    </xdr:pic>
    <xdr:clientData/>
  </xdr:twoCellAnchor>
  <xdr:oneCellAnchor>
    <xdr:from>
      <xdr:col>11</xdr:col>
      <xdr:colOff>176212</xdr:colOff>
      <xdr:row>4</xdr:row>
      <xdr:rowOff>42863</xdr:rowOff>
    </xdr:from>
    <xdr:ext cx="3286125" cy="624658"/>
    <xdr:sp macro="" textlink="">
      <xdr:nvSpPr>
        <xdr:cNvPr id="3" name="TextBox 2"/>
        <xdr:cNvSpPr txBox="1"/>
      </xdr:nvSpPr>
      <xdr:spPr>
        <a:xfrm>
          <a:off x="5551033" y="1122930"/>
          <a:ext cx="3286125" cy="624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a:r>
            <a:rPr lang="en-US" sz="1100" b="1" i="0" baseline="0">
              <a:solidFill>
                <a:schemeClr val="tx1"/>
              </a:solidFill>
              <a:effectLst/>
              <a:latin typeface="+mn-lt"/>
              <a:ea typeface="+mn-ea"/>
              <a:cs typeface="+mn-cs"/>
            </a:rPr>
            <a:t>Map showing # of </a:t>
          </a:r>
          <a:r>
            <a:rPr lang="en-US" sz="1200" b="1" i="0" baseline="0">
              <a:solidFill>
                <a:schemeClr val="tx1"/>
              </a:solidFill>
              <a:effectLst/>
              <a:latin typeface="+mn-lt"/>
              <a:ea typeface="+mn-ea"/>
              <a:cs typeface="+mn-cs"/>
            </a:rPr>
            <a:t>distributions</a:t>
          </a:r>
          <a:r>
            <a:rPr lang="en-US" sz="1100" b="1" i="0" baseline="0">
              <a:solidFill>
                <a:schemeClr val="tx1"/>
              </a:solidFill>
              <a:effectLst/>
              <a:latin typeface="+mn-lt"/>
              <a:ea typeface="+mn-ea"/>
              <a:cs typeface="+mn-cs"/>
            </a:rPr>
            <a:t> by Townships</a:t>
          </a:r>
          <a:endParaRPr lang="en-US">
            <a:effectLst/>
          </a:endParaRPr>
        </a:p>
        <a:p>
          <a:pPr algn="ctr" rtl="0"/>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(2017 &amp; 2018)</a:t>
          </a:r>
          <a:endParaRPr lang="en-US">
            <a:effectLst/>
          </a:endParaRPr>
        </a:p>
        <a:p>
          <a:endParaRPr lang="en-US" sz="1100"/>
        </a:p>
      </xdr:txBody>
    </xdr:sp>
    <xdr:clientData/>
  </xdr:oneCellAnchor>
  <xdr:twoCellAnchor editAs="oneCell">
    <xdr:from>
      <xdr:col>10</xdr:col>
      <xdr:colOff>57150</xdr:colOff>
      <xdr:row>8</xdr:row>
      <xdr:rowOff>247650</xdr:rowOff>
    </xdr:from>
    <xdr:to>
      <xdr:col>11</xdr:col>
      <xdr:colOff>847750</xdr:colOff>
      <xdr:row>9</xdr:row>
      <xdr:rowOff>2545</xdr:rowOff>
    </xdr:to>
    <xdr:pic>
      <xdr:nvPicPr>
        <xdr:cNvPr id="55" name="Picture 5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95900" y="2162175"/>
          <a:ext cx="9239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485776</xdr:colOff>
      <xdr:row>12</xdr:row>
      <xdr:rowOff>76200</xdr:rowOff>
    </xdr:from>
    <xdr:to>
      <xdr:col>11</xdr:col>
      <xdr:colOff>124283</xdr:colOff>
      <xdr:row>13</xdr:row>
      <xdr:rowOff>144773</xdr:rowOff>
    </xdr:to>
    <xdr:pic>
      <xdr:nvPicPr>
        <xdr:cNvPr id="56" name="Picture 5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524376" y="2867025"/>
          <a:ext cx="1066799"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647700</xdr:colOff>
      <xdr:row>9</xdr:row>
      <xdr:rowOff>133350</xdr:rowOff>
    </xdr:from>
    <xdr:to>
      <xdr:col>11</xdr:col>
      <xdr:colOff>541690</xdr:colOff>
      <xdr:row>11</xdr:row>
      <xdr:rowOff>18050</xdr:rowOff>
    </xdr:to>
    <xdr:pic>
      <xdr:nvPicPr>
        <xdr:cNvPr id="57" name="Picture 5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86300" y="2352675"/>
          <a:ext cx="1323975"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767444</xdr:colOff>
      <xdr:row>5</xdr:row>
      <xdr:rowOff>45242</xdr:rowOff>
    </xdr:from>
    <xdr:to>
      <xdr:col>13</xdr:col>
      <xdr:colOff>475494</xdr:colOff>
      <xdr:row>17</xdr:row>
      <xdr:rowOff>42523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11</xdr:col>
      <xdr:colOff>571499</xdr:colOff>
      <xdr:row>30</xdr:row>
      <xdr:rowOff>114299</xdr:rowOff>
    </xdr:from>
    <xdr:ext cx="1000125" cy="264560"/>
    <xdr:sp macro="" textlink="">
      <xdr:nvSpPr>
        <xdr:cNvPr id="8" name="TextBox 7"/>
        <xdr:cNvSpPr txBox="1"/>
      </xdr:nvSpPr>
      <xdr:spPr>
        <a:xfrm>
          <a:off x="5943599" y="59245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KACHIN</a:t>
          </a:r>
        </a:p>
      </xdr:txBody>
    </xdr:sp>
    <xdr:clientData/>
  </xdr:oneCellAnchor>
  <xdr:oneCellAnchor>
    <xdr:from>
      <xdr:col>3</xdr:col>
      <xdr:colOff>114300</xdr:colOff>
      <xdr:row>49</xdr:row>
      <xdr:rowOff>57149</xdr:rowOff>
    </xdr:from>
    <xdr:ext cx="1000125" cy="264560"/>
    <xdr:sp macro="" textlink="">
      <xdr:nvSpPr>
        <xdr:cNvPr id="38" name="TextBox 37"/>
        <xdr:cNvSpPr txBox="1"/>
      </xdr:nvSpPr>
      <xdr:spPr>
        <a:xfrm>
          <a:off x="1285875" y="93154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SHAN (North)</a:t>
          </a:r>
        </a:p>
      </xdr:txBody>
    </xdr:sp>
    <xdr:clientData/>
  </xdr:oneCellAnchor>
  <xdr:twoCellAnchor editAs="oneCell">
    <xdr:from>
      <xdr:col>4</xdr:col>
      <xdr:colOff>451726</xdr:colOff>
      <xdr:row>37</xdr:row>
      <xdr:rowOff>103943</xdr:rowOff>
    </xdr:from>
    <xdr:to>
      <xdr:col>5</xdr:col>
      <xdr:colOff>171032</xdr:colOff>
      <xdr:row>39</xdr:row>
      <xdr:rowOff>16963</xdr:rowOff>
    </xdr:to>
    <xdr:pic>
      <xdr:nvPicPr>
        <xdr:cNvPr id="60" name="Picture 5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54672" y="7526639"/>
          <a:ext cx="309537" cy="280412"/>
        </a:xfrm>
        <a:prstGeom prst="rect">
          <a:avLst/>
        </a:prstGeom>
      </xdr:spPr>
    </xdr:pic>
    <xdr:clientData/>
  </xdr:twoCellAnchor>
  <xdr:twoCellAnchor>
    <xdr:from>
      <xdr:col>6</xdr:col>
      <xdr:colOff>153648</xdr:colOff>
      <xdr:row>56</xdr:row>
      <xdr:rowOff>52911</xdr:rowOff>
    </xdr:from>
    <xdr:to>
      <xdr:col>19</xdr:col>
      <xdr:colOff>54833</xdr:colOff>
      <xdr:row>91</xdr:row>
      <xdr:rowOff>66473</xdr:rowOff>
    </xdr:to>
    <xdr:grpSp>
      <xdr:nvGrpSpPr>
        <xdr:cNvPr id="63" name="Group 62"/>
        <xdr:cNvGrpSpPr/>
      </xdr:nvGrpSpPr>
      <xdr:grpSpPr>
        <a:xfrm>
          <a:off x="3274786" y="10853581"/>
          <a:ext cx="6662235" cy="676910"/>
          <a:chOff x="3129445" y="7519775"/>
          <a:chExt cx="6663987" cy="690652"/>
        </a:xfrm>
      </xdr:grpSpPr>
      <xdr:sp macro="" textlink="">
        <xdr:nvSpPr>
          <xdr:cNvPr id="64" name="TextBox 63"/>
          <xdr:cNvSpPr txBox="1"/>
        </xdr:nvSpPr>
        <xdr:spPr>
          <a:xfrm>
            <a:off x="8347362" y="7519775"/>
            <a:ext cx="1442371" cy="1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SALDUCCI@unhcr.org</a:t>
            </a:r>
          </a:p>
          <a:p>
            <a:pPr marL="0" marR="0" indent="0" algn="r" defTabSz="914400" eaLnBrk="1" fontAlgn="auto" latinLnBrk="0" hangingPunct="1">
              <a:lnSpc>
                <a:spcPct val="100000"/>
              </a:lnSpc>
              <a:spcBef>
                <a:spcPts val="0"/>
              </a:spcBef>
              <a:spcAft>
                <a:spcPts val="0"/>
              </a:spcAft>
              <a:buClrTx/>
              <a:buSzTx/>
              <a:buFontTx/>
              <a:buNone/>
              <a:tabLst/>
              <a:defRPr/>
            </a:pPr>
            <a:endParaRPr lang="en-GB" sz="1050" b="1" baseline="0">
              <a:solidFill>
                <a:srgbClr val="0070C0"/>
              </a:solidFill>
              <a:effectLst/>
              <a:latin typeface="+mn-lt"/>
              <a:ea typeface="+mn-ea"/>
              <a:cs typeface="+mn-cs"/>
            </a:endParaRPr>
          </a:p>
        </xdr:txBody>
      </xdr:sp>
      <xdr:grpSp>
        <xdr:nvGrpSpPr>
          <xdr:cNvPr id="65" name="Group 64"/>
          <xdr:cNvGrpSpPr/>
        </xdr:nvGrpSpPr>
        <xdr:grpSpPr>
          <a:xfrm>
            <a:off x="3129445" y="7544530"/>
            <a:ext cx="5671700" cy="665897"/>
            <a:chOff x="3267987" y="7700393"/>
            <a:chExt cx="5671700" cy="665898"/>
          </a:xfrm>
        </xdr:grpSpPr>
        <xdr:sp macro="" textlink="">
          <xdr:nvSpPr>
            <xdr:cNvPr id="68" name="TextBox 67"/>
            <xdr:cNvSpPr txBox="1">
              <a:spLocks/>
            </xdr:cNvSpPr>
          </xdr:nvSpPr>
          <xdr:spPr>
            <a:xfrm>
              <a:off x="3267987" y="7700393"/>
              <a:ext cx="5671700" cy="22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100" b="1" baseline="0">
                  <a:latin typeface="+mn-lt"/>
                </a:rPr>
                <a:t>For more information contact </a:t>
              </a:r>
              <a:r>
                <a:rPr lang="en-GB" sz="1100" b="1" baseline="0">
                  <a:solidFill>
                    <a:schemeClr val="dk1"/>
                  </a:solidFill>
                  <a:effectLst/>
                  <a:latin typeface="+mn-lt"/>
                  <a:ea typeface="+mn-ea"/>
                  <a:cs typeface="+mn-cs"/>
                </a:rPr>
                <a:t>National Cluster Coordinator </a:t>
              </a:r>
              <a:r>
                <a:rPr lang="en-GB" sz="1100" b="1" baseline="0">
                  <a:latin typeface="+mn-lt"/>
                </a:rPr>
                <a:t>: Geraldine Salducci Petruccelli</a:t>
              </a:r>
              <a:endParaRPr lang="en-GB" sz="1800" b="1">
                <a:latin typeface="+mn-lt"/>
              </a:endParaRPr>
            </a:p>
          </xdr:txBody>
        </xdr:sp>
        <xdr:sp macro="" textlink="">
          <xdr:nvSpPr>
            <xdr:cNvPr id="69" name="TextBox 68"/>
            <xdr:cNvSpPr txBox="1">
              <a:spLocks/>
            </xdr:cNvSpPr>
          </xdr:nvSpPr>
          <xdr:spPr>
            <a:xfrm>
              <a:off x="5316652" y="7872722"/>
              <a:ext cx="3408055" cy="493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100" b="1" baseline="0">
                  <a:solidFill>
                    <a:schemeClr val="dk1"/>
                  </a:solidFill>
                  <a:effectLst/>
                  <a:latin typeface="+mn-lt"/>
                  <a:ea typeface="+mn-ea"/>
                  <a:cs typeface="+mn-cs"/>
                </a:rPr>
                <a:t>Sub-National Cluster Coordinator</a:t>
              </a:r>
              <a:r>
                <a:rPr lang="en-GB" sz="1100" b="1" baseline="0">
                  <a:latin typeface="+mn-lt"/>
                </a:rPr>
                <a:t>: </a:t>
              </a:r>
              <a:r>
                <a:rPr lang="en-GB" sz="1100" b="1" baseline="0">
                  <a:solidFill>
                    <a:schemeClr val="dk1"/>
                  </a:solidFill>
                  <a:effectLst/>
                  <a:latin typeface="+mn-lt"/>
                  <a:ea typeface="+mn-ea"/>
                  <a:cs typeface="+mn-cs"/>
                </a:rPr>
                <a:t>Deepika Bhardwaj </a:t>
              </a:r>
              <a:endParaRPr lang="en-GB" sz="1100" b="1" baseline="0">
                <a:latin typeface="+mn-lt"/>
              </a:endParaRPr>
            </a:p>
            <a:p>
              <a:pPr algn="l"/>
              <a:r>
                <a:rPr lang="en-GB" sz="1100" b="1" baseline="0">
                  <a:solidFill>
                    <a:schemeClr val="dk1"/>
                  </a:solidFill>
                  <a:effectLst/>
                  <a:latin typeface="+mn-lt"/>
                  <a:ea typeface="+mn-ea"/>
                  <a:cs typeface="+mn-cs"/>
                </a:rPr>
                <a:t>Cluster  Focal Person</a:t>
              </a:r>
              <a:r>
                <a:rPr lang="en-GB" sz="1100" b="1" baseline="0">
                  <a:latin typeface="+mn-lt"/>
                </a:rPr>
                <a:t> : </a:t>
              </a:r>
              <a:r>
                <a:rPr lang="en-GB" sz="1100" b="1">
                  <a:latin typeface="+mn-lt"/>
                </a:rPr>
                <a:t>CC Ting Lum</a:t>
              </a:r>
            </a:p>
          </xdr:txBody>
        </xdr:sp>
      </xdr:grpSp>
      <xdr:sp macro="" textlink="">
        <xdr:nvSpPr>
          <xdr:cNvPr id="66" name="TextBox 65"/>
          <xdr:cNvSpPr txBox="1"/>
        </xdr:nvSpPr>
        <xdr:spPr>
          <a:xfrm>
            <a:off x="8104909" y="7701618"/>
            <a:ext cx="1688523" cy="22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BHARDWAD@unhcr.org</a:t>
            </a:r>
          </a:p>
        </xdr:txBody>
      </xdr:sp>
      <xdr:sp macro="" textlink="">
        <xdr:nvSpPr>
          <xdr:cNvPr id="67" name="TextBox 66"/>
          <xdr:cNvSpPr txBox="1"/>
        </xdr:nvSpPr>
        <xdr:spPr>
          <a:xfrm>
            <a:off x="8101445" y="7871336"/>
            <a:ext cx="1688523" cy="22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50" b="1" baseline="0">
                <a:solidFill>
                  <a:srgbClr val="0070C0"/>
                </a:solidFill>
                <a:effectLst/>
                <a:latin typeface="+mn-lt"/>
                <a:ea typeface="+mn-ea"/>
                <a:cs typeface="+mn-cs"/>
              </a:rPr>
              <a:t>TINGLUM@unhcr.org</a:t>
            </a:r>
          </a:p>
        </xdr:txBody>
      </xdr:sp>
    </xdr:grpSp>
    <xdr:clientData/>
  </xdr:twoCellAnchor>
  <xdr:twoCellAnchor editAs="oneCell">
    <xdr:from>
      <xdr:col>3</xdr:col>
      <xdr:colOff>350383</xdr:colOff>
      <xdr:row>38</xdr:row>
      <xdr:rowOff>2811</xdr:rowOff>
    </xdr:from>
    <xdr:to>
      <xdr:col>4</xdr:col>
      <xdr:colOff>231743</xdr:colOff>
      <xdr:row>38</xdr:row>
      <xdr:rowOff>178594</xdr:rowOff>
    </xdr:to>
    <xdr:pic>
      <xdr:nvPicPr>
        <xdr:cNvPr id="44" name="Picture 4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13794" y="7609204"/>
          <a:ext cx="633142" cy="175783"/>
        </a:xfrm>
        <a:prstGeom prst="rect">
          <a:avLst/>
        </a:prstGeom>
      </xdr:spPr>
    </xdr:pic>
    <xdr:clientData/>
  </xdr:twoCellAnchor>
  <xdr:twoCellAnchor editAs="oneCell">
    <xdr:from>
      <xdr:col>5</xdr:col>
      <xdr:colOff>328273</xdr:colOff>
      <xdr:row>37</xdr:row>
      <xdr:rowOff>129644</xdr:rowOff>
    </xdr:from>
    <xdr:to>
      <xdr:col>5</xdr:col>
      <xdr:colOff>614030</xdr:colOff>
      <xdr:row>38</xdr:row>
      <xdr:rowOff>161232</xdr:rowOff>
    </xdr:to>
    <xdr:pic>
      <xdr:nvPicPr>
        <xdr:cNvPr id="48" name="Picture 4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84010" y="7554041"/>
          <a:ext cx="285757" cy="218687"/>
        </a:xfrm>
        <a:prstGeom prst="rect">
          <a:avLst/>
        </a:prstGeom>
      </xdr:spPr>
    </xdr:pic>
    <xdr:clientData/>
  </xdr:twoCellAnchor>
  <xdr:twoCellAnchor>
    <xdr:from>
      <xdr:col>11</xdr:col>
      <xdr:colOff>681895</xdr:colOff>
      <xdr:row>36</xdr:row>
      <xdr:rowOff>129921</xdr:rowOff>
    </xdr:from>
    <xdr:to>
      <xdr:col>12</xdr:col>
      <xdr:colOff>152577</xdr:colOff>
      <xdr:row>39</xdr:row>
      <xdr:rowOff>25827</xdr:rowOff>
    </xdr:to>
    <xdr:sp macro="" textlink="">
      <xdr:nvSpPr>
        <xdr:cNvPr id="59" name="Oval 58"/>
        <xdr:cNvSpPr/>
      </xdr:nvSpPr>
      <xdr:spPr>
        <a:xfrm>
          <a:off x="6056716" y="7375725"/>
          <a:ext cx="491218" cy="446995"/>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394444</xdr:colOff>
      <xdr:row>33</xdr:row>
      <xdr:rowOff>17664</xdr:rowOff>
    </xdr:from>
    <xdr:to>
      <xdr:col>14</xdr:col>
      <xdr:colOff>169368</xdr:colOff>
      <xdr:row>35</xdr:row>
      <xdr:rowOff>69833</xdr:rowOff>
    </xdr:to>
    <xdr:sp macro="" textlink="">
      <xdr:nvSpPr>
        <xdr:cNvPr id="62" name="Oval 61"/>
        <xdr:cNvSpPr/>
      </xdr:nvSpPr>
      <xdr:spPr>
        <a:xfrm>
          <a:off x="7300069" y="6712378"/>
          <a:ext cx="455281" cy="41956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13443</xdr:colOff>
      <xdr:row>44</xdr:row>
      <xdr:rowOff>167340</xdr:rowOff>
    </xdr:from>
    <xdr:to>
      <xdr:col>13</xdr:col>
      <xdr:colOff>397491</xdr:colOff>
      <xdr:row>47</xdr:row>
      <xdr:rowOff>15607</xdr:rowOff>
    </xdr:to>
    <xdr:sp macro="" textlink="">
      <xdr:nvSpPr>
        <xdr:cNvPr id="70" name="Oval 69"/>
        <xdr:cNvSpPr/>
      </xdr:nvSpPr>
      <xdr:spPr>
        <a:xfrm>
          <a:off x="6919068" y="8882715"/>
          <a:ext cx="384048" cy="378946"/>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95088</xdr:colOff>
      <xdr:row>42</xdr:row>
      <xdr:rowOff>77194</xdr:rowOff>
    </xdr:from>
    <xdr:to>
      <xdr:col>12</xdr:col>
      <xdr:colOff>442560</xdr:colOff>
      <xdr:row>44</xdr:row>
      <xdr:rowOff>50470</xdr:rowOff>
    </xdr:to>
    <xdr:sp macro="" textlink="">
      <xdr:nvSpPr>
        <xdr:cNvPr id="71" name="Oval 70"/>
        <xdr:cNvSpPr/>
      </xdr:nvSpPr>
      <xdr:spPr>
        <a:xfrm>
          <a:off x="6456427" y="8445587"/>
          <a:ext cx="347472" cy="34747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118900</xdr:colOff>
      <xdr:row>39</xdr:row>
      <xdr:rowOff>97617</xdr:rowOff>
    </xdr:from>
    <xdr:to>
      <xdr:col>13</xdr:col>
      <xdr:colOff>391941</xdr:colOff>
      <xdr:row>40</xdr:row>
      <xdr:rowOff>163149</xdr:rowOff>
    </xdr:to>
    <xdr:sp macro="" textlink="">
      <xdr:nvSpPr>
        <xdr:cNvPr id="72" name="Oval 71"/>
        <xdr:cNvSpPr/>
      </xdr:nvSpPr>
      <xdr:spPr>
        <a:xfrm>
          <a:off x="7024525" y="7894510"/>
          <a:ext cx="273041" cy="249228"/>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588346</xdr:colOff>
      <xdr:row>41</xdr:row>
      <xdr:rowOff>128238</xdr:rowOff>
    </xdr:from>
    <xdr:to>
      <xdr:col>11</xdr:col>
      <xdr:colOff>771226</xdr:colOff>
      <xdr:row>42</xdr:row>
      <xdr:rowOff>124020</xdr:rowOff>
    </xdr:to>
    <xdr:sp macro="" textlink="">
      <xdr:nvSpPr>
        <xdr:cNvPr id="73" name="Oval 72"/>
        <xdr:cNvSpPr/>
      </xdr:nvSpPr>
      <xdr:spPr>
        <a:xfrm>
          <a:off x="5963167" y="8462613"/>
          <a:ext cx="182880" cy="182880"/>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197141</xdr:colOff>
      <xdr:row>28</xdr:row>
      <xdr:rowOff>43193</xdr:rowOff>
    </xdr:from>
    <xdr:to>
      <xdr:col>15</xdr:col>
      <xdr:colOff>352589</xdr:colOff>
      <xdr:row>29</xdr:row>
      <xdr:rowOff>37056</xdr:rowOff>
    </xdr:to>
    <xdr:sp macro="" textlink="">
      <xdr:nvSpPr>
        <xdr:cNvPr id="74" name="Oval 73"/>
        <xdr:cNvSpPr/>
      </xdr:nvSpPr>
      <xdr:spPr>
        <a:xfrm>
          <a:off x="8318904" y="5868751"/>
          <a:ext cx="155448" cy="155448"/>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204965</xdr:colOff>
      <xdr:row>21</xdr:row>
      <xdr:rowOff>85036</xdr:rowOff>
    </xdr:from>
    <xdr:to>
      <xdr:col>11</xdr:col>
      <xdr:colOff>323837</xdr:colOff>
      <xdr:row>22</xdr:row>
      <xdr:rowOff>42323</xdr:rowOff>
    </xdr:to>
    <xdr:sp macro="" textlink="">
      <xdr:nvSpPr>
        <xdr:cNvPr id="75" name="Oval 74"/>
        <xdr:cNvSpPr/>
      </xdr:nvSpPr>
      <xdr:spPr>
        <a:xfrm>
          <a:off x="5579786" y="4779500"/>
          <a:ext cx="118872" cy="11887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171628</xdr:colOff>
      <xdr:row>38</xdr:row>
      <xdr:rowOff>102715</xdr:rowOff>
    </xdr:from>
    <xdr:to>
      <xdr:col>9</xdr:col>
      <xdr:colOff>290500</xdr:colOff>
      <xdr:row>39</xdr:row>
      <xdr:rowOff>34488</xdr:rowOff>
    </xdr:to>
    <xdr:sp macro="" textlink="">
      <xdr:nvSpPr>
        <xdr:cNvPr id="76" name="Oval 75"/>
        <xdr:cNvSpPr/>
      </xdr:nvSpPr>
      <xdr:spPr>
        <a:xfrm>
          <a:off x="5010668" y="7875795"/>
          <a:ext cx="118872" cy="11887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536639</xdr:colOff>
      <xdr:row>21</xdr:row>
      <xdr:rowOff>161567</xdr:rowOff>
    </xdr:from>
    <xdr:to>
      <xdr:col>13</xdr:col>
      <xdr:colOff>628079</xdr:colOff>
      <xdr:row>22</xdr:row>
      <xdr:rowOff>91423</xdr:rowOff>
    </xdr:to>
    <xdr:sp macro="" textlink="">
      <xdr:nvSpPr>
        <xdr:cNvPr id="77" name="Oval 76"/>
        <xdr:cNvSpPr/>
      </xdr:nvSpPr>
      <xdr:spPr>
        <a:xfrm>
          <a:off x="7391237" y="5009112"/>
          <a:ext cx="91440" cy="91440"/>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187275</xdr:colOff>
      <xdr:row>30</xdr:row>
      <xdr:rowOff>67338</xdr:rowOff>
    </xdr:from>
    <xdr:to>
      <xdr:col>11</xdr:col>
      <xdr:colOff>260427</xdr:colOff>
      <xdr:row>30</xdr:row>
      <xdr:rowOff>140490</xdr:rowOff>
    </xdr:to>
    <xdr:sp macro="" textlink="">
      <xdr:nvSpPr>
        <xdr:cNvPr id="78" name="Oval 77"/>
        <xdr:cNvSpPr/>
      </xdr:nvSpPr>
      <xdr:spPr>
        <a:xfrm>
          <a:off x="5562096" y="6394659"/>
          <a:ext cx="73152" cy="7315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382702</xdr:colOff>
      <xdr:row>28</xdr:row>
      <xdr:rowOff>110558</xdr:rowOff>
    </xdr:from>
    <xdr:ext cx="535659" cy="217560"/>
    <xdr:sp macro="" textlink="">
      <xdr:nvSpPr>
        <xdr:cNvPr id="10" name="TextBox 9"/>
        <xdr:cNvSpPr txBox="1"/>
      </xdr:nvSpPr>
      <xdr:spPr>
        <a:xfrm>
          <a:off x="5221742" y="6089196"/>
          <a:ext cx="535659"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solidFill>
                <a:schemeClr val="tx1">
                  <a:lumMod val="85000"/>
                  <a:lumOff val="15000"/>
                </a:schemeClr>
              </a:solidFill>
            </a:rPr>
            <a:t>Hpakant</a:t>
          </a:r>
        </a:p>
      </xdr:txBody>
    </xdr:sp>
    <xdr:clientData/>
  </xdr:oneCellAnchor>
  <xdr:twoCellAnchor>
    <xdr:from>
      <xdr:col>3</xdr:col>
      <xdr:colOff>119061</xdr:colOff>
      <xdr:row>44</xdr:row>
      <xdr:rowOff>170755</xdr:rowOff>
    </xdr:from>
    <xdr:to>
      <xdr:col>3</xdr:col>
      <xdr:colOff>376632</xdr:colOff>
      <xdr:row>46</xdr:row>
      <xdr:rowOff>52590</xdr:rowOff>
    </xdr:to>
    <xdr:sp macro="" textlink="">
      <xdr:nvSpPr>
        <xdr:cNvPr id="79" name="Oval 78"/>
        <xdr:cNvSpPr/>
      </xdr:nvSpPr>
      <xdr:spPr>
        <a:xfrm>
          <a:off x="1282472" y="8886130"/>
          <a:ext cx="257571" cy="249228"/>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684616</xdr:colOff>
      <xdr:row>50</xdr:row>
      <xdr:rowOff>3393</xdr:rowOff>
    </xdr:from>
    <xdr:to>
      <xdr:col>2</xdr:col>
      <xdr:colOff>850487</xdr:colOff>
      <xdr:row>51</xdr:row>
      <xdr:rowOff>24688</xdr:rowOff>
    </xdr:to>
    <xdr:sp macro="" textlink="">
      <xdr:nvSpPr>
        <xdr:cNvPr id="80" name="Oval 79"/>
        <xdr:cNvSpPr/>
      </xdr:nvSpPr>
      <xdr:spPr>
        <a:xfrm>
          <a:off x="963562" y="9759714"/>
          <a:ext cx="165871" cy="184581"/>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440707</xdr:colOff>
      <xdr:row>43</xdr:row>
      <xdr:rowOff>89459</xdr:rowOff>
    </xdr:from>
    <xdr:to>
      <xdr:col>4</xdr:col>
      <xdr:colOff>20628</xdr:colOff>
      <xdr:row>44</xdr:row>
      <xdr:rowOff>121816</xdr:rowOff>
    </xdr:to>
    <xdr:sp macro="" textlink="">
      <xdr:nvSpPr>
        <xdr:cNvPr id="81" name="Oval 80"/>
        <xdr:cNvSpPr/>
      </xdr:nvSpPr>
      <xdr:spPr>
        <a:xfrm>
          <a:off x="1604118" y="8621138"/>
          <a:ext cx="219456" cy="216053"/>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382539</xdr:colOff>
      <xdr:row>44</xdr:row>
      <xdr:rowOff>38091</xdr:rowOff>
    </xdr:from>
    <xdr:to>
      <xdr:col>4</xdr:col>
      <xdr:colOff>519699</xdr:colOff>
      <xdr:row>44</xdr:row>
      <xdr:rowOff>171848</xdr:rowOff>
    </xdr:to>
    <xdr:sp macro="" textlink="">
      <xdr:nvSpPr>
        <xdr:cNvPr id="82" name="Oval 81"/>
        <xdr:cNvSpPr/>
      </xdr:nvSpPr>
      <xdr:spPr>
        <a:xfrm>
          <a:off x="2185485" y="8753466"/>
          <a:ext cx="137160" cy="133757"/>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26371</xdr:colOff>
      <xdr:row>45</xdr:row>
      <xdr:rowOff>136062</xdr:rowOff>
    </xdr:from>
    <xdr:to>
      <xdr:col>5</xdr:col>
      <xdr:colOff>145243</xdr:colOff>
      <xdr:row>46</xdr:row>
      <xdr:rowOff>67835</xdr:rowOff>
    </xdr:to>
    <xdr:sp macro="" textlink="">
      <xdr:nvSpPr>
        <xdr:cNvPr id="83" name="Oval 82"/>
        <xdr:cNvSpPr/>
      </xdr:nvSpPr>
      <xdr:spPr>
        <a:xfrm>
          <a:off x="2380407" y="9028330"/>
          <a:ext cx="118872" cy="115469"/>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238303</xdr:colOff>
      <xdr:row>42</xdr:row>
      <xdr:rowOff>177896</xdr:rowOff>
    </xdr:from>
    <xdr:to>
      <xdr:col>4</xdr:col>
      <xdr:colOff>329743</xdr:colOff>
      <xdr:row>43</xdr:row>
      <xdr:rowOff>82238</xdr:rowOff>
    </xdr:to>
    <xdr:sp macro="" textlink="">
      <xdr:nvSpPr>
        <xdr:cNvPr id="84" name="Oval 83"/>
        <xdr:cNvSpPr/>
      </xdr:nvSpPr>
      <xdr:spPr>
        <a:xfrm>
          <a:off x="2041249" y="8519075"/>
          <a:ext cx="91440" cy="88038"/>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17009</xdr:colOff>
      <xdr:row>37</xdr:row>
      <xdr:rowOff>85046</xdr:rowOff>
    </xdr:from>
    <xdr:to>
      <xdr:col>2</xdr:col>
      <xdr:colOff>340178</xdr:colOff>
      <xdr:row>39</xdr:row>
      <xdr:rowOff>34019</xdr:rowOff>
    </xdr:to>
    <xdr:pic>
      <xdr:nvPicPr>
        <xdr:cNvPr id="6" name="Picture 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0647" y="7509443"/>
          <a:ext cx="323169" cy="323169"/>
        </a:xfrm>
        <a:prstGeom prst="rect">
          <a:avLst/>
        </a:prstGeom>
      </xdr:spPr>
    </xdr:pic>
    <xdr:clientData/>
  </xdr:twoCellAnchor>
  <xdr:twoCellAnchor editAs="oneCell">
    <xdr:from>
      <xdr:col>6</xdr:col>
      <xdr:colOff>17838</xdr:colOff>
      <xdr:row>37</xdr:row>
      <xdr:rowOff>85043</xdr:rowOff>
    </xdr:from>
    <xdr:to>
      <xdr:col>6</xdr:col>
      <xdr:colOff>348684</xdr:colOff>
      <xdr:row>39</xdr:row>
      <xdr:rowOff>36324</xdr:rowOff>
    </xdr:to>
    <xdr:pic>
      <xdr:nvPicPr>
        <xdr:cNvPr id="11" name="Picture 1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138976" y="7509440"/>
          <a:ext cx="330846" cy="325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SENP\Desktop\Work\SHELTER_NFI_CCCM\CARs\Aug\Cluster%20reporting%20tool_SI%20update_aug1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SENP\Desktop\NRC%20CCCM%20Team%20-%20Cluster%20reporting%20too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NSENP\Desktop\Work\SHELTER_NFI_CCCM\CARs\October\Shalom_Cluster%20reporting%20for%20October-201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5_CCCM\2018\CAR\Jan%202018\Shalom\Cluster%20reporting%20for%20Jan-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NFI Stock_Pipeline"/>
      <sheetName val="NFI Distributions"/>
      <sheetName val="Shelter Gap Analysis"/>
      <sheetName val="Shelter &amp; CM progress"/>
      <sheetName val="CCCM trainings"/>
      <sheetName val="data"/>
      <sheetName val="DistanceToCamp"/>
      <sheetName val="IDP location Analysis"/>
      <sheetName val="CCCM Dashboard"/>
      <sheetName val="Map"/>
      <sheetName val="Graphs"/>
      <sheetName val="ForGIS"/>
      <sheetName val="Shelter Cross Check"/>
      <sheetName val="IDP locations (printable)"/>
      <sheetName val="Define_TCL"/>
      <sheetName val="Shelter Coverage Camp"/>
      <sheetName val="Shelter overview"/>
      <sheetName val="NFI Stock and Pipeline"/>
      <sheetName val="Winter Item"/>
      <sheetName val="NFI Summary"/>
      <sheetName val="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NFI Stock_Pipeline"/>
      <sheetName val="NFI Distributions"/>
      <sheetName val="Shelter Gap Analysis"/>
      <sheetName val="Shelter &amp; CM progress"/>
      <sheetName val="CCCM trainings"/>
      <sheetName val="data"/>
      <sheetName val="DistanceToCamp"/>
      <sheetName val="IDP location Analysis"/>
      <sheetName val="CCCM Dashboard"/>
      <sheetName val="Map"/>
      <sheetName val="Graphs"/>
      <sheetName val="ForGIS"/>
      <sheetName val="Shelter Cross Check"/>
      <sheetName val="IDP locations (printable)"/>
      <sheetName val="Define_TCL"/>
      <sheetName val="Shelter Coverage Camp"/>
      <sheetName val="Shelter overview"/>
      <sheetName val="NFI Stock and Pipeline"/>
      <sheetName val="Winter Item"/>
      <sheetName val="NFI Summary"/>
      <sheetName val="Definition"/>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NFI Stock_Pipeline"/>
      <sheetName val="NFI Distributions"/>
      <sheetName val="Shelter Gap Analysis"/>
      <sheetName val="Shelter &amp; CM progress"/>
      <sheetName val="CCCM training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NFI Stock_Pipeline"/>
      <sheetName val="NFI Distributions"/>
      <sheetName val="Shelter Gap Analysis"/>
      <sheetName val="Shelter &amp; CM progress"/>
      <sheetName val="CCCM trainings"/>
      <sheetName val="data"/>
      <sheetName val="Sheet1"/>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oe Paing" refreshedDate="42922.61991828704" createdVersion="5" refreshedVersion="5" minRefreshableVersion="3" recordCount="1167">
  <cacheSource type="worksheet">
    <worksheetSource name="Table_NFI[[Months]:[Planned Distribution]]"/>
  </cacheSource>
  <cacheFields count="48">
    <cacheField name="Months" numFmtId="1">
      <sharedItems containsSemiMixedTypes="0" containsString="0" containsNumber="1" minValue="-0.96666666666666667" maxValue="66.900000000000006"/>
    </cacheField>
    <cacheField name="Distribution Date" numFmtId="169">
      <sharedItems containsSemiMixedTypes="0" containsNonDate="0" containsDate="1" containsString="0" minDate="2011-11-02T00:00:00" maxDate="2017-05-31T00:00:00"/>
    </cacheField>
    <cacheField name="Organization" numFmtId="0">
      <sharedItems containsBlank="1" count="16">
        <s v="UNHCR"/>
        <s v="Solidarities"/>
        <s v="DRC"/>
        <s v="World Vision"/>
        <s v="MRCS"/>
        <s v="DFID"/>
        <s v="FSD"/>
        <s v="Save the Children"/>
        <s v="CRC"/>
        <s v="ICRC"/>
        <s v="Plan-Myanmar"/>
        <s v="CRCS"/>
        <s v="Relief International"/>
        <s v="UNHCR "/>
        <s v="NRC"/>
        <m u="1"/>
      </sharedItems>
    </cacheField>
    <cacheField name="Implementing Partner" numFmtId="0">
      <sharedItems containsBlank="1"/>
    </cacheField>
    <cacheField name="State" numFmtId="0">
      <sharedItems/>
    </cacheField>
    <cacheField name="Township" numFmtId="0">
      <sharedItems containsBlank="1"/>
    </cacheField>
    <cacheField name="Camp Name" numFmtId="0">
      <sharedItems containsBlank="1"/>
    </cacheField>
    <cacheField name="Hygiene Kit" numFmtId="1">
      <sharedItems containsString="0" containsBlank="1" containsNumber="1" containsInteger="1" minValue="1" maxValue="5228"/>
    </cacheField>
    <cacheField name="NFI Core Kit" numFmtId="1">
      <sharedItems containsString="0" containsBlank="1" containsNumber="1" containsInteger="1" minValue="1" maxValue="200"/>
    </cacheField>
    <cacheField name="Sanitary Kit" numFmtId="1">
      <sharedItems containsString="0" containsBlank="1" containsNumber="1" containsInteger="1" minValue="1" maxValue="2350"/>
    </cacheField>
    <cacheField name="Mosquito net" numFmtId="1">
      <sharedItems containsString="0" containsBlank="1" containsNumber="1" containsInteger="1" minValue="0" maxValue="3256"/>
    </cacheField>
    <cacheField name="Tarpaulin" numFmtId="1">
      <sharedItems containsString="0" containsBlank="1" containsNumber="1" containsInteger="1" minValue="0" maxValue="1628"/>
    </cacheField>
    <cacheField name="Blanket" numFmtId="1">
      <sharedItems containsString="0" containsBlank="1" containsNumber="1" containsInteger="1" minValue="0" maxValue="3256"/>
    </cacheField>
    <cacheField name="Kitchen Set" numFmtId="1">
      <sharedItems containsString="0" containsBlank="1" containsNumber="1" containsInteger="1" minValue="0" maxValue="1628"/>
    </cacheField>
    <cacheField name="Clothes Kit" numFmtId="1">
      <sharedItems containsString="0" containsBlank="1" containsNumber="1" containsInteger="1" minValue="0" maxValue="760"/>
    </cacheField>
    <cacheField name="Plastic Bucket" numFmtId="1">
      <sharedItems containsString="0" containsBlank="1" containsNumber="1" containsInteger="1" minValue="0" maxValue="1628"/>
    </cacheField>
    <cacheField name="Plastic Mat" numFmtId="1">
      <sharedItems containsString="0" containsBlank="1" containsNumber="1" containsInteger="1" minValue="0" maxValue="5268"/>
    </cacheField>
    <cacheField name="Winter Clothes Adult" numFmtId="1">
      <sharedItems containsString="0" containsBlank="1" containsNumber="1" containsInteger="1" minValue="2" maxValue="2676"/>
    </cacheField>
    <cacheField name="Winter Clothes Children" numFmtId="1">
      <sharedItems containsString="0" containsBlank="1" containsNumber="1" containsInteger="1" minValue="8" maxValue="3600"/>
    </cacheField>
    <cacheField name="Winter Items Other" numFmtId="1">
      <sharedItems containsString="0" containsBlank="1" containsNumber="1" containsInteger="1" minValue="0" maxValue="3816"/>
    </cacheField>
    <cacheField name="Winter Blanket" numFmtId="1">
      <sharedItems containsString="0" containsBlank="1" containsNumber="1" containsInteger="1" minValue="10" maxValue="3186"/>
    </cacheField>
    <cacheField name="Jerry Can" numFmtId="1">
      <sharedItems containsString="0" containsBlank="1" containsNumber="1" containsInteger="1" minValue="1" maxValue="405"/>
    </cacheField>
    <cacheField name="Shelter Tool kit" numFmtId="1">
      <sharedItems containsString="0" containsBlank="1" containsNumber="1" containsInteger="1" minValue="1" maxValue="152"/>
    </cacheField>
    <cacheField name="Tent" numFmtId="1">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657"/>
    </cacheField>
    <cacheField name="Mosquito net_LS" numFmtId="0">
      <sharedItems containsString="0" containsBlank="1" containsNumber="1" containsInteger="1" minValue="0" maxValue="184"/>
    </cacheField>
    <cacheField name="Tarpaulin_LS" numFmtId="0">
      <sharedItems containsString="0" containsBlank="1" containsNumber="1" containsInteger="1" minValue="0" maxValue="170"/>
    </cacheField>
    <cacheField name="Blanket_LS" numFmtId="0">
      <sharedItems containsString="0" containsBlank="1" containsNumber="1" containsInteger="1" minValue="0" maxValue="358"/>
    </cacheField>
    <cacheField name="Kitchen Set_LS" numFmtId="0">
      <sharedItems containsString="0" containsBlank="1" containsNumber="1" containsInteger="1" minValue="0" maxValue="143"/>
    </cacheField>
    <cacheField name="Clothes Kit_LS" numFmtId="0">
      <sharedItems containsString="0" containsBlank="1" containsNumber="1" containsInteger="1" minValue="0" maxValue="0"/>
    </cacheField>
    <cacheField name="Plastic Bucket _LS" numFmtId="0">
      <sharedItems containsString="0" containsBlank="1" containsNumber="1" containsInteger="1" minValue="0" maxValue="91"/>
    </cacheField>
    <cacheField name="Plastic  Mat_LS" numFmtId="0">
      <sharedItems containsString="0" containsBlank="1" containsNumber="1" minValue="0" maxValue="470"/>
    </cacheField>
    <cacheField name="Winter Clothes Adult_LS" numFmtId="0">
      <sharedItems containsString="0" containsBlank="1" containsNumber="1" containsInteger="1" minValue="0" maxValue="540"/>
    </cacheField>
    <cacheField name="Winter Clothes Children_LS" numFmtId="0">
      <sharedItems containsString="0" containsBlank="1" containsNumber="1" containsInteger="1" minValue="0" maxValue="203"/>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135"/>
    </cacheField>
    <cacheField name="Winter" numFmtId="0">
      <sharedItems containsString="0" containsBlank="1" containsNumber="1" containsInteger="1" minValue="0" maxValue="1"/>
    </cacheField>
    <cacheField name="Jerry Can_LS" numFmtId="0">
      <sharedItems containsString="0" containsBlank="1" containsNumber="1" containsInteger="1" minValue="0" maxValue="91"/>
    </cacheField>
    <cacheField name="Shelter Tool kit_LS" numFmtId="0">
      <sharedItems containsString="0" containsBlank="1" containsNumber="1" containsInteger="1" minValue="0" maxValue="85"/>
    </cacheField>
    <cacheField name="Tent_LS" numFmtId="0">
      <sharedItems containsString="0" containsBlank="1" containsNumber="1" containsInteger="1" minValue="0" maxValue="49"/>
    </cacheField>
    <cacheField name="Pcode" numFmtId="0">
      <sharedItems containsBlank="1"/>
    </cacheField>
    <cacheField name="opening_date" numFmtId="0">
      <sharedItems containsDate="1" containsBlank="1" containsMixedTypes="1" minDate="1899-12-31T00:00:00" maxDate="2016-08-03T00:00:00" count="42">
        <n v="0"/>
        <s v=""/>
        <n v="1"/>
        <d v="1899-12-30T00:00:00"/>
        <m/>
        <d v="2011-07-01T00:00:00" u="1"/>
        <d v="2012-07-01T00:00:00" u="1"/>
        <d v="1899-12-31T00:00:00" u="1"/>
        <d v="2013-07-01T00:00:00" u="1"/>
        <d v="2014-04-05T00:00:00" u="1"/>
        <d v="2011-06-01T00:00:00" u="1"/>
        <d v="2012-06-01T00:00:00" u="1"/>
        <d v="2013-06-01T00:00:00" u="1"/>
        <d v="2014-03-05T00:00:00" u="1"/>
        <d v="2012-05-01T00:00:00" u="1"/>
        <s v="0" u="1"/>
        <d v="2015-05-01T00:00:00" u="1"/>
        <d v="2014-03-03T00:00:00" u="1"/>
        <d v="2012-04-01T00:00:00" u="1"/>
        <d v="2013-04-01T00:00:00" u="1"/>
        <d v="2011-03-01T00:00:00" u="1"/>
        <d v="2016-08-02T00:00:00" u="1"/>
        <d v="2012-03-01T00:00:00" u="1"/>
        <d v="2011-12-01T00:00:00" u="1"/>
        <d v="2012-02-01T00:00:00" u="1"/>
        <d v="2012-12-01T00:00:00" u="1"/>
        <d v="2013-12-01T00:00:00" u="1"/>
        <d v="2015-02-01T00:00:00" u="1"/>
        <d v="2011-11-01T00:00:00" u="1"/>
        <d v="2012-01-01T00:00:00" u="1"/>
        <d v="2013-01-01T00:00:00" u="1"/>
        <d v="2013-11-01T00:00:00" u="1"/>
        <d v="2016-01-01T00:00:00" u="1"/>
        <d v="2011-10-01T00:00:00" u="1"/>
        <d v="2012-10-01T00:00:00" u="1"/>
        <d v="2013-10-01T00:00:00" u="1"/>
        <d v="2011-09-01T00:00:00" u="1"/>
        <d v="2013-09-01T00:00:00" u="1"/>
        <d v="2011-08-01T00:00:00" u="1"/>
        <d v="2012-08-01T00:00:00" u="1"/>
        <d v="2014-11-04T00:00:00" u="1"/>
        <d v="2013-08-01T00:00:00" u="1"/>
      </sharedItems>
    </cacheField>
    <cacheField name="Status" numFmtId="0">
      <sharedItems containsBlank="1" count="4">
        <s v="Open"/>
        <s v="Closed"/>
        <s v=""/>
        <m u="1"/>
      </sharedItems>
    </cacheField>
    <cacheField name="Priority" numFmtId="0">
      <sharedItems containsBlank="1" containsMixedTypes="1" containsNumber="1" containsInteger="1" minValue="0" maxValue="0"/>
    </cacheField>
    <cacheField name="Coverage" numFmtId="9">
      <sharedItems containsBlank="1" containsMixedTypes="1" containsNumber="1" minValue="0" maxValue="3.9648328097221207E-2"/>
    </cacheField>
    <cacheField name="Planned Distributi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 Khaing" refreshedDate="42928.532869675924" missingItemsLimit="0" createdVersion="4" refreshedVersion="5" minRefreshableVersion="3" recordCount="381">
  <cacheSource type="worksheet">
    <worksheetSource name="Table_Shelter"/>
  </cacheSource>
  <cacheFields count="24">
    <cacheField name="Update Date" numFmtId="15">
      <sharedItems containsNonDate="0" containsDate="1" containsString="0" containsBlank="1" minDate="2013-12-01T00:00:00" maxDate="2017-07-04T00:00:00"/>
    </cacheField>
    <cacheField name="Organization" numFmtId="0">
      <sharedItems containsBlank="1" count="18">
        <s v="DRC"/>
        <s v="MHF"/>
        <s v="UNHCR"/>
        <s v="UNOCHA"/>
        <s v="World Vision"/>
        <s v="KBC Zonal"/>
        <s v="Metta"/>
        <s v="Oxfam"/>
        <s v="CC"/>
        <s v="Yedai Foundation"/>
        <s v="ACTED"/>
        <s v="IRRC"/>
        <m/>
        <s v="Caritas"/>
        <s v="FSD"/>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Waingmaw"/>
        <s v="Myitkyina"/>
        <s v="Hpakant"/>
        <s v="Manton"/>
        <s v="Mansi"/>
        <s v="Bhamo"/>
        <s v="Kutkai"/>
        <s v="Momauk"/>
        <s v="Chipwi"/>
        <s v="Namhkan"/>
        <s v="Puta-O"/>
        <s v="Mogaung"/>
        <s v="Muse"/>
        <s v="Hseni"/>
        <s v="Namtu"/>
        <s v="Mohnyin"/>
        <s v="Shwegu"/>
      </sharedItems>
    </cacheField>
    <cacheField name="CampName" numFmtId="0">
      <sharedItems containsBlank="1" count="148">
        <s v="Maina Catholic Church (St. Joseph)"/>
        <s v="Mading Baptist Church"/>
        <s v="Pa Dauk Myaing(Pa La Na)"/>
        <s v="Maina KBC (Bawng Ring)"/>
        <s v="Shar Du Zut KBC church "/>
        <s v="Mandung - Jinghpaw"/>
        <s v="Du Kahtawng Qtr. 14"/>
        <s v="Njang Dung Baptist Church "/>
        <s v="Man Wing Baptist Church Cultural Compound"/>
        <s v="Robert Church"/>
        <s v="AG Church, Maw Wan"/>
        <s v="Ku Day Maw KBC"/>
        <s v="Qtr. 4 Monestry (Thargaya Thayett Taw)"/>
        <s v="Shar Du Zut RC church"/>
        <s v="Mungji Pa Dabang (Catholic Church)"/>
        <s v="AD-2000 Tharthana Compound"/>
        <s v="Pa Kahtawng "/>
        <s v="Pan Wa"/>
        <s v="Nan Kway St. John Catholic Church"/>
        <s v="Saw Zam"/>
        <s v="Border Post 8"/>
        <s v="Maw Hpawng Lhaovo Baptist Church"/>
        <s v="AG Church, Hmaw Si Sa"/>
        <s v="Chin Church, Seik Mu"/>
        <s v="Dhama Rakhita, Nyein Chan Tar Yar Ward(Lon Khin)"/>
        <s v="Qtr. 2 Lhaovo Baptist Church"/>
        <s v="Lhaovao Baptist Church (LBC)"/>
        <s v="Chipwi KBC camp"/>
        <s v="Lisu Baptist Church, Maw Shan Vil,. Seik Mu"/>
        <s v="Lisu Boarding-House"/>
        <s v="Man Wing Catholic Church"/>
        <s v="Maw Hpawng Hka Nan Baptist Church"/>
        <s v="Lana Zup Ja "/>
        <s v="Nyaung Na Pin "/>
        <s v="Loi Je Lisu Camp"/>
        <s v="Seng Ja "/>
        <s v="Nam Hkam Catholic Church ( St. Thomas I)"/>
        <s v="Hkau Shau (BP 12)"/>
        <s v="Hpare Hkyer - BP6"/>
        <s v="Pajau - Jan Mai"/>
        <s v="Shing Jai"/>
        <s v="Zai Awng - Mung Ga Zup"/>
        <s v="Dum Bung "/>
        <s v="Jan Mai Kawng Baptist Church"/>
        <s v="Lung Sut"/>
        <s v="Maina Lawang Baptist Church"/>
        <s v="Qtr. 2 Myoma Baptist Church"/>
        <s v="Tat Kone Baptist Church"/>
        <s v="Tat Kone Galile Baptist Church"/>
        <s v="Tat Kone San Pya Baptist Church"/>
        <s v="Maing Khaung"/>
        <s v="Nhkawng Pa "/>
        <s v="Post 6 Camp"/>
        <s v="Je Yang Hka "/>
        <s v="Sar Hmaw - KBC"/>
        <s v="Le Kone Ziun Baptist Church "/>
        <s v="Hpun Lum Yang "/>
        <s v="5 Ward RC Church(lon Khin)"/>
        <s v="Shatapru Sut Ngai Tawng"/>
        <s v="Shwe Zet Baptist Church"/>
        <s v="Nam Hkam (KBC Jaw Wang) II"/>
        <s v="Nam Hkawng"/>
        <s v="Nam Sa Larp"/>
        <s v="Namhkan - Pang Long KBC"/>
        <s v="Tat Kone COC Baptist - Tat Kone Htoi San"/>
        <s v="Zup Aung Camp"/>
        <s v="Bum Tsit Pa "/>
        <s v="Bum Tsit Pa Camp II"/>
        <s v="Baptist Church, Naung Hmee VT"/>
        <s v="Lisu Baptist Church, Maw Wan Ward"/>
        <s v="Muse Baptist Church"/>
        <s v="Nam Ma Phyit, COC"/>
        <s v="Nawng Hee Village"/>
        <s v="Thargaya Lisu Baptist Church"/>
        <s v="Loi Je Catholic Church"/>
        <s v="Hkat Cho "/>
        <s v="Man Bung Catholic compound"/>
        <s v="Mansi Baptist Church"/>
        <s v="Mu-yin Baptist Church"/>
        <s v="Qtr. 3 Mu-yin  Baptist Church"/>
        <s v="Momauk Baptist Church"/>
        <s v="Phan Khar Kone"/>
        <s v="Man Kawng Baptist Church"/>
        <s v="5 Ward Baptist Church(lon Khin)"/>
        <s v="Baptist Church, Hmaw Si Sar(Lon Khin)"/>
        <s v="Hmaw Wan, Anglican"/>
        <s v="Lagatyan "/>
        <s v="Maina AG Church"/>
        <s v="Mandung - RC"/>
        <s v="Maw Wan, Mu-yin Baptist Church"/>
        <s v="Nga Pyaw Taw Baptist Nursery School "/>
        <s v="Ni Thaw Ka Monestry"/>
        <s v="Rawan Baptist Church, Maw Shan Vil., Seik Mu"/>
        <s v="Ta Gun Taing Monastery (Shwe Kyi Na)"/>
        <s v="Waingmaw AG Church"/>
        <s v="Woi Chyai "/>
        <s v="Yoe Kyi Monastery"/>
        <s v="Mungji Pa Dabang (Baptist Church)         "/>
        <s v="Sai Nai Baptish Church, Maw Shan Vil., Seki Mu"/>
        <s v="Ward 2 Sai Taung Baptist Church, Seik Mu "/>
        <s v="Howa"/>
        <s v="Kyun Pin Thar Baptist Church"/>
        <s v="Kyun Taw Baptist Church "/>
        <s v="Le Kone Bethlehem Church"/>
        <s v="Loi Je Baptist Church"/>
        <s v="Maliyang Baptist Church"/>
        <s v="Man Hkring Baptist Church"/>
        <s v="Man Wing Baptist Church"/>
        <s v="Mang Hawng Baptist Church"/>
        <s v="Mung Baw "/>
        <s v="Nam Hkam - Nay Win Ni (Palawng)"/>
        <s v="Aung Thar Church"/>
        <s v="Du Kahtawng Qtr. 5"/>
        <s v="Htoi San Church"/>
        <s v="Nam Hkam (KBC Jaw Wang)"/>
        <s v="Jan Mai Kawng Catholic Church"/>
        <s v="Kone Khem Camp"/>
        <s v="Nam Hpak Ka Mare "/>
        <s v="Kutkai downtown (KBC Church)"/>
        <s v="Kutkai downtown (RC Church)"/>
        <s v="Nam Tu Baptist"/>
        <s v="Nant Ma Hpit Catholic Church"/>
        <s v="Nat Gyi Kone Baptist Church "/>
        <s v="Nawng Ing (Indawgyi) Baptist Church  "/>
        <s v="Lung Kawk  ( Hka Hkye Zup)"/>
        <s v="Maga Yang "/>
        <s v="Mai Khat "/>
        <s v="Maing Khaung Catholic Church"/>
        <s v="Mandalay Monestry"/>
        <s v="Mashi Kahtawng Baptist  Church"/>
        <s v="Mine Yu Lay village"/>
        <s v="Momauk Catholic Church (St. Patrick)"/>
        <s v="Mung Ding Pa  (Boarder)"/>
        <s v="Muse Catholic Church"/>
        <s v="Nam Lim Pa"/>
        <s v="Nant Hlaing Church"/>
        <s v="RRD Office"/>
        <s v="Shwe Gu Baptist Church"/>
        <s v="Shwe Gu Catholic Church"/>
        <s v="St. Patrick Catholic Church "/>
        <s v="Waingmaw Baptist Zonal Office"/>
        <s v="Tat Kone Emanuel Church"/>
        <s v="Tharthana Ahlin Yaung New Monastery"/>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String="0" containsBlank="1" containsNumber="1" containsInteger="1" minValue="4" maxValue="140"/>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1">
      <sharedItems containsMixedTypes="1" containsNumber="1" containsInteger="1" minValue="0" maxValue="700"/>
    </cacheField>
    <cacheField name="HH Covered2"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6">
        <s v="MMR001CMP029"/>
        <s v="MMR001CMP027"/>
        <s v="MMR001CMP162"/>
        <s v="MMR001CMP040"/>
        <s v="MMR001CMP244"/>
        <s v="MMR015CMP009"/>
        <s v="MMR001CMP012"/>
        <s v="MMR001CMP002"/>
        <s v="MMR001CMP230"/>
        <s v="MMR001CMP047"/>
        <s v="MMR001CMP190"/>
        <s v="MMR001CMP231"/>
        <s v="MMR001CMP026"/>
        <s v="MMR001CMP246"/>
        <s v="MMR015CMP217"/>
        <s v="MMR001CMP050"/>
        <s v="MMR001CMP126"/>
        <s v="MMR001CMP210"/>
        <s v="MMR001CMP024"/>
        <s v="MMR001CMP225"/>
        <s v="MMR001CMP113"/>
        <s v="MMR001CMP021"/>
        <s v="MMR001CMP176"/>
        <s v="MMR001CMP109"/>
        <s v="MMR001CMP174"/>
        <s v="MMR001CMP032"/>
        <s v="MMR001CMP195"/>
        <s v="MMR001CMP042"/>
        <s v="MMR001CMP181"/>
        <s v="MMR001CMP049"/>
        <s v="MMR001CMP132"/>
        <s v="MMR001CMP020"/>
        <s v="MMR001CMP128"/>
        <s v="MMR001CMP072"/>
        <s v="MMR001CMP070"/>
        <s v="MMR001CMP073"/>
        <s v="MMR015CMP003"/>
        <s v="MMR001CMP115"/>
        <s v="MMR001CMP043"/>
        <s v="MMR001CMP120"/>
        <s v="MMR001CMP041"/>
        <s v="MMR001CMP111"/>
        <s v="MMR001CMP123"/>
        <s v="MMR001CMP018"/>
        <s v="MMR001CMP234"/>
        <s v="MMR001CMP039"/>
        <s v="MMR001CMP025"/>
        <s v="MMR001CMP001"/>
        <s v="MMR001CMP003"/>
        <s v="MMR001CMP005"/>
        <s v="MMR001CMP218"/>
        <s v="MMR001CMP131"/>
        <s v="MMR001CMP160"/>
        <s v="MMR001CMP121"/>
        <s v="MMR001CMP236"/>
        <s v="MMR001CMP014"/>
        <s v="MMR001CMP122"/>
        <s v="MMR001CMP168"/>
        <s v="MMR001CMP006"/>
        <s v="MMR001CMP009"/>
        <s v="MMR015CMP214"/>
        <s v="MMR015CMP139"/>
        <s v="MMR015CMP218"/>
        <s v="MMR015CMP215"/>
        <s v="MMR001CMP023"/>
        <s v="MMR015CMP020"/>
        <s v="MMR001CMP129"/>
        <s v="MMR001CMP226"/>
        <s v="MMR001CMP188"/>
        <s v="MMR001CMP167"/>
        <s v="MMR015CMP213"/>
        <s v="MMR001CMP192"/>
        <s v="MMR001CMP033"/>
        <s v="MMR001CMP037"/>
        <s v="MMR001CMP069"/>
        <s v="MMR001CMP028"/>
        <s v="MMR001CMP062"/>
        <s v="MMR001CMP066"/>
        <s v="MMR001CMP051"/>
        <s v="MMR001CMP030"/>
        <s v="MMR001CMP056"/>
        <s v="MMR001CMP193"/>
        <s v="MMR001CMP212"/>
        <s v="MMR001CMP179"/>
        <s v="MMR001CMP169"/>
        <s v="MMR001CMP191"/>
        <s v="MMR001CMP202"/>
        <s v="MMR001CMP031"/>
        <s v="MMR015CMP209"/>
        <s v="MMR001CMP091"/>
        <s v="MMR001CMP082"/>
        <s v="MMR001CMP059"/>
        <s v="MMR001CMP182"/>
        <s v="MMR001CMP055"/>
        <s v="MMR001CMP038"/>
        <s v="MMR001CMP116"/>
        <s v="MMR001CMP053"/>
        <s v="MMR015CMP006"/>
        <s v="MMR001CMP183"/>
        <s v="MMR001CMP184"/>
        <s v="MMR015CMP010"/>
        <s v="MMR001CMP013"/>
        <s v="MMR001CMP078"/>
        <s v="MMR001CMP015"/>
        <s v="MMR001CMP071"/>
        <s v="MMR001CMP016"/>
        <s v="MMR001CMP008"/>
        <s v="MMR001CMP133"/>
        <s v="MMR001CMP077"/>
        <s v="MMR015CMP005"/>
        <s v="MMR015CMP004"/>
        <s v="MMR001CMP194"/>
        <s v="MMR001CMP011"/>
        <s v="MMR001CMP052"/>
        <s v="MMR015CMP001"/>
        <s v="MMR001CMP019"/>
        <s v="MMR015CMP015"/>
        <s v="MMR015CMP007"/>
        <s v="MMR015CMP016"/>
        <s v="MMR015CMP017"/>
        <s v="MMR015CMP014"/>
        <s v="MMR001CMP103"/>
        <s v="MMR001CMP079"/>
        <s v="MMR001CMP152"/>
        <s v="MMR001CMP135"/>
        <s v="MMR001CMP119"/>
        <s v="MMR001CMP064"/>
        <s v="MMR001CMP223"/>
        <s v="MMR001CMP058"/>
        <s v="MMR001CMP094"/>
        <s v="MMR015CMP018"/>
        <s v="MMR001CMP057"/>
        <s v="MMR001CMP203"/>
        <s v="MMR015CMP216"/>
        <s v="MMR001CMP204"/>
        <s v="MMR001CMP054"/>
        <s v=""/>
        <s v="MMR001CMP067"/>
        <s v="MMR001CMP068"/>
        <s v="MMR001CMP080"/>
        <s v="MMR001CMP036"/>
        <s v="MMR001CMP004"/>
        <s v="MMR001CMP224"/>
        <s v="MMR001CMP185"/>
        <s v="MMR001CMP022"/>
        <s v="MMR001CMP105"/>
      </sharedItems>
    </cacheField>
    <cacheField name="Status" numFmtId="0">
      <sharedItems count="3">
        <s v="Open"/>
        <s v="Closed"/>
        <s v=""/>
      </sharedItems>
    </cacheField>
    <cacheField name="Coverage" numFmtId="9">
      <sharedItems containsMixedTypes="1" containsNumber="1" minValue="0" maxValue="1"/>
    </cacheField>
    <cacheField name="Replacement (YES/NO)"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edBy="Soe Paing" refreshedDate="43291.579006250002" createdVersion="4" refreshedVersion="5" minRefreshableVersion="3" recordCount="167">
  <cacheSource type="worksheet">
    <worksheetSource name="Table10"/>
  </cacheSource>
  <cacheFields count="14">
    <cacheField name="Pcode" numFmtId="0">
      <sharedItems/>
    </cacheField>
    <cacheField name="Priority" numFmtId="0">
      <sharedItems count="5">
        <e v="#REF!"/>
        <s v="P2" u="1"/>
        <s v="P4" u="1"/>
        <s v="P1" u="1"/>
        <s v="P3" u="1"/>
      </sharedItems>
    </cacheField>
    <cacheField name="Camp" numFmtId="0">
      <sharedItems/>
    </cacheField>
    <cacheField name="Township" numFmtId="0">
      <sharedItems/>
    </cacheField>
    <cacheField name="HH" numFmtId="0">
      <sharedItems containsMixedTypes="1" containsNumber="1" containsInteger="1" minValue="0" maxValue="1490"/>
    </cacheField>
    <cacheField name="Ind" numFmtId="0">
      <sharedItems containsMixedTypes="1" containsNumber="1" containsInteger="1" minValue="0" maxValue="8486"/>
    </cacheField>
    <cacheField name="Winter Clothes Adult " numFmtId="0">
      <sharedItems containsSemiMixedTypes="0" containsString="0" containsNumber="1" containsInteger="1" minValue="0" maxValue="0"/>
    </cacheField>
    <cacheField name="Winter Clothes Children " numFmtId="0">
      <sharedItems containsSemiMixedTypes="0" containsString="0" containsNumber="1" containsInteger="1" minValue="0" maxValue="0"/>
    </cacheField>
    <cacheField name="Winter Items Other " numFmtId="0">
      <sharedItems containsSemiMixedTypes="0" containsString="0" containsNumber="1" containsInteger="1" minValue="0" maxValue="0"/>
    </cacheField>
    <cacheField name="WC_Adult_Gap" numFmtId="0">
      <sharedItems containsMixedTypes="1" containsNumber="1" containsInteger="1" minValue="0" maxValue="2980"/>
    </cacheField>
    <cacheField name="WC_Child_Gap" numFmtId="0">
      <sharedItems containsMixedTypes="1" containsNumber="1" containsInteger="1" minValue="0" maxValue="1490"/>
    </cacheField>
    <cacheField name="WI_Other_Gap" numFmtId="0">
      <sharedItems containsMixedTypes="1" containsNumber="1" containsInteger="1" minValue="0" maxValue="1490"/>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May Khaing" refreshedDate="43420.553617708334" missingItemsLimit="0" createdVersion="4" refreshedVersion="5" minRefreshableVersion="3" recordCount="303">
  <cacheSource type="worksheet">
    <worksheetSource name="AllData_CampList"/>
  </cacheSource>
  <cacheFields count="31">
    <cacheField name="Status" numFmtId="0">
      <sharedItems containsBlank="1" count="4">
        <s v="Open "/>
        <s v="Closed"/>
        <m/>
        <s v="Relocated"/>
      </sharedItems>
    </cacheField>
    <cacheField name="State" numFmtId="0">
      <sharedItems containsBlank="1" count="3">
        <s v="Kachin"/>
        <s v="Shan_North"/>
        <m/>
      </sharedItems>
    </cacheField>
    <cacheField name="S_Pcode" numFmtId="0">
      <sharedItems containsBlank="1"/>
    </cacheField>
    <cacheField name="District" numFmtId="0">
      <sharedItems containsBlank="1"/>
    </cacheField>
    <cacheField name="D_Pcode" numFmtId="0">
      <sharedItems containsBlank="1"/>
    </cacheField>
    <cacheField name="Township" numFmtId="0">
      <sharedItems containsBlank="1" count="24">
        <s v="Myitkyina"/>
        <s v="Waingmaw"/>
        <s v="Chipwi"/>
        <s v="Bhamo"/>
        <s v="Momauk"/>
        <s v="Mansi"/>
        <s v="Shwegu"/>
        <s v="Puta-O"/>
        <s v="Mogaung"/>
        <s v="Mohnyin"/>
        <s v="Hpakant"/>
        <s v="Khaunglanhpu"/>
        <s v="Injangyang"/>
        <s v="Sumprabum"/>
        <s v="Machanbaw"/>
        <s v="Tanai"/>
        <s v="Namhkan"/>
        <s v="Kutkai"/>
        <s v="Manton"/>
        <s v="Namtu"/>
        <s v="Muse"/>
        <s v="Hseni"/>
        <s v="Hsipaw"/>
        <m/>
      </sharedItems>
    </cacheField>
    <cacheField name="T_Pcode" numFmtId="0">
      <sharedItems containsBlank="1"/>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76" maxValue="220512"/>
    </cacheField>
    <cacheField name="Camp" numFmtId="0">
      <sharedItems containsBlank="1" count="300">
        <s v="Tat Kone Baptist Church"/>
        <s v="Njang Dung Baptist Church "/>
        <s v="Tat Kone Galile Baptist Church"/>
        <s v="Tat Kone Emanuel Church"/>
        <s v="Tat Kone San Pya Baptist Church"/>
        <s v="Shatapru Sut Ngai Tawng"/>
        <s v="Shatapru Thida Aye Baptist Church"/>
        <s v="Man Hkring Baptist Church"/>
        <s v="Shwe Zet Baptist Church"/>
        <s v="Du Kahtawng Baptist"/>
        <s v="Kyun Pin Thar Baptist Church"/>
        <s v="Le Kone Ziun Baptist Church "/>
        <s v="Maliyang Baptist Church"/>
        <s v="Jan Mai Kawng Baptist Church"/>
        <s v="Myay Myint Baptist Church"/>
        <s v="Jan Mai Kawng Catholic Church"/>
        <s v="Maw Hpawng Hka Nan Baptist Church"/>
        <s v="Maw Hpawng Lhaovo Baptist Church"/>
        <s v="Tat Kone COC Baptist - Tat Kone Htoi San"/>
        <s v="Wun Tho Buddhist Monastery"/>
        <s v="Nan Kway St. John Catholic Church"/>
        <s v="Qtr. 2 Myoma Baptist Church"/>
        <s v="Mading Baptist Church"/>
        <s v="Qtr. 4 Monestry (Thargaya Thayett Taw)"/>
        <s v="Hkat Cho "/>
        <s v="Maina Catholic Church (St. Joseph)"/>
        <s v="Qtr. 3 Mu-yin  Baptist Church"/>
        <s v="Maina AG Church"/>
        <s v="Qtr. 2 Lhaovo Baptist Church"/>
        <s v="Nawng Hee Village"/>
        <s v="Thargaya Lisu Baptist Church"/>
        <s v="Nawng Si Paw Village - Inn Lay"/>
        <s v="Moke Lwe Village - Hkar Shi"/>
        <s v="Waingmaw Baptist Zonal Office"/>
        <s v="Waingmaw AG Church"/>
        <s v="Chipwi KBC camp"/>
        <s v="Lisu Boarding-House"/>
        <s v="AD-2000 Tharthana Compound"/>
        <s v="Mu-yin Baptist Church"/>
        <s v="Htoi San Church"/>
        <s v="Yoe Kyi Monastery"/>
        <s v="Women's Affairs Association Building"/>
        <s v="Lan Jaw "/>
        <s v="Gant Gwin"/>
        <s v="Nant Hlaing Church"/>
        <s v="Kannar Yeik Thar"/>
        <s v="Momauk Baptist Church"/>
        <s v="Myo Thit "/>
        <s v="Man Bung Catholic compound"/>
        <s v="Mansi Baptist Church"/>
        <s v="Shwe Gu Baptist Church"/>
        <s v="Shwe Gu Catholic Church"/>
        <s v="Ta Gun Taing Monastery (Shwe Kyi Na)"/>
        <s v="Loi Je Catholic Church"/>
        <s v="Momauk Catholic Church (St. Patrick)"/>
        <s v="Mandalay Monestry"/>
        <s v="Ni Thaw Ka Monestry"/>
        <s v="Tarli "/>
        <s v="Loi Je Lisu Camp"/>
        <s v="Loi Je Baptist Church"/>
        <s v="Man Nawng "/>
        <s v="Mai Khat "/>
        <s v="Phar Kay/Nant Waing "/>
        <s v="Nyaung Na Pin "/>
        <s v="Seng Ja "/>
        <s v="Tote Tan Ward"/>
        <s v="Ma Hawng Baptist Church"/>
        <s v="Kyun Taw Baptist Church "/>
        <s v="Nat Gyi Kone Baptist Church "/>
        <s v="St. Patrick Catholic Church "/>
        <s v="Maw Wan, Mu-yin Baptist Church"/>
        <s v="La Ja"/>
        <s v="Nant Ma Hpit Catholic Church"/>
        <s v="Yumar Baptist Church"/>
        <s v="Chin Church, Seik Mu"/>
        <s v="Border Post 8"/>
        <s v="Hkau Shau (BP 12)"/>
        <s v="Nant Mun"/>
        <s v="Nga Pyaw Taw Baptist Nursery School "/>
        <s v="Nga Pyaw Taw Roman Catholic Church"/>
        <s v="Maw Wan, Kyauk Hlaing Gu Pagoda Compound"/>
        <s v="Maw Wan, Kachin Baptist Church"/>
        <s v="Chin(Zomi) Baptist Church"/>
        <s v="Maw Wan, Myo Oo Pagoda"/>
        <s v="Maw Wan, Catholic Church"/>
        <s v="Maga Yang "/>
        <s v="Aye Mya Tharyar Church of Christ "/>
        <s v="Mashi Kahtawng Catholic Church"/>
        <s v="Mashi Kahtawng Baptist  Church"/>
        <s v="Mashi Kahtawng Rakhine traditional group"/>
        <s v="Mashi Kahtawng Evangelical Church"/>
        <s v="Mashi Kahtawng Yaung Chi Oo Thi la shin Monestry"/>
        <s v="Mashi Kahtawng Municipal Dammar Yone"/>
        <s v="Mashi Kahtawng Myo Oo Taw Ya Monestry"/>
        <s v="Mashi Kahtawng Shan Traditional Monestry"/>
        <s v="Thiri Mingalar Manizay Yone, Myoma Quarter"/>
        <s v="Parami, Charity Office, MyoMa Quarter"/>
        <s v="Pajau - Jan Mai"/>
        <s v="San Kyel, Masoe Yein Monestry"/>
        <s v="Je Yang Hka "/>
        <s v="Maw Si Zar, Thiriyardanar Sein, Damma Compound, Lone Khin"/>
        <s v="Ma Mon Buddhist Monastery"/>
        <s v="Sa Baw Sarsana Parla Monastery"/>
        <s v="Hpun Lum Yang "/>
        <s v="Tar Ma Hkan Buddhist Monastery, Haung Par"/>
        <s v="Zai Awng - Mung Ga Zup"/>
        <s v="Dum Bung "/>
        <s v="Border Post 10"/>
        <s v="Pa Kahtawng "/>
        <s v="Lana Zup Ja "/>
        <s v="Laiza Market 3 - Laiza Gat"/>
        <s v="Manau Compound"/>
        <s v="Bum Tsit Pa "/>
        <s v="Nhkawng Pa "/>
        <s v="Man Wing Catholic Church"/>
        <s v="Man Wing Baptist Church"/>
        <s v="Man Wing Host Families"/>
        <s v="Lawk Awng Mare D. (Sinbo Area)"/>
        <s v="Hlaing Naung Baptist"/>
        <s v="Post 6 Camp"/>
        <s v="Pa Dauk Myaing(Pa La Na)"/>
        <s v="Host Families"/>
        <s v="Lisu Baptist Church, Maw Wan Ward"/>
        <s v="5 Ward RC Church(lon Khin)"/>
        <s v="Lung Kawk  ( Hka Hkye Zup)"/>
        <s v="Nam Hka Mare (west of Man Wing)"/>
        <s v="Nam Lim Pa - Scattered IDPs in forest"/>
        <s v="Lawk Hkawng Ginwang"/>
        <s v="Baptist Church, Hmaw Si Sar(Lon Khin)"/>
        <s v="Dhama Rakhita, Nyein Chan Tar Yar Ward(Lon Khin)"/>
        <s v="AG Church, Hmaw Si Sa"/>
        <s v="Daw Hpum Yang Ninghtawn"/>
        <s v="Lisu Baptist Church, Maw Shan Vil,. Seik Mu"/>
        <s v="Rawan Baptist Church, Maw Shan Vil., Seik Mu"/>
        <s v="Ward 2 Sai Taung Baptist Church, Seik Mu "/>
        <s v="AG Church, Maw Wan"/>
        <s v="Hmaw Wan, Anglican"/>
        <s v="Nam Ma Phyit, COC"/>
        <s v="Away Yar Rama Monastery, Ka Day village"/>
        <s v="1 Ward, Sein Yadanar Company(Lon Khin)"/>
        <s v="Baptist Church, Sai Ra village"/>
        <s v="Anglican Church, Hmaw Si Sar"/>
        <s v="Phan Khar Kone"/>
        <s v="Wrad(5) Christian Association"/>
        <s v="Aung Thar Church"/>
        <s v="Muring Baptist Church, Awng Ra, Wa Ra Zut VT"/>
        <s v="May Di Ka Rama Monastery(Lon Khin)"/>
        <s v="5 Ward Baptist Church(lon Khin)"/>
        <s v="Ei Wan Gali Asso., Ward 1, Seik Mu"/>
        <s v="Lhaovao Baptist Church (LBC)"/>
        <s v="Sai Nai Baptish Church, Maw Shan Vil., Seki Mu"/>
        <s v="Ward 2 Cahotlic Church, Seik Mu"/>
        <s v="Free Christian Asso., Ward 1, Seik Mu"/>
        <s v="Baptist Church, Naung Hmee VT"/>
        <s v="Hmaw Wan, Baptist Christian Church"/>
        <s v="Khun Sint Village"/>
        <s v="Sumprabum"/>
        <s v="IDP Boarding School, A Len Bum"/>
        <s v="Pan Wa"/>
        <s v="Maing Khaung Catholic Church"/>
        <s v="Saw Zam"/>
        <s v="Inn Lel Yan - Host Families"/>
        <s v="Man Wing Catholic Church II"/>
        <s v="Man Ting"/>
        <s v="Hpakant Baptist Church, Nam Ma Hpit"/>
        <s v="Zomee Baptist Church camp, Hmaw Wan"/>
        <s v="Lagatyan "/>
        <s v="Mung Ding Pa  (Boarder)"/>
        <s v="Nam Lim Pa"/>
        <s v="Man Wing Baptist Church Cultural Compound"/>
        <s v="Hopin Host Families"/>
        <s v="Nam Lim Pa    (Boarding School)"/>
        <s v="Moenyin Host Families"/>
        <s v="Thu Kha Waddy"/>
        <s v="Man Kawng Baptist Church"/>
        <s v="Man Kawng Catholic Church"/>
        <s v="Ban Hkung Yang (Boarding School)"/>
        <s v="Ban Hkung (School)"/>
        <s v="Ban Hkung Yang"/>
        <s v="IDPs scattered in South Mansi"/>
        <s v="Lung Sut"/>
        <s v="Si Hkan Gyi"/>
        <s v="Naung Khaing"/>
        <s v="Machanbaw - KBC"/>
        <s v="St. Patrick Church, Bhamo"/>
        <s v="Sar Hmaw - KBC"/>
        <s v="Tharthana Ahlin Yaung New Monastery"/>
        <s v="Ndup Yang"/>
        <s v="Bum Tsit Pa Camp II"/>
        <s v="Salang Yang"/>
        <s v="Shar Du Zut KBC church "/>
        <s v="Shar Du Zut RC church"/>
        <s v="Muyin church (Aung Yar pre-school compound)"/>
        <s v="Ku Day Maw KBC"/>
        <s v="Hka Shi"/>
        <s v="Lawng Hkang Shait Yang Camp​ ( Lel Pyin)​ "/>
        <s v="St. Joseph Tanai RC camp "/>
        <s v="Sar Hmaw - ICM"/>
        <s v="Tanai KBC Camp"/>
        <s v="Ma Hawng RC "/>
        <s v="Tanai CoC"/>
        <s v="Ka Bu Dam CoC"/>
        <s v="Dawthponeyan Boarding School"/>
        <s v="Mung Ding Pa "/>
        <s v="Wara Zup KBC Church"/>
        <s v="A Lo Taw Pyae monastery"/>
        <s v="Sadung"/>
        <s v="Thar Ta Na Aung San monastery"/>
        <s v="Myo Oo St. Dominic RC Church"/>
        <s v="Namti Labraw Yang KBC Camp"/>
        <s v="Tang Hpre RC Church"/>
        <s v="Jaw Masat Camp"/>
        <s v="Ti Yang Zup"/>
        <s v="Karmaing RC Church"/>
        <s v="Tanai AG Church "/>
        <s v="Pa Dauk Myaing(Pa La Na)-II"/>
        <s v="Nam Hkam (KBC Jaw Wang)"/>
        <s v="Namti"/>
        <s v="Nam Hkam Catholic Church ( St. Thomas I)"/>
        <s v="AG Church Pa Ma Tee"/>
        <s v="Nam Hkam - Nay Win Ni (Palawng)"/>
        <s v="Mungji Pa Dabang (Baptist Church)         "/>
        <s v="Nam Hpak Ka Mare "/>
        <s v="Mandung - Jinghpaw"/>
        <s v="Nam Tu Baptist"/>
        <s v="Kutkai downtown (KBC Church)"/>
        <s v="Kutkai downtown (RC Church)"/>
        <s v="Mine Yu Lay village ( Old)"/>
        <s v="Zup Aung Camp"/>
        <s v="Mandung - RC"/>
        <s v="Muse Baptist Church"/>
        <s v="Nam Hkam (KBC Jaw Wang) II"/>
        <s v="Namhkan - Pang Long KBC"/>
        <s v="Muse Catholic Church"/>
        <s v="Nam Hkam Malut Jak "/>
        <s v="Mungji Pa Dabang (Catholic Church)"/>
        <s v="Nam Sa Larp"/>
        <s v="Mung Baw "/>
        <s v="Pan Ta Pyae"/>
        <s v="Mong Wee Shan"/>
        <s v="Nam Hpak Ka Ta'ang ( Aung Tha Pyay)"/>
        <s v="Howa"/>
        <s v="Nam Hkyet"/>
        <s v="Munekoe Pa (Giwang) - Hka San (Mung  Go  Pa ) "/>
        <s v="Mung Hawm "/>
        <s v="Kone Khem Camp"/>
        <s v="Lisu Church Namtu"/>
        <s v="Man Kaung/Naung Ti Kyar Village"/>
        <s v="Kutkai downtown (KBC Church-2)"/>
        <s v="Mungji Pa Dabang (RC Church)         "/>
        <s v="Man Loi"/>
        <s v="Hpai Kawng Mare"/>
        <s v="Nam Hkam Catholic Church ( St. Thomas II)"/>
        <s v="Nam Hkawng"/>
        <s v="Narte"/>
        <s v="Hpai Kawng"/>
        <s v="Nam Tu RC"/>
        <s v="Galeng (Kachin)"/>
        <s v="Galeng (Palaung) &amp; Kone Khem"/>
        <s v="Kyu Sot"/>
        <s v="Pan Law"/>
        <m/>
        <s v="Le Kone Bethlehem Church"/>
        <s v="Maina Lawang Baptist Church"/>
        <s v="Maina KBC (Bawng Ring)"/>
        <s v="Shing Jai"/>
        <s v="Hpare Hkyer - BP6"/>
        <s v="New Pang Ku "/>
        <s v="Man Sa"/>
        <s v="Mong Wee Ta'ang"/>
        <s v="Robert Church"/>
        <s v="Woi Chyai "/>
        <s v="Tsan Lun - Namjarap"/>
        <s v="Nawng Ing (Indawgyi) Baptist Church  "/>
        <s v="Shwe Myint Thar Monastry "/>
        <s v="Namtu RC"/>
        <s v="Namtu KBC 1"/>
        <s v="Namtu KBC 2"/>
        <s v="Maing Khaung"/>
        <s v="KBC (Ho Mun Ward)"/>
        <s v="Monastery (Myauk Kyaung)_North ward"/>
        <s v="Kamahtan Kyaung_(South ward)"/>
        <s v="Jwan Jaw KBC"/>
        <s v="Aung Mingalar_(Swan Saw ward)"/>
        <s v="Namt Hkun monastery"/>
        <s v="St. Peter Church (Ho Mun ward)"/>
        <s v="Gawrakha Youth Association"/>
        <s v="B.E.H.S 2 (Ho Mun ward)"/>
        <s v="B.E.H.S 4 (Ho Mun ward)"/>
        <s v="Wein Sai Church "/>
        <s v="Sha-It Yang"/>
        <s v="Lan Gwa St.Paul RC Church"/>
        <s v="Emmanuel AG Church"/>
        <s v="Trinity Camp"/>
        <s v="Lawa RC Church"/>
        <s v="Waimaw Baptist Zonal Office 2"/>
        <s v="Maina Relocation Site"/>
        <s v="Mai Yu Lay New (Ta'ang)"/>
        <s v="Yi Hku Man Hkan "/>
        <s v="Hu Hku &amp; Ho Hko"/>
      </sharedItems>
    </cacheField>
    <cacheField name="CP_Pcode" numFmtId="0">
      <sharedItems containsBlank="1" count="302">
        <s v="MMR001CMP001"/>
        <s v="MMR001CMP002"/>
        <s v="MMR001CMP003"/>
        <s v="MMR001CMP004"/>
        <s v="MMR001CMP005"/>
        <s v="MMR001CMP006"/>
        <s v="MMR001CMP007"/>
        <s v="MMR001CMP008"/>
        <s v="MMR001CMP009"/>
        <s v="MMR001CMP010"/>
        <s v="MMR001CMP013"/>
        <s v="MMR001CMP014"/>
        <s v="MMR001CMP016"/>
        <s v="MMR001CMP018"/>
        <s v="MMR001CMP017"/>
        <s v="MMR001CMP019"/>
        <s v="MMR001CMP020"/>
        <s v="MMR001CMP021"/>
        <s v="MMR001CMP023"/>
        <s v="MMR001CMP022"/>
        <s v="MMR001CMP024"/>
        <s v="MMR001CMP025"/>
        <s v="MMR001CMP027"/>
        <s v="MMR001CMP026"/>
        <s v="MMR001CMP028"/>
        <s v="MMR001CMP029"/>
        <s v="MMR001CMP030"/>
        <s v="MMR001CMP031"/>
        <s v="MMR001CMP032"/>
        <s v="MMR001CMP033"/>
        <s v="MMR001CMP037"/>
        <s v="MMR001CMP034"/>
        <s v="MMR001CMP035"/>
        <s v="MMR001CMP036"/>
        <s v="MMR001CMP038"/>
        <s v="MMR001CMP042"/>
        <s v="MMR001CMP049"/>
        <s v="MMR001CMP050"/>
        <s v="MMR001CMP051"/>
        <s v="MMR001CMP052"/>
        <s v="MMR001CMP053"/>
        <s v="MMR001CMP044"/>
        <s v="MMR001CMP045"/>
        <s v="MMR001CMP046"/>
        <s v="MMR001CMP054"/>
        <s v="MMR001CMP048"/>
        <s v="MMR001CMP056"/>
        <s v="MMR001CMP061"/>
        <s v="MMR001CMP062"/>
        <s v="MMR001CMP066"/>
        <s v="MMR001CMP067"/>
        <s v="MMR001CMP068"/>
        <s v="MMR001CMP055"/>
        <s v="MMR001CMP069"/>
        <s v="MMR001CMP057"/>
        <s v="MMR001CMP058"/>
        <s v="MMR001CMP059"/>
        <s v="MMR001CMP060"/>
        <s v="MMR001CMP070"/>
        <s v="MMR001CMP071"/>
        <s v="MMR001CMP063"/>
        <s v="MMR001CMP064"/>
        <s v="MMR001CMP065"/>
        <s v="MMR001CMP072"/>
        <s v="MMR001CMP073"/>
        <s v="MMR001CMP075"/>
        <s v="MMR001CMP077"/>
        <s v="MMR001CMP078"/>
        <s v="MMR001CMP079"/>
        <s v="MMR001CMP080"/>
        <s v="MMR001CMP091"/>
        <s v="MMR001CMP074"/>
        <s v="MMR001CMP103"/>
        <s v="MMR001CMP105"/>
        <s v="MMR001CMP109"/>
        <s v="MMR001CMP113"/>
        <s v="MMR001CMP115"/>
        <s v="MMR001CMP081"/>
        <s v="MMR001CMP082"/>
        <s v="MMR001CMP083"/>
        <s v="MMR001CMP084"/>
        <s v="MMR001CMP085"/>
        <s v="MMR001CMP086"/>
        <s v="MMR001CMP088"/>
        <s v="MMR001CMP090"/>
        <s v="MMR001CMP119"/>
        <s v="MMR001CMP092"/>
        <s v="MMR001CMP093"/>
        <s v="MMR001CMP094"/>
        <s v="MMR001CMP095"/>
        <s v="MMR001CMP096"/>
        <s v="MMR001CMP097"/>
        <s v="MMR001CMP098"/>
        <s v="MMR001CMP099"/>
        <s v="MMR001CMP100"/>
        <s v="MMR001CMP101"/>
        <s v="MMR001CMP102"/>
        <s v="MMR001CMP120"/>
        <s v="MMR001CMP104"/>
        <s v="MMR001CMP121"/>
        <s v="MMR001CMP106"/>
        <s v="MMR001CMP107"/>
        <s v="MMR001CMP108"/>
        <s v="MMR001CMP122"/>
        <s v="MMR001CMP110"/>
        <s v="MMR001CMP111"/>
        <s v="MMR001CMP123"/>
        <s v="MMR001CMP114"/>
        <s v="MMR001CMP126"/>
        <s v="MMR001CMP128"/>
        <s v="MMR001CMP117"/>
        <s v="MMR001CMP118"/>
        <s v="MMR001CMP129"/>
        <s v="MMR001CMP131"/>
        <s v="MMR001CMP132"/>
        <s v="MMR001CMP133"/>
        <s v="MMR001CMP134"/>
        <s v="MMR001CMP147"/>
        <s v="MMR001CMP148"/>
        <s v="MMR001CMP160"/>
        <s v="MMR001CMP162"/>
        <s v="MMR001CMP163"/>
        <s v="MMR001CMP167"/>
        <s v="MMR001CMP168"/>
        <s v="MMR001CMP135"/>
        <s v="MMR001CMP136"/>
        <s v="MMR001CMP137"/>
        <s v="MMR001CMP146"/>
        <s v="MMR001CMP169"/>
        <s v="MMR001CMP174"/>
        <s v="MMR001CMP176"/>
        <s v="MMR001CMP153"/>
        <s v="MMR001CMP181"/>
        <s v="MMR001CMP182"/>
        <s v="MMR001CMP184"/>
        <s v="MMR001CMP190"/>
        <s v="MMR001CMP191"/>
        <s v="MMR001CMP192"/>
        <s v="MMR001CMP170"/>
        <s v="MMR001CMP171"/>
        <s v="MMR001CMP172"/>
        <s v="MMR001CMP173"/>
        <s v="MMR001CMP193"/>
        <s v="MMR001CMP175"/>
        <s v="MMR001CMP194"/>
        <s v="MMR001CMP177"/>
        <s v="MMR001CMP178"/>
        <s v="MMR001CMP179"/>
        <s v="MMR001CMP180"/>
        <s v="MMR001CMP195"/>
        <s v="MMR001CMP196"/>
        <s v="MMR001CMP183"/>
        <s v="MMR001CMP197"/>
        <s v="MMR001CMP185"/>
        <s v="MMR001CMP186"/>
        <s v="MMR001CMP188"/>
        <s v="MMR001CMP189"/>
        <s v="MMR001CMP200"/>
        <s v="MMR001CMP206"/>
        <s v="MMR001CMP208"/>
        <s v="MMR001CMP210"/>
        <s v="MMR001CMP223"/>
        <s v="MMR001CMP225"/>
        <s v="MMR001CMP227"/>
        <s v="MMR001CMP228"/>
        <s v="MMR001CMP198"/>
        <s v="MMR001CMP199"/>
        <s v="MMR001CMP229"/>
        <s v="MMR001CMP201"/>
        <s v="MMR001CMP202"/>
        <s v="MMR001CMP203"/>
        <s v="MMR001CMP204"/>
        <s v="MMR001CMP230"/>
        <s v="MMR001CMP232"/>
        <s v="MMR001CMP209"/>
        <s v="MMR001CMP233"/>
        <s v="MMR001CMP211"/>
        <s v="MMR001CMP212"/>
        <s v="MMR001CMP213"/>
        <s v="MMR001CMP214"/>
        <s v="MMR001CMP215"/>
        <s v="MMR001CMP216"/>
        <s v="MMR001CMP217"/>
        <s v="MMR001CMP234"/>
        <s v="MMR001CMP219"/>
        <s v="MMR001CMP220"/>
        <s v="MMR001CMP221"/>
        <s v="MMR001CMP222"/>
        <s v="MMR001CMP236"/>
        <s v="MMR001CMP224"/>
        <s v="MMR001CMP238"/>
        <s v="MMR001CMP226"/>
        <s v="MMR001CMP239"/>
        <s v="MMR001CMP244"/>
        <s v="MMR001CMP246"/>
        <s v="MMR001CMP247"/>
        <s v="MMR001CMP231"/>
        <s v="MMR001CMP248"/>
        <s v="MMR001CMP250"/>
        <s v="MMR001CMP251"/>
        <s v="MMR001CMP235"/>
        <s v="MMR001CMP253"/>
        <s v="MMR001CMP237"/>
        <s v="MMR001CMP254"/>
        <s v="MMR001CMP256"/>
        <s v="MMR001CMP240"/>
        <s v="MMR001CMP241"/>
        <s v="MMR001CMP242"/>
        <s v="MMR001CMP243"/>
        <s v="MMR001CMP258"/>
        <s v="MMR001CMP245"/>
        <s v="MMR001CMP259"/>
        <s v="MMR001CMP261"/>
        <s v="MMR001CMP264"/>
        <s v="MMR001CMP265"/>
        <s v="MMR001CMP267"/>
        <s v="MMR001CMP270"/>
        <s v="MMR001CMP252"/>
        <s v="MMR001CMP271"/>
        <s v="MMR015CMP001"/>
        <s v="MMR001CMP255"/>
        <s v="MMR015CMP003"/>
        <s v="MMR001CMP257"/>
        <s v="MMR015CMP004"/>
        <s v="MMR015CMP006"/>
        <s v="MMR015CMP007"/>
        <s v="MMR015CMP009"/>
        <s v="MMR015CMP014"/>
        <s v="MMR015CMP016"/>
        <s v="MMR015CMP017"/>
        <s v="MMR015CMP018"/>
        <s v="MMR015CMP020"/>
        <s v="MMR015CMP209"/>
        <s v="MMR015CMP213"/>
        <s v="MMR015CMP214"/>
        <s v="MMR015CMP215"/>
        <s v="MMR015CMP216"/>
        <s v="MMR015CMP002"/>
        <s v="MMR015CMP217"/>
        <s v="MMR015CMP218"/>
        <s v="MMR015CMP005"/>
        <s v="MMR015CMP221"/>
        <s v="MMR015CMP224"/>
        <s v="MMR015CMP225"/>
        <s v="MMR015CMP010"/>
        <s v="MMR015CMP011"/>
        <s v="MMR015CMP012"/>
        <s v="MMR015CMP227"/>
        <s v="MMR015CMP015"/>
        <s v="MMR015CMP232"/>
        <s v="MMR015CMP244"/>
        <s v="MMR015CMP245"/>
        <s v="MMR015CMP019"/>
        <s v="MMR015CMP246"/>
        <s v="MMR015CMP022"/>
        <s v="MMR015CMP024"/>
        <s v="MMR015CMP139"/>
        <s v="MMR015CMP207"/>
        <s v="MMR015CMP247"/>
        <s v="MMR015CMP210"/>
        <s v="MMR015CMP211"/>
        <s v="MMR015CMP212"/>
        <s v="MMR015CMP248"/>
        <s v="MMR015CMP249"/>
        <m/>
        <s v="MMR001CMP015"/>
        <s v="MMR001CMP039"/>
        <s v="MMR001CMP040"/>
        <s v="MMR001CMP041"/>
        <s v="MMR001CMP043"/>
        <s v="MMR015CMP219"/>
        <s v="MMR015CMP222"/>
        <s v="MMR015CMP223"/>
        <s v="MMR001CMP047"/>
        <s v="MMR001CMP116"/>
        <s v="MMR015CMP226"/>
        <s v="MMR001CMP152"/>
        <s v="MMR015CMP228"/>
        <s v="MMR015CMP229"/>
        <s v="MMR015CMP230"/>
        <s v="MMR015CMP231"/>
        <s v="MMR001CMP218"/>
        <s v="MMR015CMP233"/>
        <s v="MMR015CMP234"/>
        <s v="MMR015CMP235"/>
        <s v="MMR015CMP236"/>
        <s v="MMR015CMP237"/>
        <s v="MMR015CMP238"/>
        <s v="MMR015CMP239"/>
        <s v="MMR015CMP240"/>
        <s v="MMR015CMP241"/>
        <s v="MMR015CMP242"/>
        <s v="MMR015CMP243"/>
        <s v="MMR001CMP249"/>
        <s v="MMR001CMP260"/>
        <s v="MMR001CMP262"/>
        <s v="MMR001CMP263"/>
        <s v="MMR001CMP268"/>
        <s v="MMR001CMP269"/>
        <s v="MMR001CMP272"/>
        <s v="MMR015CMP220"/>
        <s v="MMR015CMP250"/>
      </sharedItems>
    </cacheField>
    <cacheField name="Longitude" numFmtId="0">
      <sharedItems containsString="0" containsBlank="1" containsNumber="1" minValue="96.269199999999998" maxValue="98.475719999999995" count="208">
        <n v="97.386718999999999"/>
        <n v="97.394547000000003"/>
        <n v="97.377662999999998"/>
        <n v="97.389778000000007"/>
        <n v="97.382192000000003"/>
        <n v="97.399628000000007"/>
        <n v="97.418004999999994"/>
        <n v="97.418694000000002"/>
        <n v="97.419403000000003"/>
        <n v="97.382997575757599"/>
        <n v="97.405202777777802"/>
        <n v="97.403402307692303"/>
        <n v="97.4113064583333"/>
        <n v="97.373361000000003"/>
        <n v="97.376671999999999"/>
        <n v="97.379594999999995"/>
        <n v="97.2843958974359"/>
        <n v="97.290952037037002"/>
        <n v="97.379987"/>
        <n v="97.403878500000005"/>
        <n v="97.359320179999997"/>
        <n v="97.438432380952406"/>
        <n v="97.451965000000001"/>
        <n v="97.432495000000003"/>
        <n v="97.404195925926004"/>
        <n v="97.437782499999997"/>
        <n v="97.437472666666693"/>
        <n v="97.433419259259296"/>
        <n v="97.441166388888902"/>
        <n v="97.345039"/>
        <n v="97.428251153846105"/>
        <m/>
        <n v="97.421104"/>
        <n v="97.438259000000002"/>
        <n v="97.444283730158702"/>
        <n v="98.131550000000004"/>
        <n v="97.240183461538507"/>
        <n v="97.238829999999993"/>
        <n v="97.234200000000001"/>
        <n v="97.236919999999998"/>
        <n v="97.240639999999999"/>
        <n v="98.354146999999998"/>
        <n v="97.315860000000001"/>
        <n v="97.221556500999995"/>
        <n v="97.344359999999995"/>
        <n v="97.407787999999996"/>
        <n v="97.325019999999995"/>
        <n v="97.291820000000001"/>
        <n v="96.807353000000006"/>
        <n v="97.227789999999999"/>
        <n v="97.724566999999993"/>
        <n v="97.346950000000007"/>
        <n v="97.346940000000004"/>
        <n v="97.347740000000002"/>
        <n v="97.416826999999998"/>
        <n v="97.717133000000004"/>
        <n v="97.718582999999995"/>
        <n v="97.321659999999994"/>
        <n v="97.409474000000003"/>
        <n v="97.429860000000005"/>
        <n v="97.724483000000006"/>
        <n v="97.710864000000001"/>
        <n v="97.415289999999999"/>
        <n v="96.942279999999997"/>
        <n v="96.922619999999995"/>
        <n v="96.948740000000001"/>
        <n v="96.367059999999995"/>
        <n v="96.319829999999996"/>
        <n v="98.144502500000002"/>
        <n v="96.341352999999998"/>
        <n v="96.306910999999999"/>
        <n v="96.283377000000002"/>
        <n v="97.915833000000006"/>
        <n v="97.807182999999995"/>
        <n v="96.364949999999993"/>
        <n v="96.312790000000007"/>
        <n v="96.31326"/>
        <n v="96.316210999999996"/>
        <n v="97.715230000000005"/>
        <n v="96.310928000000004"/>
        <n v="97.751389000000003"/>
        <n v="97.568331999999998"/>
        <n v="96.343350000000001"/>
        <n v="97.573126000000002"/>
        <n v="97.756789999999995"/>
        <n v="97.537099999999995"/>
        <n v="97.837778"/>
        <n v="97.752667000000002"/>
        <n v="97.625617000000005"/>
        <n v="97.551507000000001"/>
        <n v="97.550267000000005"/>
        <n v="97.609832999999995"/>
        <n v="97.669366999999994"/>
        <n v="97.578490000000002"/>
        <n v="97.589979999999997"/>
        <n v="97.588291999999996"/>
        <n v="96.705960000000005"/>
        <n v="97.990555999999998"/>
        <n v="97.4345"/>
        <n v="97.228835000000004"/>
        <n v="96.316400000000002"/>
        <n v="96.361609999999999"/>
        <n v="97.585667000000001"/>
        <n v="97.132339999999999"/>
        <n v="96.346469999999997"/>
        <n v="96.35257"/>
        <n v="96.345569999999995"/>
        <n v="96.269199999999998"/>
        <n v="96.279200000000003"/>
        <n v="96.286680000000004"/>
        <n v="96.317350000000005"/>
        <n v="96.316564"/>
        <n v="96.339590000000001"/>
        <n v="96.339870000000005"/>
        <n v="96.359549999999999"/>
        <n v="96.353070000000002"/>
        <n v="97.252650000000003"/>
        <n v="96.354159999999993"/>
        <n v="96.359309999999994"/>
        <n v="96.355270000000004"/>
        <n v="98.129990000000006"/>
        <n v="97.298055000000005"/>
        <n v="96.353030000000004"/>
        <n v="97.348405"/>
        <n v="96.288250000000005"/>
        <n v="96.673805000000002"/>
        <n v="97.343406999999999"/>
        <n v="97.568836000000005"/>
        <n v="97.541793999999996"/>
        <n v="98.377780000000001"/>
        <n v="97.227057000000002"/>
        <n v="98.356260000000006"/>
        <n v="97.561105999999995"/>
        <n v="97.578367"/>
        <n v="97.276591999999994"/>
        <n v="96.793177"/>
        <n v="96.315601999999998"/>
        <n v="97.601243999999994"/>
        <n v="96.808850000000007"/>
        <n v="97.590767"/>
        <n v="96.52534"/>
        <n v="96.366919999999993"/>
        <n v="97.710989999999995"/>
        <n v="97.416121000000004"/>
        <n v="97.58184"/>
        <n v="97.586470000000006"/>
        <n v="96.793999999999997"/>
        <n v="97.239130000000003"/>
        <n v="97.745480999999998"/>
        <n v="97.608249999999998"/>
        <n v="97.75609"/>
        <n v="96.662092000000001"/>
        <n v="96.637"/>
        <n v="97.430321000000006"/>
        <n v="97.461271999999994"/>
        <n v="97.174999999999997"/>
        <n v="97.010629910000006"/>
        <n v="97.104997409999996"/>
        <n v="97.49136"/>
        <n v="97.669557999999995"/>
        <n v="97.670360000000002"/>
        <n v="97.681970000000007"/>
        <n v="98.220614999999995"/>
        <n v="97.818979999999996"/>
        <n v="97.124403000000001"/>
        <n v="97.404089999999997"/>
        <n v="97.926813999999993"/>
        <n v="97.947360000000003"/>
        <n v="97.793019999999999"/>
        <n v="97.837040000000002"/>
        <n v="97.116680000000002"/>
        <n v="97.909400000000005"/>
        <n v="97.700940000000003"/>
        <n v="97.709879999999998"/>
        <n v="97.911647000000002"/>
        <n v="98.248999999999995"/>
        <n v="98.218626999999998"/>
        <n v="98.054946000000001"/>
        <n v="97.358999999999995"/>
        <n v="97.506"/>
        <n v="97.810101000000003"/>
        <n v="98.116817999999995"/>
        <n v="98.129380999999995"/>
        <n v="98.320651999999995"/>
        <n v="98.337999999999994"/>
        <n v="97.848529999999997"/>
        <n v="97.314762999999999"/>
        <n v="98.213958000000005"/>
        <n v="98.115809999999996"/>
        <n v="97.678299999999993"/>
        <n v="98.139397000000002"/>
        <n v="98.352670000000003"/>
        <n v="97.398989"/>
        <n v="97.400671000000003"/>
        <n v="97.409035000000003"/>
        <n v="97.426536944444507"/>
        <n v="97.434855869565197"/>
        <n v="98.025662999999994"/>
        <n v="98.475719999999995"/>
        <n v="97.868876999999998"/>
        <n v="97.504999999999995"/>
        <n v="97.229116811594196"/>
        <n v="97.546893999999995"/>
        <n v="98.221000000000004"/>
        <n v="97.225881000000001"/>
        <n v="97.013800000000003"/>
        <n v="97.431079999999994"/>
        <n v="97.796999999999997"/>
      </sharedItems>
    </cacheField>
    <cacheField name="Latitude" numFmtId="0">
      <sharedItems containsString="0" containsBlank="1" containsNumber="1" minValue="22.677008000000001"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492"/>
    </cacheField>
    <cacheField name="Total" numFmtId="0">
      <sharedItems containsString="0" containsBlank="1" containsNumber="1" containsInteger="1" minValue="0" maxValue="8514"/>
    </cacheField>
    <cacheField name="Avg" numFmtId="2">
      <sharedItems containsMixedTypes="1" containsNumber="1" minValue="2.7142857142857144" maxValue="7.3404255319148932"/>
    </cacheField>
    <cacheField name="Accessibility" numFmtId="0">
      <sharedItems containsBlank="1" count="3">
        <s v="GCA"/>
        <s v="NGCA"/>
        <m/>
      </sharedItems>
    </cacheField>
    <cacheField name="Affected Population" numFmtId="49">
      <sharedItems containsBlank="1" count="2">
        <s v="IDP"/>
        <m/>
      </sharedItems>
    </cacheField>
    <cacheField name="Type of Accomodation" numFmtId="0">
      <sharedItems containsBlank="1" count="7">
        <s v="Camp"/>
        <s v="Camp Like setting"/>
        <s v="Boarding School"/>
        <s v="Host Families"/>
        <s v="Rural"/>
        <m/>
        <s v="Individual House"/>
      </sharedItems>
    </cacheField>
    <cacheField name="Type of Location" numFmtId="0">
      <sharedItems containsBlank="1" count="5">
        <s v="Urban"/>
        <s v="Rural"/>
        <m/>
        <s v="Forest/bush"/>
        <s v="Village"/>
      </sharedItems>
    </cacheField>
    <cacheField name="Opening Date" numFmtId="0">
      <sharedItems containsDate="1" containsBlank="1" containsMixedTypes="1" minDate="2011-03-01T00:00:00" maxDate="2018-08-01T00:00:00" count="58">
        <d v="2011-06-01T00:00:00"/>
        <d v="2011-07-01T00:00:00"/>
        <d v="2011-08-01T00:00:00"/>
        <d v="2011-10-01T00:00:00"/>
        <d v="2012-01-01T00:00:00"/>
        <d v="2012-04-01T00:00:00"/>
        <d v="2012-05-01T00:00:00"/>
        <d v="2012-02-01T00:00:00"/>
        <d v="2013-06-01T00:00:00"/>
        <d v="2013-07-01T00:00:00"/>
        <d v="2011-11-01T00:00:00"/>
        <m/>
        <d v="2012-12-01T00:00:00"/>
        <d v="2012-10-01T00:00:00"/>
        <d v="2011-12-01T00:00:00"/>
        <d v="2012-08-01T00:00:00"/>
        <d v="2013-11-01T00:00:00"/>
        <d v="2012-03-01T00:00:00"/>
        <d v="2012-06-01T00:00:00"/>
        <d v="2013-08-01T00:00:00"/>
        <d v="2014-03-03T00:00:00"/>
        <d v="2013-01-01T00:00:00"/>
        <d v="2011-09-01T00:00:00"/>
        <d v="2012-07-01T00:00:00"/>
        <d v="2013-10-01T00:00:00"/>
        <d v="2014-06-01T00:00:00"/>
        <d v="2013-04-01T00:00:00"/>
        <d v="2014-04-01T00:00:00"/>
        <d v="2015-06-25T00:00:00"/>
        <d v="2013-09-01T00:00:00"/>
        <d v="2015-05-01T00:00:00"/>
        <d v="2015-02-01T00:00:00"/>
        <d v="2016-08-02T00:00:00"/>
        <d v="2015-01-15T00:00:00"/>
        <d v="2017-06-01T00:00:00"/>
        <d v="2017-01-06T00:00:00"/>
        <d v="2017-07-13T00:00:00"/>
        <d v="2016-01-01T00:00:00"/>
        <d v="2017-01-16T00:00:00"/>
        <d v="2018-04-22T00:00:00"/>
        <d v="2018-07-31T00:00:00"/>
        <d v="2018-05-30T00:00:00"/>
        <d v="2018-06-01T00:00:00"/>
        <d v="2017-08-15T00:00:00"/>
        <d v="2017-08-16T00:00:00"/>
        <d v="2013-12-01T00:00:00"/>
        <d v="2014-03-05T00:00:00"/>
        <d v="2014-11-04T00:00:00"/>
        <d v="2014-04-18T00:00:00"/>
        <d v="2014-04-05T00:00:00"/>
        <d v="2016-03-01T00:00:00"/>
        <d v="2016-02-01T00:00:00"/>
        <d v="2016-12-20T00:00:00"/>
        <d v="2017-02-15T00:00:00"/>
        <d v="2011-03-01T00:00:00"/>
        <d v="2017-01-17T00:00:00"/>
        <d v="2016-03-06T00:00:00"/>
        <s v="20.04.2018"/>
      </sharedItems>
    </cacheField>
    <cacheField name="Responsible Agency" numFmtId="0">
      <sharedItems containsBlank="1" count="7">
        <s v="KBC"/>
        <s v="uncovered"/>
        <s v="Shalom"/>
        <s v="KMSS-MYT"/>
        <m/>
        <s v="KMSS-BMO"/>
        <s v="KMSS-LSO"/>
      </sharedItems>
    </cacheField>
    <cacheField name="Source" numFmtId="0">
      <sharedItems containsBlank="1"/>
    </cacheField>
    <cacheField name="Update Date" numFmtId="0">
      <sharedItems containsDate="1" containsBlank="1" containsMixedTypes="1" minDate="2013-01-15T00:00:00" maxDate="2018-11-02T00:00:00"/>
    </cacheField>
    <cacheField name="Comment" numFmtId="0">
      <sharedItems containsBlank="1" longText="1"/>
    </cacheField>
    <cacheField name="Nearest_Town" numFmtId="0">
      <sharedItems containsBlank="1"/>
    </cacheField>
    <cacheField name="Distance" numFmtId="165">
      <sharedItems containsBlank="1" containsMixedTypes="1" containsNumber="1" minValue="0" maxValue="51"/>
    </cacheField>
    <cacheField name="Distance_Cat" numFmtId="0">
      <sharedItems containsBlank="1" containsMixedTypes="1" containsNumber="1" containsInteger="1" minValue="1" maxValue="11"/>
    </cacheField>
  </cacheFields>
  <extLst>
    <ext xmlns:x14="http://schemas.microsoft.com/office/spreadsheetml/2009/9/main" uri="{725AE2AE-9491-48be-B2B4-4EB974FC3084}">
      <x14:pivotCacheDefinition pivotCacheId="1"/>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May Khaing" refreshedDate="43420.553620254628" missingItemsLimit="0" createdVersion="4" refreshedVersion="5" minRefreshableVersion="3" recordCount="361">
  <cacheSource type="worksheet">
    <worksheetSource name="Table_NFI"/>
  </cacheSource>
  <cacheFields count="46">
    <cacheField name="Distribution Date" numFmtId="169">
      <sharedItems containsSemiMixedTypes="0" containsNonDate="0" containsDate="1" containsString="0" minDate="2017-01-02T00:00:00" maxDate="2018-10-19T00:00:00" count="138">
        <d v="2017-01-02T00:00:00"/>
        <d v="2017-01-10T00:00:00"/>
        <d v="2017-01-15T00:00:00"/>
        <d v="2017-01-18T00:00:00"/>
        <d v="2017-01-19T00:00:00"/>
        <d v="2017-01-20T00:00:00"/>
        <d v="2017-01-23T00:00:00"/>
        <d v="2017-01-26T00:00:00"/>
        <d v="2017-01-28T00:00:00"/>
        <d v="2017-01-31T00:00:00"/>
        <d v="2017-02-01T00:00:00"/>
        <d v="2017-02-02T00:00:00"/>
        <d v="2017-02-09T00:00:00"/>
        <d v="2017-02-10T00:00:00"/>
        <d v="2017-02-13T00:00:00"/>
        <d v="2017-02-14T00:00:00"/>
        <d v="2017-02-16T00:00:00"/>
        <d v="2017-03-01T00:00:00"/>
        <d v="2017-03-14T00:00:00"/>
        <d v="2017-03-15T00:00:00"/>
        <d v="2017-03-16T00:00:00"/>
        <d v="2017-03-19T00:00:00"/>
        <d v="2017-03-20T00:00:00"/>
        <d v="2017-03-29T00:00:00"/>
        <d v="2017-03-31T00:00:00"/>
        <d v="2017-04-04T00:00:00"/>
        <d v="2017-04-13T00:00:00"/>
        <d v="2017-04-27T00:00:00"/>
        <d v="2017-05-05T00:00:00"/>
        <d v="2017-05-10T00:00:00"/>
        <d v="2017-05-12T00:00:00"/>
        <d v="2017-05-25T00:00:00"/>
        <d v="2017-05-26T00:00:00"/>
        <d v="2017-05-27T00:00:00"/>
        <d v="2017-05-28T00:00:00"/>
        <d v="2017-05-30T00:00:00"/>
        <d v="2017-06-07T00:00:00"/>
        <d v="2017-06-14T00:00:00"/>
        <d v="2017-06-17T00:00:00"/>
        <d v="2017-06-28T00:00:00"/>
        <d v="2017-06-29T00:00:00"/>
        <d v="2017-07-28T00:00:00"/>
        <d v="2017-08-01T00:00:00"/>
        <d v="2017-08-07T00:00:00"/>
        <d v="2017-08-15T00:00:00"/>
        <d v="2017-08-16T00:00:00"/>
        <d v="2017-08-19T00:00:00"/>
        <d v="2017-08-29T00:00:00"/>
        <d v="2017-09-07T00:00:00"/>
        <d v="2017-09-29T00:00:00"/>
        <d v="2017-09-30T00:00:00"/>
        <d v="2017-10-02T00:00:00"/>
        <d v="2017-10-17T00:00:00"/>
        <d v="2017-10-18T00:00:00"/>
        <d v="2017-10-19T00:00:00"/>
        <d v="2017-10-20T00:00:00"/>
        <d v="2017-10-27T00:00:00"/>
        <d v="2017-11-27T00:00:00"/>
        <d v="2017-11-28T00:00:00"/>
        <d v="2017-11-29T00:00:00"/>
        <d v="2017-12-06T00:00:00"/>
        <d v="2017-12-09T00:00:00"/>
        <d v="2017-12-21T00:00:00"/>
        <d v="2017-12-26T00:00:00"/>
        <d v="2017-12-27T00:00:00"/>
        <d v="2017-12-29T00:00:00"/>
        <d v="2018-01-05T00:00:00"/>
        <d v="2018-01-06T00:00:00"/>
        <d v="2018-01-07T00:00:00"/>
        <d v="2018-01-08T00:00:00"/>
        <d v="2018-01-26T00:00:00"/>
        <d v="2018-01-27T00:00:00"/>
        <d v="2018-02-09T00:00:00"/>
        <d v="2018-03-12T00:00:00"/>
        <d v="2018-03-06T00:00:00"/>
        <d v="2018-01-09T00:00:00"/>
        <d v="2018-01-11T00:00:00"/>
        <d v="2018-01-12T00:00:00"/>
        <d v="2018-01-15T00:00:00"/>
        <d v="2018-01-16T00:00:00"/>
        <d v="2018-01-25T00:00:00"/>
        <d v="2018-02-08T00:00:00"/>
        <d v="2018-02-12T00:00:00"/>
        <d v="2018-02-14T00:00:00"/>
        <d v="2018-02-20T00:00:00"/>
        <d v="2018-02-21T00:00:00"/>
        <d v="2018-03-07T00:00:00"/>
        <d v="2018-03-16T00:00:00"/>
        <d v="2018-03-26T00:00:00"/>
        <d v="2018-03-21T00:00:00"/>
        <d v="2018-03-28T00:00:00"/>
        <d v="2018-03-30T00:00:00"/>
        <d v="2018-04-11T00:00:00"/>
        <d v="2018-04-05T00:00:00"/>
        <d v="2018-04-26T00:00:00"/>
        <d v="2018-04-10T00:00:00"/>
        <d v="2018-04-27T00:00:00"/>
        <d v="2018-04-24T00:00:00"/>
        <d v="2018-04-30T00:00:00"/>
        <d v="2018-05-01T00:00:00"/>
        <d v="2018-05-07T00:00:00"/>
        <d v="2018-05-23T00:00:00"/>
        <d v="2018-05-18T00:00:00"/>
        <d v="2018-05-08T00:00:00"/>
        <d v="2018-05-04T00:00:00"/>
        <d v="2018-05-10T00:00:00"/>
        <d v="2018-05-11T00:00:00"/>
        <d v="2018-05-25T00:00:00"/>
        <d v="2018-05-24T00:00:00"/>
        <d v="2018-05-17T00:00:00"/>
        <d v="2018-05-28T00:00:00"/>
        <d v="2018-05-15T00:00:00"/>
        <d v="2018-05-21T00:00:00"/>
        <d v="2018-05-31T00:00:00"/>
        <d v="2018-05-05T00:00:00"/>
        <d v="2018-05-09T00:00:00"/>
        <d v="2018-05-19T00:00:00"/>
        <d v="2018-05-12T00:00:00"/>
        <d v="2018-05-26T00:00:00"/>
        <d v="2018-05-27T00:00:00"/>
        <d v="2018-05-29T00:00:00"/>
        <d v="2018-06-05T00:00:00"/>
        <d v="2018-06-19T00:00:00"/>
        <d v="2018-06-01T00:00:00"/>
        <d v="2018-06-15T00:00:00"/>
        <d v="2018-06-30T00:00:00"/>
        <d v="2018-06-20T00:00:00"/>
        <d v="2018-07-03T00:00:00"/>
        <d v="2018-06-22T00:00:00"/>
        <d v="2018-07-23T00:00:00"/>
        <d v="2018-07-30T00:00:00"/>
        <d v="2018-07-18T00:00:00"/>
        <d v="2018-07-19T00:00:00"/>
        <d v="2018-08-13T00:00:00"/>
        <d v="2018-10-08T00:00:00"/>
        <d v="2018-10-18T00:00:00"/>
        <d v="2018-10-16T00:00:00"/>
        <d v="2018-10-17T00:00:00"/>
      </sharedItems>
    </cacheField>
    <cacheField name="Distribution Month/Year (Auto-calculated)" numFmtId="169">
      <sharedItems containsBlank="1" count="22">
        <s v="1/2017"/>
        <s v="2/2017"/>
        <s v="3/2017"/>
        <s v="4/2017"/>
        <s v="5/2017"/>
        <s v="6/2017"/>
        <s v="7/2017"/>
        <s v="8/2017"/>
        <s v="9/2017"/>
        <s v="10/2017"/>
        <s v="11/2017"/>
        <s v="12/2017"/>
        <s v="1/2018"/>
        <s v="2/2018"/>
        <s v="3/2018"/>
        <m/>
        <s v="4/2018"/>
        <s v="5/2018"/>
        <s v="6/2018"/>
        <s v="7/2018"/>
        <s v="8/2018"/>
        <s v="10/2018"/>
      </sharedItems>
    </cacheField>
    <cacheField name="Agency" numFmtId="0">
      <sharedItems count="17">
        <s v="UNHCR"/>
        <s v="Solidarites"/>
        <s v="NRC"/>
        <s v="Metta"/>
        <s v="MRCS"/>
        <s v="Shalom"/>
        <s v="KMSS-Myitkyina"/>
        <s v="RI"/>
        <s v="IRC"/>
        <s v="KMSS-Lashio"/>
        <s v="SCI"/>
        <s v="KMSS_Myitkyina"/>
        <s v="DRC"/>
        <s v="KBC"/>
        <s v="WVI"/>
        <s v="Plan Int."/>
        <s v="ICRC"/>
      </sharedItems>
    </cacheField>
    <cacheField name="Implementing Partner" numFmtId="0">
      <sharedItems containsBlank="1"/>
    </cacheField>
    <cacheField name="State" numFmtId="0">
      <sharedItems/>
    </cacheField>
    <cacheField name="Township" numFmtId="0">
      <sharedItems count="21">
        <s v="Waingmaw"/>
        <s v="Myitkyina"/>
        <s v="Mansi"/>
        <s v="Momauk"/>
        <s v="Shwegu"/>
        <s v="Bhamo"/>
        <s v="Hpakant"/>
        <s v="Chipwi"/>
        <s v="Sumprabum"/>
        <s v="Kutkai"/>
        <s v="Hseni"/>
        <s v="Namtu"/>
        <s v="Tanai"/>
        <s v="Muse"/>
        <s v="Namhkan"/>
        <s v="Mohnyin"/>
        <s v="Kyaukme"/>
        <s v="Mogaung"/>
        <s v="Injangyang"/>
        <s v="Puta-O"/>
        <s v="Manton"/>
      </sharedItems>
    </cacheField>
    <cacheField name="Location" numFmtId="0">
      <sharedItems containsBlank="1"/>
    </cacheField>
    <cacheField name="Cash for NFI (# of HHs covered)" numFmtId="0">
      <sharedItems containsString="0" containsBlank="1" containsNumber="1" containsInteger="1" minValue="1" maxValue="288"/>
    </cacheField>
    <cacheField name="Hygiene Kit" numFmtId="0">
      <sharedItems containsString="0" containsBlank="1" containsNumber="1" containsInteger="1" minValue="1" maxValue="251"/>
    </cacheField>
    <cacheField name="Dignity Kit" numFmtId="1">
      <sharedItems containsString="0" containsBlank="1" containsNumber="1" containsInteger="1" minValue="7" maxValue="10"/>
    </cacheField>
    <cacheField name="NFI Core Kit" numFmtId="0">
      <sharedItems containsString="0" containsBlank="1" containsNumber="1" containsInteger="1" minValue="1" maxValue="141"/>
    </cacheField>
    <cacheField name="Sanitary Kit" numFmtId="0">
      <sharedItems containsString="0" containsBlank="1" containsNumber="1" containsInteger="1" minValue="1" maxValue="657"/>
    </cacheField>
    <cacheField name="Mosquito net" numFmtId="0">
      <sharedItems containsString="0" containsBlank="1" containsNumber="1" containsInteger="1" minValue="2" maxValue="412"/>
    </cacheField>
    <cacheField name="Tarpaulin" numFmtId="0">
      <sharedItems containsString="0" containsBlank="1" containsNumber="1" containsInteger="1" minValue="1" maxValue="255"/>
    </cacheField>
    <cacheField name="Blanket" numFmtId="0">
      <sharedItems containsBlank="1" containsMixedTypes="1" containsNumber="1" containsInteger="1" minValue="1" maxValue="3170"/>
    </cacheField>
    <cacheField name="Kitchen Set" numFmtId="0">
      <sharedItems containsString="0" containsBlank="1" containsNumber="1" containsInteger="1" minValue="1" maxValue="251"/>
    </cacheField>
    <cacheField name="Clothes Kit" numFmtId="0">
      <sharedItems containsString="0" containsBlank="1" containsNumber="1" containsInteger="1" minValue="2" maxValue="60"/>
    </cacheField>
    <cacheField name="Plastic Bucket" numFmtId="0">
      <sharedItems containsString="0" containsBlank="1" containsNumber="1" containsInteger="1" minValue="1" maxValue="166"/>
    </cacheField>
    <cacheField name="Plastic Mat" numFmtId="0">
      <sharedItems containsString="0" containsBlank="1" containsNumber="1" containsInteger="1" minValue="2" maxValue="387"/>
    </cacheField>
    <cacheField name="Winter Clothes Adult" numFmtId="0">
      <sharedItems containsString="0" containsBlank="1" containsNumber="1" containsInteger="1" minValue="1" maxValue="540"/>
    </cacheField>
    <cacheField name="Winter Clothes Children" numFmtId="0">
      <sharedItems containsString="0" containsBlank="1" containsNumber="1" containsInteger="1" minValue="1" maxValue="2536"/>
    </cacheField>
    <cacheField name="Winter Items Other" numFmtId="0">
      <sharedItems containsString="0" containsBlank="1" containsNumber="1" containsInteger="1" minValue="1" maxValue="1473"/>
    </cacheField>
    <cacheField name="Winter Blanket" numFmtId="0">
      <sharedItems containsString="0" containsBlank="1" containsNumber="1" containsInteger="1" minValue="1" maxValue="508"/>
    </cacheField>
    <cacheField name="Jerry Can" numFmtId="0">
      <sharedItems containsString="0" containsBlank="1" containsNumber="1" containsInteger="1" minValue="1" maxValue="179"/>
    </cacheField>
    <cacheField name="Solar lamps" numFmtId="1">
      <sharedItems containsString="0" containsBlank="1" containsNumber="1" containsInteger="1" minValue="4" maxValue="386"/>
    </cacheField>
    <cacheField name="Shelter Tool kit" numFmtId="1">
      <sharedItems containsString="0" containsBlank="1" containsNumber="1" containsInteger="1" minValue="10" maxValue="85"/>
    </cacheField>
    <cacheField name="Tent" numFmtId="1">
      <sharedItems containsString="0" containsBlank="1" containsNumber="1" containsInteger="1" minValue="6" maxValue="49"/>
    </cacheField>
    <cacheField name="NFI Core Kit_LS" numFmtId="0">
      <sharedItems containsBlank="1"/>
    </cacheField>
    <cacheField name="Sanitary Kit_LS" numFmtId="0">
      <sharedItems containsBlank="1"/>
    </cacheField>
    <cacheField name="Mosquito net_LS" numFmtId="0">
      <sharedItems containsBlank="1"/>
    </cacheField>
    <cacheField name="Tarpaulin_LS" numFmtId="0">
      <sharedItems containsBlank="1"/>
    </cacheField>
    <cacheField name="Blanket_LS" numFmtId="0">
      <sharedItems containsBlank="1"/>
    </cacheField>
    <cacheField name="Kitchen Set_LS" numFmtId="0">
      <sharedItems containsBlank="1"/>
    </cacheField>
    <cacheField name="Clothes Kit_LS" numFmtId="0">
      <sharedItems containsBlank="1"/>
    </cacheField>
    <cacheField name="Plastic Bucket _LS" numFmtId="0">
      <sharedItems containsBlank="1"/>
    </cacheField>
    <cacheField name="Plastic  Mat_LS" numFmtId="0">
      <sharedItems containsBlank="1"/>
    </cacheField>
    <cacheField name="Winter Clothes Adult_LS" numFmtId="0">
      <sharedItems containsBlank="1"/>
    </cacheField>
    <cacheField name="Winter Clothes Children_LS" numFmtId="0">
      <sharedItems containsNonDate="0" containsString="0" containsBlank="1"/>
    </cacheField>
    <cacheField name="Winter Items Other_LS" numFmtId="0">
      <sharedItems containsNonDate="0" containsString="0" containsBlank="1"/>
    </cacheField>
    <cacheField name="Winter Blanket_LS" numFmtId="0">
      <sharedItems containsNonDate="0" containsString="0" containsBlank="1"/>
    </cacheField>
    <cacheField name="Winter" numFmtId="0">
      <sharedItems containsString="0" containsBlank="1" containsNumber="1" containsInteger="1" minValue="0" maxValue="1"/>
    </cacheField>
    <cacheField name="Jerry Can_LS" numFmtId="0">
      <sharedItems containsNonDate="0" containsString="0" containsBlank="1"/>
    </cacheField>
    <cacheField name="Shelter Tool kit_LS" numFmtId="0">
      <sharedItems containsNonDate="0" containsString="0" containsBlank="1"/>
    </cacheField>
    <cacheField name="Tent_LS" numFmtId="0">
      <sharedItems containsNonDate="0" containsString="0" containsBlank="1"/>
    </cacheField>
    <cacheField name="Pcode" numFmtId="0">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67">
  <r>
    <n v="66.900000000000006"/>
    <d v="2011-11-02T00:00:00"/>
    <x v="0"/>
    <s v="KBC"/>
    <s v="Kachin"/>
    <s v="Myitkyina"/>
    <s v="Du Kahtawng Qtr. 14"/>
    <m/>
    <m/>
    <m/>
    <n v="0"/>
    <n v="5"/>
    <n v="0"/>
    <n v="5"/>
    <n v="5"/>
    <n v="5"/>
    <n v="5"/>
    <m/>
    <m/>
    <m/>
    <m/>
    <m/>
    <m/>
    <m/>
    <n v="0"/>
    <n v="0"/>
    <n v="0"/>
    <n v="0"/>
    <n v="0"/>
    <n v="0"/>
    <n v="0"/>
    <n v="0"/>
    <n v="0"/>
    <n v="0"/>
    <n v="0"/>
    <n v="0"/>
    <n v="0"/>
    <n v="0"/>
    <n v="0"/>
    <n v="0"/>
    <n v="0"/>
    <n v="0"/>
    <s v="MMR001CMP012"/>
    <x v="0"/>
    <x v="0"/>
    <s v="P4"/>
    <n v="1.2286521685710776E-4"/>
    <s v="No"/>
  </r>
  <r>
    <n v="66.900000000000006"/>
    <d v="2011-11-02T00:00:00"/>
    <x v="0"/>
    <s v="KBC"/>
    <s v="Kachin"/>
    <s v="Myitkyina"/>
    <s v="Du Kahtawng Qtr. 4"/>
    <m/>
    <m/>
    <m/>
    <n v="0"/>
    <n v="6"/>
    <n v="0"/>
    <n v="6"/>
    <n v="6"/>
    <n v="6"/>
    <n v="6"/>
    <m/>
    <m/>
    <m/>
    <m/>
    <m/>
    <m/>
    <m/>
    <n v="0"/>
    <n v="0"/>
    <n v="0"/>
    <n v="0"/>
    <n v="0"/>
    <n v="0"/>
    <n v="0"/>
    <n v="0"/>
    <n v="0"/>
    <n v="0"/>
    <n v="0"/>
    <n v="0"/>
    <n v="0"/>
    <n v="0"/>
    <n v="0"/>
    <n v="0"/>
    <n v="0"/>
    <n v="0"/>
    <s v="MMR001CMP010"/>
    <x v="0"/>
    <x v="0"/>
    <s v="P4"/>
    <n v="1.474382602285293E-4"/>
    <s v="No"/>
  </r>
  <r>
    <n v="66.900000000000006"/>
    <d v="2011-11-02T00:00:00"/>
    <x v="0"/>
    <s v="KBC"/>
    <s v="Kachin"/>
    <s v="Myitkyina"/>
    <s v="Du Kahtawng Qtr. 5"/>
    <m/>
    <m/>
    <m/>
    <n v="39"/>
    <n v="8"/>
    <n v="39"/>
    <n v="8"/>
    <n v="8"/>
    <n v="8"/>
    <n v="8"/>
    <m/>
    <m/>
    <m/>
    <m/>
    <m/>
    <m/>
    <m/>
    <n v="0"/>
    <n v="0"/>
    <n v="0"/>
    <n v="0"/>
    <n v="0"/>
    <n v="0"/>
    <n v="0"/>
    <n v="0"/>
    <n v="0"/>
    <n v="0"/>
    <n v="0"/>
    <n v="0"/>
    <n v="0"/>
    <n v="0"/>
    <n v="0"/>
    <n v="0"/>
    <n v="0"/>
    <n v="0"/>
    <s v="MMR001CMP011"/>
    <x v="0"/>
    <x v="0"/>
    <s v="P4"/>
    <n v="1.965843469713724E-4"/>
    <s v="No"/>
  </r>
  <r>
    <n v="66.900000000000006"/>
    <d v="2011-11-02T00:00:00"/>
    <x v="0"/>
    <s v="KBC"/>
    <s v="Kachin"/>
    <s v="Myitkyina"/>
    <s v="Man Hkring Baptist Church"/>
    <m/>
    <m/>
    <m/>
    <n v="112"/>
    <n v="68"/>
    <n v="112"/>
    <n v="68"/>
    <n v="68"/>
    <n v="68"/>
    <n v="68"/>
    <m/>
    <m/>
    <m/>
    <m/>
    <m/>
    <m/>
    <m/>
    <n v="0"/>
    <n v="0"/>
    <n v="0"/>
    <n v="0"/>
    <n v="0"/>
    <n v="0"/>
    <n v="0"/>
    <n v="0"/>
    <n v="0"/>
    <n v="0"/>
    <n v="0"/>
    <n v="0"/>
    <n v="0"/>
    <n v="0"/>
    <n v="0"/>
    <n v="0"/>
    <n v="0"/>
    <n v="0"/>
    <s v="MMR001CMP008"/>
    <x v="0"/>
    <x v="0"/>
    <s v="P4"/>
    <n v="1.6697360343769184E-3"/>
    <s v="No"/>
  </r>
  <r>
    <n v="66.900000000000006"/>
    <d v="2011-11-02T00:00:00"/>
    <x v="0"/>
    <s v="KBC"/>
    <s v="Kachin"/>
    <s v="Myitkyina"/>
    <s v="Shatapru Sut Ngai Tawng"/>
    <m/>
    <m/>
    <m/>
    <n v="219"/>
    <n v="117"/>
    <n v="219"/>
    <n v="117"/>
    <n v="117"/>
    <n v="117"/>
    <n v="117"/>
    <m/>
    <m/>
    <m/>
    <m/>
    <m/>
    <m/>
    <m/>
    <n v="0"/>
    <n v="0"/>
    <n v="0"/>
    <n v="0"/>
    <n v="0"/>
    <n v="0"/>
    <n v="0"/>
    <n v="0"/>
    <n v="0"/>
    <n v="0"/>
    <n v="0"/>
    <n v="0"/>
    <n v="0"/>
    <n v="0"/>
    <n v="0"/>
    <n v="0"/>
    <n v="0"/>
    <n v="0"/>
    <s v="MMR001CMP006"/>
    <x v="0"/>
    <x v="0"/>
    <s v="P4"/>
    <n v="2.87074295809206E-3"/>
    <s v="No"/>
  </r>
  <r>
    <n v="66.900000000000006"/>
    <d v="2011-11-02T00:00:00"/>
    <x v="0"/>
    <s v="KBC"/>
    <s v="Kachin"/>
    <s v="Myitkyina"/>
    <s v="Shatapru Thida Aye Baptist Church"/>
    <m/>
    <m/>
    <m/>
    <n v="2"/>
    <n v="1"/>
    <n v="2"/>
    <n v="1"/>
    <n v="1"/>
    <n v="1"/>
    <n v="1"/>
    <m/>
    <m/>
    <m/>
    <m/>
    <m/>
    <m/>
    <m/>
    <n v="0"/>
    <n v="0"/>
    <n v="0"/>
    <n v="0"/>
    <n v="0"/>
    <n v="0"/>
    <n v="0"/>
    <n v="0"/>
    <n v="0"/>
    <n v="0"/>
    <n v="0"/>
    <n v="0"/>
    <n v="0"/>
    <n v="0"/>
    <n v="0"/>
    <n v="0"/>
    <n v="0"/>
    <n v="0"/>
    <s v="MMR001CMP007"/>
    <x v="0"/>
    <x v="0"/>
    <s v="P4"/>
    <n v="2.4444498765552813E-5"/>
    <s v="No"/>
  </r>
  <r>
    <n v="66.86666666666666"/>
    <d v="2011-11-03T00:00:00"/>
    <x v="0"/>
    <s v="KMSS"/>
    <s v="Kachin"/>
    <s v="Myitkyina"/>
    <s v="Jan Mai Kawng Baptist Church"/>
    <m/>
    <m/>
    <m/>
    <n v="106"/>
    <n v="52"/>
    <n v="106"/>
    <n v="52"/>
    <n v="52"/>
    <n v="52"/>
    <n v="52"/>
    <m/>
    <m/>
    <m/>
    <m/>
    <m/>
    <m/>
    <m/>
    <n v="0"/>
    <n v="0"/>
    <n v="0"/>
    <n v="0"/>
    <n v="0"/>
    <n v="0"/>
    <n v="0"/>
    <n v="0"/>
    <n v="0"/>
    <n v="0"/>
    <n v="0"/>
    <n v="0"/>
    <n v="0"/>
    <n v="0"/>
    <n v="0"/>
    <n v="0"/>
    <n v="0"/>
    <n v="0"/>
    <s v="MMR001CMP018"/>
    <x v="0"/>
    <x v="0"/>
    <s v="P4"/>
    <n v="1.2768569674647024E-3"/>
    <s v="No"/>
  </r>
  <r>
    <n v="66.86666666666666"/>
    <d v="2011-11-03T00:00:00"/>
    <x v="0"/>
    <s v="KBC"/>
    <s v="Kachin"/>
    <s v="Myitkyina"/>
    <s v="Le Kone Ziun Baptist Church "/>
    <m/>
    <m/>
    <m/>
    <n v="116"/>
    <n v="49"/>
    <n v="116"/>
    <n v="49"/>
    <n v="49"/>
    <n v="49"/>
    <n v="49"/>
    <m/>
    <m/>
    <m/>
    <m/>
    <m/>
    <m/>
    <m/>
    <n v="0"/>
    <n v="0"/>
    <n v="0"/>
    <n v="0"/>
    <n v="0"/>
    <n v="0"/>
    <n v="0"/>
    <n v="0"/>
    <n v="0"/>
    <n v="0"/>
    <n v="0"/>
    <n v="0"/>
    <n v="0"/>
    <n v="0"/>
    <n v="0"/>
    <n v="0"/>
    <n v="0"/>
    <n v="0"/>
    <s v="MMR001CMP014"/>
    <x v="0"/>
    <x v="0"/>
    <s v="P4"/>
    <n v="1.204079125199656E-3"/>
    <s v="No"/>
  </r>
  <r>
    <n v="66.86666666666666"/>
    <d v="2011-11-03T00:00:00"/>
    <x v="0"/>
    <s v="KMSS"/>
    <s v="Kachin"/>
    <s v="Myitkyina"/>
    <s v="Shwe Zet Baptist Church"/>
    <m/>
    <m/>
    <m/>
    <n v="18"/>
    <n v="8"/>
    <n v="18"/>
    <n v="8"/>
    <n v="8"/>
    <n v="8"/>
    <n v="8"/>
    <m/>
    <m/>
    <m/>
    <m/>
    <m/>
    <m/>
    <m/>
    <n v="0"/>
    <n v="0"/>
    <n v="0"/>
    <n v="0"/>
    <n v="0"/>
    <n v="0"/>
    <n v="0"/>
    <n v="0"/>
    <n v="0"/>
    <n v="0"/>
    <n v="0"/>
    <n v="0"/>
    <n v="0"/>
    <n v="0"/>
    <n v="0"/>
    <n v="0"/>
    <n v="0"/>
    <n v="0"/>
    <s v="MMR001CMP009"/>
    <x v="0"/>
    <x v="0"/>
    <s v="P4"/>
    <n v="1.9643953345610803E-4"/>
    <s v="No"/>
  </r>
  <r>
    <n v="66.86666666666666"/>
    <d v="2011-11-03T00:00:00"/>
    <x v="0"/>
    <s v="KBC"/>
    <s v="Kachin"/>
    <s v="Myitkyina"/>
    <s v="Tat Kone Baptist Church"/>
    <m/>
    <m/>
    <m/>
    <n v="73"/>
    <n v="34"/>
    <n v="73"/>
    <n v="34"/>
    <n v="34"/>
    <n v="34"/>
    <n v="34"/>
    <m/>
    <m/>
    <m/>
    <m/>
    <m/>
    <m/>
    <m/>
    <n v="0"/>
    <n v="0"/>
    <n v="0"/>
    <n v="0"/>
    <n v="0"/>
    <n v="0"/>
    <n v="0"/>
    <n v="0"/>
    <n v="0"/>
    <n v="0"/>
    <n v="0"/>
    <n v="0"/>
    <n v="0"/>
    <n v="0"/>
    <n v="0"/>
    <n v="0"/>
    <n v="0"/>
    <n v="0"/>
    <s v="MMR001CMP001"/>
    <x v="0"/>
    <x v="0"/>
    <s v="P4"/>
    <n v="8.3548347462833277E-4"/>
    <s v="No"/>
  </r>
  <r>
    <n v="66.86666666666666"/>
    <d v="2011-11-03T00:00:00"/>
    <x v="0"/>
    <s v="KMSS"/>
    <s v="Kachin"/>
    <s v="Myitkyina"/>
    <s v="Tat Kone Emanuel Church"/>
    <m/>
    <m/>
    <m/>
    <n v="18"/>
    <n v="8"/>
    <n v="18"/>
    <n v="8"/>
    <n v="8"/>
    <n v="8"/>
    <n v="8"/>
    <m/>
    <m/>
    <m/>
    <m/>
    <m/>
    <m/>
    <m/>
    <n v="0"/>
    <n v="0"/>
    <n v="0"/>
    <n v="0"/>
    <n v="0"/>
    <n v="0"/>
    <n v="0"/>
    <n v="0"/>
    <n v="0"/>
    <n v="0"/>
    <n v="0"/>
    <n v="0"/>
    <n v="0"/>
    <n v="0"/>
    <n v="0"/>
    <n v="0"/>
    <n v="0"/>
    <n v="0"/>
    <s v="MMR001CMP004"/>
    <x v="0"/>
    <x v="0"/>
    <s v="P4"/>
    <n v="1.962901167926195E-4"/>
    <s v="No"/>
  </r>
  <r>
    <n v="66.833333333333329"/>
    <d v="2011-11-04T00:00:00"/>
    <x v="0"/>
    <s v="KBC"/>
    <s v="Kachin"/>
    <s v="Myitkyina"/>
    <s v="Jan Mai Kawng Baptist Church"/>
    <m/>
    <m/>
    <m/>
    <n v="208"/>
    <n v="102"/>
    <n v="208"/>
    <n v="102"/>
    <n v="102"/>
    <n v="102"/>
    <n v="102"/>
    <m/>
    <m/>
    <m/>
    <m/>
    <m/>
    <m/>
    <m/>
    <n v="0"/>
    <n v="0"/>
    <n v="0"/>
    <n v="0"/>
    <n v="0"/>
    <n v="0"/>
    <n v="0"/>
    <n v="0"/>
    <n v="0"/>
    <n v="0"/>
    <n v="0"/>
    <n v="0"/>
    <n v="0"/>
    <n v="0"/>
    <n v="0"/>
    <n v="0"/>
    <n v="0"/>
    <n v="0"/>
    <s v="MMR001CMP018"/>
    <x v="0"/>
    <x v="0"/>
    <s v="P4"/>
    <n v="2.5046040515653775E-3"/>
    <s v="No"/>
  </r>
  <r>
    <n v="66.833333333333329"/>
    <d v="2011-11-04T00:00:00"/>
    <x v="0"/>
    <s v="KBC"/>
    <s v="Kachin"/>
    <s v="Myitkyina"/>
    <s v="Myay Myint Baptist Church"/>
    <m/>
    <m/>
    <m/>
    <n v="10"/>
    <n v="6"/>
    <n v="10"/>
    <n v="6"/>
    <n v="6"/>
    <n v="6"/>
    <n v="6"/>
    <m/>
    <m/>
    <m/>
    <m/>
    <m/>
    <m/>
    <m/>
    <n v="0"/>
    <n v="0"/>
    <n v="0"/>
    <n v="0"/>
    <n v="0"/>
    <n v="0"/>
    <n v="0"/>
    <n v="0"/>
    <n v="0"/>
    <n v="0"/>
    <n v="0"/>
    <n v="0"/>
    <n v="0"/>
    <n v="0"/>
    <n v="0"/>
    <n v="0"/>
    <n v="0"/>
    <n v="0"/>
    <s v="MMR001CMP017"/>
    <x v="0"/>
    <x v="1"/>
    <s v="P4"/>
    <n v="1.4699757454002008E-4"/>
    <s v="No"/>
  </r>
  <r>
    <n v="66.5"/>
    <d v="2011-11-14T00:00:00"/>
    <x v="0"/>
    <s v="KBC"/>
    <s v="Kachin"/>
    <s v="Myitkyina"/>
    <s v="Kyun Pin Thar Baptist Church"/>
    <m/>
    <m/>
    <m/>
    <n v="47"/>
    <n v="28"/>
    <n v="47"/>
    <n v="28"/>
    <n v="28"/>
    <n v="28"/>
    <n v="28"/>
    <m/>
    <m/>
    <m/>
    <m/>
    <m/>
    <m/>
    <m/>
    <n v="0"/>
    <n v="0"/>
    <n v="0"/>
    <n v="0"/>
    <n v="0"/>
    <n v="0"/>
    <n v="0"/>
    <n v="0"/>
    <n v="0"/>
    <n v="0"/>
    <n v="0"/>
    <n v="0"/>
    <n v="0"/>
    <n v="0"/>
    <n v="0"/>
    <n v="0"/>
    <n v="0"/>
    <n v="0"/>
    <s v="MMR001CMP013"/>
    <x v="0"/>
    <x v="0"/>
    <s v="P4"/>
    <n v="6.8444596543547874E-4"/>
    <s v="No"/>
  </r>
  <r>
    <n v="66.5"/>
    <d v="2011-11-14T00:00:00"/>
    <x v="0"/>
    <s v="KBC"/>
    <s v="Kachin"/>
    <s v="Myitkyina"/>
    <s v="Le Kone Bethlehem Church"/>
    <m/>
    <m/>
    <m/>
    <n v="52"/>
    <n v="25"/>
    <n v="52"/>
    <n v="25"/>
    <n v="25"/>
    <n v="25"/>
    <n v="25"/>
    <m/>
    <m/>
    <m/>
    <m/>
    <m/>
    <m/>
    <m/>
    <n v="0"/>
    <n v="0"/>
    <n v="0"/>
    <n v="0"/>
    <n v="0"/>
    <n v="0"/>
    <n v="0"/>
    <n v="0"/>
    <n v="0"/>
    <n v="0"/>
    <n v="0"/>
    <n v="0"/>
    <n v="0"/>
    <n v="0"/>
    <n v="0"/>
    <n v="0"/>
    <n v="0"/>
    <n v="0"/>
    <s v="MMR001CMP015"/>
    <x v="0"/>
    <x v="0"/>
    <s v="P4"/>
    <n v="6.1571805039036529E-4"/>
    <s v="No"/>
  </r>
  <r>
    <n v="66.5"/>
    <d v="2011-11-14T00:00:00"/>
    <x v="0"/>
    <s v="KBC"/>
    <s v="Kachin"/>
    <s v="Myitkyina"/>
    <s v="Maliyang Baptist Church"/>
    <m/>
    <m/>
    <m/>
    <n v="57"/>
    <n v="30"/>
    <n v="57"/>
    <n v="30"/>
    <n v="30"/>
    <n v="30"/>
    <n v="30"/>
    <m/>
    <m/>
    <m/>
    <m/>
    <m/>
    <m/>
    <m/>
    <n v="0"/>
    <n v="0"/>
    <n v="0"/>
    <n v="0"/>
    <n v="0"/>
    <n v="0"/>
    <n v="0"/>
    <n v="0"/>
    <n v="0"/>
    <n v="0"/>
    <n v="0"/>
    <n v="0"/>
    <n v="0"/>
    <n v="0"/>
    <n v="0"/>
    <n v="0"/>
    <n v="0"/>
    <n v="0"/>
    <s v="MMR001CMP016"/>
    <x v="0"/>
    <x v="0"/>
    <s v="P4"/>
    <n v="7.3608793797232315E-4"/>
    <s v="No"/>
  </r>
  <r>
    <n v="66.466666666666669"/>
    <d v="2011-11-15T00:00:00"/>
    <x v="0"/>
    <s v="KBC"/>
    <s v="Kachin"/>
    <s v="Myitkyina"/>
    <s v="Tat Kone San Pya Baptist Church"/>
    <m/>
    <m/>
    <m/>
    <n v="30"/>
    <n v="17"/>
    <n v="30"/>
    <n v="17"/>
    <n v="17"/>
    <n v="17"/>
    <n v="17"/>
    <m/>
    <m/>
    <m/>
    <m/>
    <m/>
    <m/>
    <m/>
    <n v="0"/>
    <n v="0"/>
    <n v="0"/>
    <n v="0"/>
    <n v="0"/>
    <n v="0"/>
    <n v="0"/>
    <n v="0"/>
    <n v="0"/>
    <n v="0"/>
    <n v="0"/>
    <n v="0"/>
    <n v="0"/>
    <n v="0"/>
    <n v="0"/>
    <n v="0"/>
    <n v="0"/>
    <n v="0"/>
    <s v="MMR001CMP005"/>
    <x v="0"/>
    <x v="0"/>
    <s v="P4"/>
    <n v="4.1649312786339027E-4"/>
    <s v="No"/>
  </r>
  <r>
    <n v="66.433333333333337"/>
    <d v="2011-11-16T00:00:00"/>
    <x v="0"/>
    <s v="KBC"/>
    <s v="Kachin"/>
    <s v="Myitkyina"/>
    <s v="Njang Dung Baptist Church "/>
    <m/>
    <m/>
    <m/>
    <n v="92"/>
    <n v="53"/>
    <n v="92"/>
    <n v="53"/>
    <n v="53"/>
    <n v="53"/>
    <n v="53"/>
    <m/>
    <m/>
    <m/>
    <m/>
    <m/>
    <m/>
    <m/>
    <n v="0"/>
    <n v="0"/>
    <n v="0"/>
    <n v="0"/>
    <n v="0"/>
    <n v="0"/>
    <n v="0"/>
    <n v="0"/>
    <n v="0"/>
    <n v="0"/>
    <n v="0"/>
    <n v="0"/>
    <n v="0"/>
    <n v="0"/>
    <n v="0"/>
    <n v="0"/>
    <n v="0"/>
    <n v="0"/>
    <s v="MMR001CMP002"/>
    <x v="0"/>
    <x v="0"/>
    <s v="P4"/>
    <n v="1.3023712986853422E-3"/>
    <s v="No"/>
  </r>
  <r>
    <n v="66.433333333333337"/>
    <d v="2011-11-16T00:00:00"/>
    <x v="0"/>
    <s v="KBC"/>
    <s v="Kachin"/>
    <s v="Myitkyina"/>
    <s v="Shwe Zet Baptist Church"/>
    <m/>
    <m/>
    <m/>
    <n v="63"/>
    <n v="30"/>
    <n v="63"/>
    <n v="30"/>
    <n v="30"/>
    <n v="30"/>
    <n v="30"/>
    <m/>
    <m/>
    <m/>
    <m/>
    <m/>
    <m/>
    <m/>
    <n v="0"/>
    <n v="0"/>
    <n v="0"/>
    <n v="0"/>
    <n v="0"/>
    <n v="0"/>
    <n v="0"/>
    <n v="0"/>
    <n v="0"/>
    <n v="0"/>
    <n v="0"/>
    <n v="0"/>
    <n v="0"/>
    <n v="0"/>
    <n v="0"/>
    <n v="0"/>
    <n v="0"/>
    <n v="0"/>
    <s v="MMR001CMP009"/>
    <x v="0"/>
    <x v="0"/>
    <s v="P4"/>
    <n v="7.3664825046040514E-4"/>
    <s v="No"/>
  </r>
  <r>
    <n v="66.433333333333337"/>
    <d v="2011-11-16T00:00:00"/>
    <x v="0"/>
    <s v="KBC"/>
    <s v="Kachin"/>
    <s v="Myitkyina"/>
    <s v="Tat Kone Galile Baptist Church"/>
    <m/>
    <m/>
    <m/>
    <n v="53"/>
    <n v="31"/>
    <n v="53"/>
    <n v="31"/>
    <n v="31"/>
    <n v="31"/>
    <n v="31"/>
    <m/>
    <m/>
    <m/>
    <m/>
    <m/>
    <m/>
    <m/>
    <n v="0"/>
    <n v="0"/>
    <n v="0"/>
    <n v="0"/>
    <n v="0"/>
    <n v="0"/>
    <n v="0"/>
    <n v="0"/>
    <n v="0"/>
    <n v="0"/>
    <n v="0"/>
    <n v="0"/>
    <n v="0"/>
    <n v="0"/>
    <n v="0"/>
    <n v="0"/>
    <n v="0"/>
    <n v="0"/>
    <s v="MMR001CMP003"/>
    <x v="0"/>
    <x v="0"/>
    <s v="P4"/>
    <n v="7.6120319214241863E-4"/>
    <s v="No"/>
  </r>
  <r>
    <n v="66.36666666666666"/>
    <d v="2011-11-18T00:00:00"/>
    <x v="0"/>
    <s v="UNHCR"/>
    <s v="Kachin"/>
    <s v="Myitkyina"/>
    <s v="Wun Tho Buddhist Monastery"/>
    <m/>
    <m/>
    <m/>
    <n v="175"/>
    <n v="0"/>
    <n v="175"/>
    <n v="0"/>
    <n v="0"/>
    <m/>
    <m/>
    <m/>
    <m/>
    <m/>
    <m/>
    <m/>
    <m/>
    <m/>
    <n v="0"/>
    <n v="0"/>
    <n v="0"/>
    <n v="0"/>
    <n v="0"/>
    <n v="0"/>
    <n v="0"/>
    <n v="0"/>
    <n v="0"/>
    <n v="0"/>
    <n v="0"/>
    <n v="0"/>
    <n v="0"/>
    <n v="0"/>
    <n v="0"/>
    <n v="0"/>
    <n v="0"/>
    <n v="0"/>
    <s v="MMR001CMP022"/>
    <x v="0"/>
    <x v="0"/>
    <s v="P4"/>
    <n v="0"/>
    <s v="No"/>
  </r>
  <r>
    <n v="66.36666666666666"/>
    <d v="2011-11-18T00:00:00"/>
    <x v="0"/>
    <s v="UNHCR"/>
    <s v="Kachin"/>
    <s v="Myitkyina"/>
    <s v="Bomb Blast Victims"/>
    <m/>
    <m/>
    <m/>
    <n v="24"/>
    <n v="3"/>
    <n v="24"/>
    <n v="3"/>
    <n v="3"/>
    <n v="3"/>
    <n v="3"/>
    <m/>
    <m/>
    <m/>
    <m/>
    <m/>
    <m/>
    <m/>
    <n v="0"/>
    <n v="0"/>
    <n v="0"/>
    <n v="0"/>
    <n v="0"/>
    <n v="0"/>
    <n v="0"/>
    <n v="0"/>
    <n v="0"/>
    <n v="0"/>
    <n v="0"/>
    <n v="0"/>
    <n v="0"/>
    <n v="0"/>
    <n v="0"/>
    <n v="0"/>
    <n v="0"/>
    <n v="0"/>
    <s v=""/>
    <x v="1"/>
    <x v="2"/>
    <s v=""/>
    <s v=""/>
    <s v="No"/>
  </r>
  <r>
    <n v="65.833333333333329"/>
    <d v="2011-12-04T00:00:00"/>
    <x v="0"/>
    <s v="KBC"/>
    <s v="Kachin"/>
    <s v="Myitkyina"/>
    <s v="Shwe Zet Baptist Church"/>
    <m/>
    <m/>
    <m/>
    <n v="52"/>
    <n v="27"/>
    <n v="52"/>
    <n v="27"/>
    <n v="27"/>
    <n v="27"/>
    <n v="27"/>
    <m/>
    <m/>
    <m/>
    <m/>
    <m/>
    <m/>
    <m/>
    <n v="0"/>
    <n v="0"/>
    <n v="0"/>
    <n v="0"/>
    <n v="0"/>
    <n v="0"/>
    <n v="0"/>
    <n v="0"/>
    <n v="0"/>
    <n v="0"/>
    <n v="0"/>
    <n v="0"/>
    <n v="0"/>
    <n v="0"/>
    <n v="0"/>
    <n v="0"/>
    <n v="0"/>
    <n v="0"/>
    <s v="MMR001CMP009"/>
    <x v="0"/>
    <x v="0"/>
    <s v="P4"/>
    <n v="6.6298342541436467E-4"/>
    <s v="No"/>
  </r>
  <r>
    <n v="65.8"/>
    <d v="2011-12-05T00:00:00"/>
    <x v="0"/>
    <s v="KMSS"/>
    <s v="Kachin"/>
    <s v="Myitkyina"/>
    <s v="Jan Mai Kawng Baptist Church"/>
    <m/>
    <m/>
    <m/>
    <n v="80"/>
    <n v="45"/>
    <n v="80"/>
    <n v="45"/>
    <n v="45"/>
    <n v="45"/>
    <n v="45"/>
    <m/>
    <m/>
    <m/>
    <m/>
    <m/>
    <m/>
    <m/>
    <n v="0"/>
    <n v="0"/>
    <n v="0"/>
    <n v="0"/>
    <n v="0"/>
    <n v="0"/>
    <n v="0"/>
    <n v="0"/>
    <n v="0"/>
    <n v="0"/>
    <n v="0"/>
    <n v="0"/>
    <n v="0"/>
    <n v="0"/>
    <n v="0"/>
    <n v="0"/>
    <n v="0"/>
    <n v="0"/>
    <s v="MMR001CMP018"/>
    <x v="0"/>
    <x v="0"/>
    <s v="P4"/>
    <n v="1.1049723756906078E-3"/>
    <s v="No"/>
  </r>
  <r>
    <n v="65.666666666666671"/>
    <d v="2011-12-09T00:00:00"/>
    <x v="0"/>
    <s v="KBC"/>
    <s v="Kachin"/>
    <s v="Myitkyina"/>
    <s v="Le Kone Bethlehem Church"/>
    <m/>
    <m/>
    <m/>
    <n v="13"/>
    <n v="6"/>
    <n v="13"/>
    <n v="6"/>
    <n v="6"/>
    <n v="6"/>
    <n v="6"/>
    <m/>
    <m/>
    <m/>
    <m/>
    <m/>
    <m/>
    <m/>
    <n v="0"/>
    <n v="0"/>
    <n v="0"/>
    <n v="0"/>
    <n v="0"/>
    <n v="0"/>
    <n v="0"/>
    <n v="0"/>
    <n v="0"/>
    <n v="0"/>
    <n v="0"/>
    <n v="0"/>
    <n v="0"/>
    <n v="0"/>
    <n v="0"/>
    <n v="0"/>
    <n v="0"/>
    <n v="0"/>
    <s v="MMR001CMP015"/>
    <x v="0"/>
    <x v="0"/>
    <s v="P4"/>
    <n v="1.4777233209368765E-4"/>
    <s v="No"/>
  </r>
  <r>
    <n v="65.599999999999994"/>
    <d v="2011-12-11T00:00:00"/>
    <x v="0"/>
    <s v="KBC"/>
    <s v="Kachin"/>
    <s v="Myitkyina"/>
    <s v="Man Hkring Baptist Church"/>
    <m/>
    <m/>
    <m/>
    <n v="6"/>
    <n v="4"/>
    <n v="6"/>
    <n v="4"/>
    <n v="4"/>
    <n v="4"/>
    <n v="4"/>
    <m/>
    <m/>
    <m/>
    <m/>
    <m/>
    <m/>
    <m/>
    <n v="0"/>
    <n v="0"/>
    <n v="0"/>
    <n v="0"/>
    <n v="0"/>
    <n v="0"/>
    <n v="0"/>
    <n v="0"/>
    <n v="0"/>
    <n v="0"/>
    <n v="0"/>
    <n v="0"/>
    <n v="0"/>
    <n v="0"/>
    <n v="0"/>
    <n v="0"/>
    <n v="0"/>
    <n v="0"/>
    <s v="MMR001CMP008"/>
    <x v="0"/>
    <x v="0"/>
    <s v="P4"/>
    <n v="9.8219766728054015E-5"/>
    <s v="No"/>
  </r>
  <r>
    <n v="65.599999999999994"/>
    <d v="2011-12-11T00:00:00"/>
    <x v="0"/>
    <s v="KBC"/>
    <s v="Kachin"/>
    <s v="Myitkyina"/>
    <s v="Shatapru Sut Ngai Tawng"/>
    <m/>
    <m/>
    <m/>
    <n v="2"/>
    <n v="2"/>
    <n v="2"/>
    <n v="2"/>
    <n v="2"/>
    <n v="2"/>
    <n v="2"/>
    <m/>
    <m/>
    <m/>
    <m/>
    <m/>
    <m/>
    <m/>
    <n v="0"/>
    <n v="0"/>
    <n v="0"/>
    <n v="0"/>
    <n v="0"/>
    <n v="0"/>
    <n v="0"/>
    <n v="0"/>
    <n v="0"/>
    <n v="0"/>
    <n v="0"/>
    <n v="0"/>
    <n v="0"/>
    <n v="0"/>
    <n v="0"/>
    <n v="0"/>
    <n v="0"/>
    <n v="0"/>
    <s v="MMR001CMP006"/>
    <x v="0"/>
    <x v="0"/>
    <s v="P4"/>
    <n v="4.9072529198154875E-5"/>
    <s v="No"/>
  </r>
  <r>
    <n v="65.599999999999994"/>
    <d v="2011-12-11T00:00:00"/>
    <x v="0"/>
    <s v="KBC"/>
    <s v="Kachin"/>
    <s v="Myitkyina"/>
    <s v="Tat Kone San Pya Baptist Church"/>
    <m/>
    <m/>
    <m/>
    <n v="3"/>
    <n v="2"/>
    <n v="3"/>
    <n v="2"/>
    <n v="2"/>
    <n v="2"/>
    <n v="2"/>
    <m/>
    <m/>
    <m/>
    <m/>
    <m/>
    <m/>
    <m/>
    <n v="0"/>
    <n v="0"/>
    <n v="0"/>
    <n v="0"/>
    <n v="0"/>
    <n v="0"/>
    <n v="0"/>
    <n v="0"/>
    <n v="0"/>
    <n v="0"/>
    <n v="0"/>
    <n v="0"/>
    <n v="0"/>
    <n v="0"/>
    <n v="0"/>
    <n v="0"/>
    <n v="0"/>
    <n v="0"/>
    <s v="MMR001CMP005"/>
    <x v="0"/>
    <x v="0"/>
    <s v="P4"/>
    <n v="4.8999191513340027E-5"/>
    <s v="No"/>
  </r>
  <r>
    <n v="65.599999999999994"/>
    <d v="2011-12-11T00:00:00"/>
    <x v="0"/>
    <s v="Shan Community"/>
    <s v="Kachin"/>
    <s v="Myitkyina"/>
    <s v="Shan Ywar Monestary Camp"/>
    <m/>
    <m/>
    <m/>
    <n v="88"/>
    <n v="49"/>
    <n v="88"/>
    <n v="49"/>
    <n v="49"/>
    <n v="49"/>
    <n v="49"/>
    <m/>
    <m/>
    <m/>
    <m/>
    <m/>
    <m/>
    <m/>
    <n v="0"/>
    <n v="0"/>
    <n v="0"/>
    <n v="0"/>
    <n v="0"/>
    <n v="0"/>
    <n v="0"/>
    <n v="0"/>
    <n v="0"/>
    <n v="0"/>
    <n v="0"/>
    <n v="0"/>
    <n v="0"/>
    <n v="0"/>
    <n v="0"/>
    <n v="0"/>
    <n v="0"/>
    <n v="0"/>
    <s v=""/>
    <x v="1"/>
    <x v="2"/>
    <s v=""/>
    <s v=""/>
    <s v="No"/>
  </r>
  <r>
    <n v="65.533333333333331"/>
    <d v="2011-12-13T00:00:00"/>
    <x v="0"/>
    <s v="IRRC"/>
    <s v="Kachin"/>
    <s v="Momauk"/>
    <s v="Hpun Lum Yang "/>
    <m/>
    <m/>
    <m/>
    <n v="250"/>
    <n v="125"/>
    <n v="250"/>
    <n v="125"/>
    <n v="125"/>
    <n v="125"/>
    <n v="125"/>
    <m/>
    <m/>
    <m/>
    <m/>
    <m/>
    <m/>
    <m/>
    <n v="0"/>
    <n v="0"/>
    <n v="0"/>
    <n v="0"/>
    <n v="0"/>
    <n v="0"/>
    <n v="0"/>
    <n v="0"/>
    <n v="0"/>
    <n v="0"/>
    <n v="0"/>
    <n v="0"/>
    <n v="0"/>
    <n v="0"/>
    <n v="0"/>
    <n v="0"/>
    <n v="0"/>
    <n v="0"/>
    <s v="MMR001CMP122"/>
    <x v="0"/>
    <x v="0"/>
    <s v="P2"/>
    <n v="3.0716304214276936E-3"/>
    <s v="No"/>
  </r>
  <r>
    <n v="65.533333333333331"/>
    <d v="2011-12-13T00:00:00"/>
    <x v="0"/>
    <s v="IRRC"/>
    <s v="Kachin"/>
    <s v="Momauk"/>
    <s v="Je Yang Hka "/>
    <m/>
    <m/>
    <m/>
    <n v="250"/>
    <n v="125"/>
    <n v="250"/>
    <n v="125"/>
    <n v="125"/>
    <n v="125"/>
    <n v="125"/>
    <m/>
    <m/>
    <m/>
    <m/>
    <m/>
    <m/>
    <m/>
    <n v="0"/>
    <n v="0"/>
    <n v="0"/>
    <n v="0"/>
    <n v="0"/>
    <n v="0"/>
    <n v="0"/>
    <n v="0"/>
    <n v="0"/>
    <n v="0"/>
    <n v="0"/>
    <n v="0"/>
    <n v="0"/>
    <n v="0"/>
    <n v="0"/>
    <n v="0"/>
    <n v="0"/>
    <n v="0"/>
    <s v="MMR001CMP121"/>
    <x v="0"/>
    <x v="0"/>
    <s v="P2"/>
    <n v="3.0442512359660019E-3"/>
    <s v="No"/>
  </r>
  <r>
    <n v="65.533333333333331"/>
    <d v="2011-12-13T00:00:00"/>
    <x v="0"/>
    <s v="IRRC"/>
    <s v="Kachin"/>
    <s v="Waingmaw"/>
    <s v="Maga Yang "/>
    <m/>
    <m/>
    <m/>
    <n v="250"/>
    <n v="125"/>
    <n v="250"/>
    <n v="125"/>
    <n v="125"/>
    <n v="125"/>
    <n v="125"/>
    <m/>
    <m/>
    <m/>
    <m/>
    <m/>
    <m/>
    <m/>
    <n v="0"/>
    <n v="0"/>
    <n v="0"/>
    <n v="0"/>
    <n v="0"/>
    <n v="0"/>
    <n v="0"/>
    <n v="0"/>
    <n v="0"/>
    <n v="0"/>
    <n v="0"/>
    <n v="0"/>
    <n v="0"/>
    <n v="0"/>
    <n v="0"/>
    <n v="0"/>
    <n v="0"/>
    <n v="0"/>
    <s v="MMR001CMP119"/>
    <x v="0"/>
    <x v="0"/>
    <s v="P2"/>
    <n v="3.0716304214276936E-3"/>
    <s v="No"/>
  </r>
  <r>
    <n v="65.533333333333331"/>
    <d v="2011-12-13T00:00:00"/>
    <x v="0"/>
    <s v="IRRC"/>
    <s v="Kachin"/>
    <s v="Waingmaw"/>
    <s v="Zai Awng - Mung Ga Zup"/>
    <m/>
    <m/>
    <m/>
    <n v="250"/>
    <n v="125"/>
    <n v="250"/>
    <n v="125"/>
    <n v="125"/>
    <n v="125"/>
    <n v="125"/>
    <m/>
    <m/>
    <m/>
    <m/>
    <m/>
    <m/>
    <m/>
    <n v="0"/>
    <n v="0"/>
    <n v="0"/>
    <n v="0"/>
    <n v="0"/>
    <n v="0"/>
    <n v="0"/>
    <n v="0"/>
    <n v="0"/>
    <n v="0"/>
    <n v="0"/>
    <n v="0"/>
    <n v="0"/>
    <n v="0"/>
    <n v="0"/>
    <n v="0"/>
    <n v="0"/>
    <n v="0"/>
    <s v="MMR001CMP111"/>
    <x v="0"/>
    <x v="1"/>
    <s v="P2"/>
    <n v="3.0601253427340385E-3"/>
    <s v="No"/>
  </r>
  <r>
    <n v="65.233333333333334"/>
    <d v="2011-12-22T00:00:00"/>
    <x v="0"/>
    <s v="UNHCR"/>
    <s v="Kachin"/>
    <s v="Waingmaw"/>
    <s v="Qtr. 2 Lhaovo Baptist Church"/>
    <m/>
    <m/>
    <m/>
    <n v="0"/>
    <n v="0"/>
    <n v="0"/>
    <n v="0"/>
    <n v="4"/>
    <n v="4"/>
    <n v="4"/>
    <m/>
    <m/>
    <m/>
    <m/>
    <m/>
    <m/>
    <m/>
    <n v="0"/>
    <n v="0"/>
    <n v="0"/>
    <n v="0"/>
    <n v="0"/>
    <n v="0"/>
    <n v="0"/>
    <n v="0"/>
    <n v="0"/>
    <n v="0"/>
    <n v="0"/>
    <n v="0"/>
    <n v="0"/>
    <n v="0"/>
    <n v="0"/>
    <n v="0"/>
    <n v="0"/>
    <n v="0"/>
    <s v="MMR001CMP032"/>
    <x v="0"/>
    <x v="0"/>
    <s v="P4"/>
    <n v="0"/>
    <s v="No"/>
  </r>
  <r>
    <n v="65.099999999999994"/>
    <d v="2011-12-26T00:00:00"/>
    <x v="0"/>
    <s v="KBC"/>
    <s v="Kachin"/>
    <s v="Waingmaw"/>
    <s v="Qtr. 2 Myoma Baptist Church"/>
    <m/>
    <m/>
    <m/>
    <n v="54"/>
    <n v="33"/>
    <n v="54"/>
    <n v="33"/>
    <n v="33"/>
    <n v="33"/>
    <n v="33"/>
    <m/>
    <m/>
    <m/>
    <m/>
    <m/>
    <m/>
    <m/>
    <n v="0"/>
    <n v="0"/>
    <n v="0"/>
    <n v="0"/>
    <n v="0"/>
    <n v="0"/>
    <n v="0"/>
    <n v="0"/>
    <n v="0"/>
    <n v="0"/>
    <n v="0"/>
    <n v="0"/>
    <n v="0"/>
    <n v="0"/>
    <n v="0"/>
    <n v="0"/>
    <n v="0"/>
    <n v="0"/>
    <s v="MMR001CMP025"/>
    <x v="0"/>
    <x v="0"/>
    <s v="P4"/>
    <n v="8.1091043125691112E-4"/>
    <s v="No"/>
  </r>
  <r>
    <n v="65.033333333333331"/>
    <d v="2011-12-28T00:00:00"/>
    <x v="0"/>
    <s v="Shan Community"/>
    <s v="Kachin"/>
    <s v="Waingmaw"/>
    <s v="Hkat Cho "/>
    <m/>
    <m/>
    <m/>
    <n v="31"/>
    <n v="19"/>
    <n v="31"/>
    <n v="19"/>
    <n v="19"/>
    <n v="19"/>
    <n v="19"/>
    <m/>
    <m/>
    <m/>
    <m/>
    <m/>
    <m/>
    <m/>
    <n v="0"/>
    <n v="0"/>
    <n v="0"/>
    <n v="0"/>
    <n v="0"/>
    <n v="0"/>
    <n v="0"/>
    <n v="0"/>
    <n v="0"/>
    <n v="0"/>
    <n v="0"/>
    <n v="0"/>
    <n v="0"/>
    <n v="0"/>
    <n v="0"/>
    <n v="0"/>
    <n v="0"/>
    <n v="0"/>
    <s v="MMR001CMP028"/>
    <x v="0"/>
    <x v="0"/>
    <s v="P4"/>
    <n v="4.6688782405700946E-4"/>
    <s v="No"/>
  </r>
  <r>
    <n v="64.966666666666669"/>
    <d v="2011-12-30T00:00:00"/>
    <x v="0"/>
    <s v="KBC"/>
    <s v="Kachin"/>
    <s v="Myitkyina"/>
    <s v="Jan Mai Kawng Baptist Church"/>
    <m/>
    <m/>
    <m/>
    <n v="56"/>
    <n v="29"/>
    <n v="56"/>
    <n v="29"/>
    <n v="29"/>
    <n v="29"/>
    <n v="29"/>
    <m/>
    <m/>
    <m/>
    <m/>
    <m/>
    <m/>
    <m/>
    <n v="0"/>
    <n v="0"/>
    <n v="0"/>
    <n v="0"/>
    <n v="0"/>
    <n v="0"/>
    <n v="0"/>
    <n v="0"/>
    <n v="0"/>
    <n v="0"/>
    <n v="0"/>
    <n v="0"/>
    <n v="0"/>
    <n v="0"/>
    <n v="0"/>
    <n v="0"/>
    <n v="0"/>
    <n v="0"/>
    <s v="MMR001CMP018"/>
    <x v="0"/>
    <x v="0"/>
    <s v="P4"/>
    <n v="7.1209330877839165E-4"/>
    <s v="No"/>
  </r>
  <r>
    <n v="64.933333333333337"/>
    <d v="2011-12-31T00:00:00"/>
    <x v="0"/>
    <s v="KMSS"/>
    <s v="Kachin"/>
    <s v="Waingmaw"/>
    <s v="Maina Catholic Church (St. Joseph)"/>
    <m/>
    <m/>
    <m/>
    <n v="46"/>
    <n v="27"/>
    <n v="47"/>
    <n v="27"/>
    <n v="27"/>
    <n v="27"/>
    <n v="27"/>
    <m/>
    <m/>
    <m/>
    <m/>
    <m/>
    <m/>
    <m/>
    <n v="0"/>
    <n v="0"/>
    <n v="0"/>
    <n v="0"/>
    <n v="0"/>
    <n v="0"/>
    <n v="0"/>
    <n v="0"/>
    <n v="0"/>
    <n v="0"/>
    <n v="0"/>
    <n v="0"/>
    <n v="0"/>
    <n v="0"/>
    <n v="0"/>
    <n v="0"/>
    <n v="0"/>
    <n v="0"/>
    <s v="MMR001CMP029"/>
    <x v="0"/>
    <x v="0"/>
    <s v="P4"/>
    <n v="6.5176459228503839E-4"/>
    <s v="No"/>
  </r>
  <r>
    <n v="64.833333333333329"/>
    <d v="2012-01-03T00:00:00"/>
    <x v="0"/>
    <s v="KMSS"/>
    <s v="Kachin"/>
    <s v="Myitkyina"/>
    <s v="Tat Kone Emanuel Church"/>
    <m/>
    <m/>
    <m/>
    <n v="0"/>
    <n v="0"/>
    <n v="0"/>
    <n v="0"/>
    <n v="8"/>
    <n v="8"/>
    <n v="8"/>
    <m/>
    <m/>
    <m/>
    <m/>
    <m/>
    <m/>
    <m/>
    <n v="0"/>
    <n v="0"/>
    <n v="0"/>
    <n v="0"/>
    <n v="0"/>
    <n v="0"/>
    <n v="0"/>
    <n v="0"/>
    <n v="0"/>
    <n v="0"/>
    <n v="0"/>
    <n v="0"/>
    <n v="0"/>
    <n v="0"/>
    <n v="0"/>
    <n v="0"/>
    <n v="0"/>
    <n v="0"/>
    <s v="MMR001CMP004"/>
    <x v="0"/>
    <x v="0"/>
    <s v="P4"/>
    <n v="0"/>
    <s v="No"/>
  </r>
  <r>
    <n v="64.766666666666666"/>
    <d v="2012-01-05T00:00:00"/>
    <x v="0"/>
    <s v="KBC"/>
    <s v="Kachin"/>
    <s v="Waingmaw"/>
    <s v="Maina Lawang Baptist Church"/>
    <m/>
    <m/>
    <m/>
    <n v="52"/>
    <n v="29"/>
    <n v="52"/>
    <n v="29"/>
    <n v="29"/>
    <n v="29"/>
    <n v="29"/>
    <m/>
    <m/>
    <m/>
    <m/>
    <m/>
    <m/>
    <m/>
    <n v="0"/>
    <n v="0"/>
    <n v="0"/>
    <n v="0"/>
    <n v="0"/>
    <n v="0"/>
    <n v="0"/>
    <n v="0"/>
    <n v="0"/>
    <n v="0"/>
    <n v="0"/>
    <n v="0"/>
    <n v="0"/>
    <n v="0"/>
    <n v="0"/>
    <n v="0"/>
    <n v="0"/>
    <n v="0"/>
    <s v="MMR001CMP039"/>
    <x v="0"/>
    <x v="0"/>
    <s v="P4"/>
    <n v="7.0942805421008858E-4"/>
    <s v="No"/>
  </r>
  <r>
    <n v="64.733333333333334"/>
    <d v="2012-01-06T00:00:00"/>
    <x v="0"/>
    <s v="KMSS"/>
    <s v="Kachin"/>
    <s v="Myitkyina"/>
    <s v="Jan Mai Kawng Catholic Church"/>
    <m/>
    <m/>
    <m/>
    <n v="0"/>
    <n v="0"/>
    <n v="0"/>
    <n v="0"/>
    <n v="9"/>
    <n v="9"/>
    <n v="9"/>
    <m/>
    <m/>
    <m/>
    <m/>
    <m/>
    <m/>
    <m/>
    <n v="0"/>
    <n v="0"/>
    <n v="0"/>
    <n v="0"/>
    <n v="0"/>
    <n v="0"/>
    <n v="0"/>
    <n v="0"/>
    <n v="0"/>
    <n v="0"/>
    <n v="0"/>
    <n v="0"/>
    <n v="0"/>
    <n v="0"/>
    <n v="0"/>
    <n v="0"/>
    <n v="0"/>
    <n v="0"/>
    <s v="MMR001CMP019"/>
    <x v="0"/>
    <x v="0"/>
    <s v="P4"/>
    <n v="0"/>
    <s v="No"/>
  </r>
  <r>
    <n v="64.733333333333334"/>
    <d v="2012-01-06T00:00:00"/>
    <x v="0"/>
    <s v="UNHCR"/>
    <s v="Kachin"/>
    <s v="Waingmaw"/>
    <s v="Thargaya Lisu Baptist Church"/>
    <m/>
    <m/>
    <m/>
    <n v="29"/>
    <n v="0"/>
    <n v="29"/>
    <n v="15"/>
    <n v="15"/>
    <n v="15"/>
    <n v="15"/>
    <m/>
    <m/>
    <m/>
    <m/>
    <m/>
    <m/>
    <m/>
    <n v="0"/>
    <n v="0"/>
    <n v="0"/>
    <n v="0"/>
    <n v="0"/>
    <n v="0"/>
    <n v="0"/>
    <n v="0"/>
    <n v="0"/>
    <n v="0"/>
    <n v="0"/>
    <n v="0"/>
    <n v="0"/>
    <n v="0"/>
    <n v="0"/>
    <n v="0"/>
    <n v="0"/>
    <n v="0"/>
    <s v="MMR001CMP037"/>
    <x v="0"/>
    <x v="0"/>
    <s v="P4"/>
    <n v="3.6721504112808461E-4"/>
    <s v="No"/>
  </r>
  <r>
    <n v="64.733333333333334"/>
    <d v="2012-01-06T00:00:00"/>
    <x v="0"/>
    <s v="UNHCR"/>
    <s v="Kachin"/>
    <s v="Waingmaw"/>
    <s v="Thargaya Lisu Baptist Church"/>
    <m/>
    <m/>
    <m/>
    <n v="59"/>
    <n v="30"/>
    <n v="59"/>
    <n v="30"/>
    <n v="30"/>
    <n v="30"/>
    <n v="30"/>
    <m/>
    <m/>
    <m/>
    <m/>
    <m/>
    <m/>
    <m/>
    <n v="0"/>
    <n v="0"/>
    <n v="0"/>
    <n v="0"/>
    <n v="0"/>
    <n v="0"/>
    <n v="0"/>
    <n v="0"/>
    <n v="0"/>
    <n v="0"/>
    <n v="0"/>
    <n v="0"/>
    <n v="0"/>
    <n v="0"/>
    <n v="0"/>
    <n v="0"/>
    <n v="0"/>
    <n v="0"/>
    <s v="MMR001CMP037"/>
    <x v="0"/>
    <x v="0"/>
    <s v="P4"/>
    <n v="7.3443008225616922E-4"/>
    <s v="No"/>
  </r>
  <r>
    <n v="64.733333333333334"/>
    <d v="2012-01-06T00:00:00"/>
    <x v="0"/>
    <s v="UNHCR"/>
    <s v="Kachin"/>
    <s v="Waingmaw"/>
    <s v="Waingmaw AG Church"/>
    <m/>
    <m/>
    <m/>
    <n v="29"/>
    <n v="14"/>
    <n v="29"/>
    <n v="14"/>
    <n v="14"/>
    <n v="14"/>
    <n v="14"/>
    <m/>
    <m/>
    <m/>
    <m/>
    <m/>
    <m/>
    <m/>
    <n v="0"/>
    <n v="0"/>
    <n v="0"/>
    <n v="0"/>
    <n v="0"/>
    <n v="0"/>
    <n v="0"/>
    <n v="0"/>
    <n v="0"/>
    <n v="0"/>
    <n v="0"/>
    <n v="0"/>
    <n v="0"/>
    <n v="0"/>
    <n v="0"/>
    <n v="0"/>
    <n v="0"/>
    <n v="0"/>
    <s v="MMR001CMP038"/>
    <x v="0"/>
    <x v="0"/>
    <s v="P4"/>
    <n v="3.4273403838621232E-4"/>
    <s v="No"/>
  </r>
  <r>
    <n v="64.7"/>
    <d v="2012-01-07T00:00:00"/>
    <x v="0"/>
    <s v="KMSS"/>
    <s v="Kachin"/>
    <s v="Myitkyina"/>
    <s v="Jan Mai Kawng Baptist Church"/>
    <m/>
    <m/>
    <m/>
    <n v="32"/>
    <n v="16"/>
    <n v="32"/>
    <n v="16"/>
    <n v="16"/>
    <n v="16"/>
    <n v="16"/>
    <m/>
    <m/>
    <m/>
    <m/>
    <m/>
    <m/>
    <m/>
    <n v="0"/>
    <n v="0"/>
    <n v="0"/>
    <n v="0"/>
    <n v="0"/>
    <n v="0"/>
    <n v="0"/>
    <n v="0"/>
    <n v="0"/>
    <n v="0"/>
    <n v="0"/>
    <n v="0"/>
    <n v="0"/>
    <n v="0"/>
    <n v="0"/>
    <n v="0"/>
    <n v="0"/>
    <n v="0"/>
    <s v="MMR001CMP018"/>
    <x v="0"/>
    <x v="0"/>
    <s v="P4"/>
    <n v="3.9287906691221606E-4"/>
    <s v="No"/>
  </r>
  <r>
    <n v="64.7"/>
    <d v="2012-01-07T00:00:00"/>
    <x v="0"/>
    <s v="KMSS"/>
    <s v="Kachin"/>
    <s v="Waingmaw"/>
    <s v="Maina Catholic Church (St. Joseph)"/>
    <m/>
    <m/>
    <m/>
    <n v="50"/>
    <n v="25"/>
    <n v="50"/>
    <n v="25"/>
    <n v="27"/>
    <n v="27"/>
    <n v="27"/>
    <m/>
    <m/>
    <m/>
    <m/>
    <m/>
    <m/>
    <m/>
    <n v="0"/>
    <n v="0"/>
    <n v="0"/>
    <n v="0"/>
    <n v="0"/>
    <n v="0"/>
    <n v="0"/>
    <n v="0"/>
    <n v="0"/>
    <n v="0"/>
    <n v="0"/>
    <n v="0"/>
    <n v="0"/>
    <n v="0"/>
    <n v="0"/>
    <n v="0"/>
    <n v="0"/>
    <n v="0"/>
    <s v="MMR001CMP029"/>
    <x v="0"/>
    <x v="0"/>
    <s v="P4"/>
    <n v="6.0348573359725777E-4"/>
    <s v="No"/>
  </r>
  <r>
    <n v="64.566666666666663"/>
    <d v="2012-01-11T00:00:00"/>
    <x v="0"/>
    <s v="KBC"/>
    <s v="Kachin"/>
    <s v="Waingmaw"/>
    <s v="Shing Jai"/>
    <m/>
    <m/>
    <m/>
    <n v="536"/>
    <n v="268"/>
    <n v="536"/>
    <n v="268"/>
    <n v="268"/>
    <n v="268"/>
    <n v="268"/>
    <m/>
    <m/>
    <m/>
    <m/>
    <m/>
    <m/>
    <m/>
    <n v="0"/>
    <n v="0"/>
    <n v="0"/>
    <n v="0"/>
    <n v="0"/>
    <n v="0"/>
    <n v="0"/>
    <n v="0"/>
    <n v="0"/>
    <n v="0"/>
    <n v="0"/>
    <n v="0"/>
    <n v="0"/>
    <n v="0"/>
    <n v="0"/>
    <n v="0"/>
    <n v="0"/>
    <n v="0"/>
    <s v="MMR001CMP041"/>
    <x v="0"/>
    <x v="0"/>
    <s v="P1"/>
    <n v="6.5609087348217779E-3"/>
    <s v="No"/>
  </r>
  <r>
    <n v="64.5"/>
    <d v="2012-01-13T00:00:00"/>
    <x v="0"/>
    <s v="KBC"/>
    <s v="Kachin"/>
    <s v="Hpakant"/>
    <s v="5 Ward Baptist Church(lon Khin)"/>
    <m/>
    <m/>
    <m/>
    <n v="52"/>
    <n v="26"/>
    <n v="36"/>
    <n v="0"/>
    <n v="26"/>
    <n v="26"/>
    <n v="26"/>
    <m/>
    <m/>
    <m/>
    <m/>
    <m/>
    <m/>
    <m/>
    <n v="0"/>
    <n v="0"/>
    <n v="0"/>
    <n v="0"/>
    <n v="0"/>
    <n v="0"/>
    <n v="0"/>
    <n v="0"/>
    <n v="0"/>
    <n v="0"/>
    <n v="0"/>
    <n v="0"/>
    <n v="0"/>
    <n v="0"/>
    <n v="0"/>
    <n v="0"/>
    <n v="0"/>
    <n v="0"/>
    <s v="MMR001CMP179"/>
    <x v="0"/>
    <x v="1"/>
    <s v="P4"/>
    <n v="0"/>
    <s v="No"/>
  </r>
  <r>
    <n v="64.5"/>
    <d v="2012-01-13T00:00:00"/>
    <x v="0"/>
    <s v="KBC"/>
    <s v="Kachin"/>
    <s v="Hpakant"/>
    <s v="5 Ward Baptist Church(lon Khin)"/>
    <m/>
    <m/>
    <m/>
    <n v="120"/>
    <n v="60"/>
    <n v="60"/>
    <n v="0"/>
    <n v="60"/>
    <n v="60"/>
    <n v="60"/>
    <m/>
    <m/>
    <m/>
    <m/>
    <m/>
    <m/>
    <m/>
    <n v="0"/>
    <n v="0"/>
    <n v="0"/>
    <n v="0"/>
    <n v="0"/>
    <n v="0"/>
    <n v="0"/>
    <n v="0"/>
    <n v="0"/>
    <n v="0"/>
    <n v="0"/>
    <n v="0"/>
    <n v="0"/>
    <n v="0"/>
    <n v="0"/>
    <n v="0"/>
    <n v="0"/>
    <n v="0"/>
    <s v="MMR001CMP179"/>
    <x v="0"/>
    <x v="1"/>
    <s v="P4"/>
    <n v="0"/>
    <s v="No"/>
  </r>
  <r>
    <n v="64.5"/>
    <d v="2012-01-13T00:00:00"/>
    <x v="0"/>
    <s v="KBC"/>
    <s v="Kachin"/>
    <s v="Hpakant"/>
    <s v="5 Ward Baptist Church(lon Khin)"/>
    <m/>
    <m/>
    <m/>
    <n v="148"/>
    <n v="74"/>
    <n v="74"/>
    <n v="0"/>
    <n v="74"/>
    <n v="74"/>
    <n v="74"/>
    <m/>
    <m/>
    <m/>
    <m/>
    <m/>
    <m/>
    <m/>
    <n v="0"/>
    <n v="0"/>
    <n v="0"/>
    <n v="0"/>
    <n v="0"/>
    <n v="0"/>
    <n v="0"/>
    <n v="0"/>
    <n v="0"/>
    <n v="0"/>
    <n v="0"/>
    <n v="0"/>
    <n v="0"/>
    <n v="0"/>
    <n v="0"/>
    <n v="0"/>
    <n v="0"/>
    <n v="0"/>
    <s v="MMR001CMP179"/>
    <x v="0"/>
    <x v="1"/>
    <s v="P4"/>
    <n v="0"/>
    <s v="No"/>
  </r>
  <r>
    <n v="64.5"/>
    <d v="2012-01-13T00:00:00"/>
    <x v="0"/>
    <s v="KBC"/>
    <s v="Kachin"/>
    <s v="Hpakant"/>
    <s v="Baptist Church, Hmaw Si Sar(Lon Khin)"/>
    <m/>
    <m/>
    <m/>
    <n v="70"/>
    <n v="35"/>
    <n v="35"/>
    <n v="0"/>
    <n v="35"/>
    <n v="35"/>
    <n v="35"/>
    <m/>
    <m/>
    <m/>
    <m/>
    <m/>
    <m/>
    <m/>
    <n v="0"/>
    <n v="0"/>
    <n v="0"/>
    <n v="0"/>
    <n v="0"/>
    <n v="0"/>
    <n v="0"/>
    <n v="0"/>
    <n v="0"/>
    <n v="0"/>
    <n v="0"/>
    <n v="0"/>
    <n v="0"/>
    <n v="0"/>
    <n v="0"/>
    <n v="0"/>
    <n v="0"/>
    <n v="0"/>
    <s v="MMR001CMP169"/>
    <x v="0"/>
    <x v="0"/>
    <s v="P4"/>
    <n v="0"/>
    <s v="No"/>
  </r>
  <r>
    <n v="64.5"/>
    <d v="2012-01-13T00:00:00"/>
    <x v="0"/>
    <s v="KBC"/>
    <s v="Kachin"/>
    <s v="Hpakant"/>
    <s v="Hlaing Naung Baptist"/>
    <m/>
    <m/>
    <m/>
    <n v="10"/>
    <n v="5"/>
    <n v="5"/>
    <n v="0"/>
    <n v="5"/>
    <n v="5"/>
    <n v="5"/>
    <m/>
    <m/>
    <m/>
    <m/>
    <m/>
    <m/>
    <m/>
    <n v="0"/>
    <n v="0"/>
    <n v="0"/>
    <n v="0"/>
    <n v="0"/>
    <n v="0"/>
    <n v="0"/>
    <n v="0"/>
    <n v="0"/>
    <n v="0"/>
    <n v="0"/>
    <n v="0"/>
    <n v="0"/>
    <n v="0"/>
    <n v="0"/>
    <n v="0"/>
    <n v="0"/>
    <n v="0"/>
    <s v="MMR001CMP148"/>
    <x v="0"/>
    <x v="0"/>
    <s v="P4"/>
    <n v="0"/>
    <s v="No"/>
  </r>
  <r>
    <n v="64.5"/>
    <d v="2012-01-13T00:00:00"/>
    <x v="0"/>
    <s v="UNHCR"/>
    <s v="Kachin"/>
    <s v="Waingmaw"/>
    <s v="Maina Lawang Baptist Church"/>
    <m/>
    <m/>
    <m/>
    <n v="35"/>
    <n v="17"/>
    <n v="35"/>
    <n v="17"/>
    <n v="17"/>
    <n v="17"/>
    <n v="17"/>
    <m/>
    <m/>
    <m/>
    <m/>
    <m/>
    <m/>
    <m/>
    <n v="0"/>
    <n v="0"/>
    <n v="0"/>
    <n v="0"/>
    <n v="0"/>
    <n v="0"/>
    <n v="0"/>
    <n v="0"/>
    <n v="0"/>
    <n v="0"/>
    <n v="0"/>
    <n v="0"/>
    <n v="0"/>
    <n v="0"/>
    <n v="0"/>
    <n v="0"/>
    <n v="0"/>
    <n v="0"/>
    <s v="MMR001CMP039"/>
    <x v="0"/>
    <x v="0"/>
    <s v="P4"/>
    <n v="4.158716179852243E-4"/>
    <s v="No"/>
  </r>
  <r>
    <n v="64.5"/>
    <d v="2012-01-13T00:00:00"/>
    <x v="0"/>
    <s v="KBC"/>
    <s v="Kachin"/>
    <m/>
    <s v="Kat Hmaw Zut Baptist Church"/>
    <m/>
    <m/>
    <m/>
    <n v="76"/>
    <n v="38"/>
    <n v="38"/>
    <n v="0"/>
    <n v="38"/>
    <n v="38"/>
    <n v="38"/>
    <m/>
    <m/>
    <m/>
    <m/>
    <m/>
    <m/>
    <m/>
    <n v="0"/>
    <n v="0"/>
    <n v="0"/>
    <n v="0"/>
    <n v="0"/>
    <n v="0"/>
    <n v="0"/>
    <n v="0"/>
    <n v="0"/>
    <n v="0"/>
    <n v="0"/>
    <n v="0"/>
    <n v="0"/>
    <n v="0"/>
    <n v="0"/>
    <n v="0"/>
    <n v="0"/>
    <n v="0"/>
    <s v=""/>
    <x v="1"/>
    <x v="2"/>
    <s v=""/>
    <s v=""/>
    <s v="No"/>
  </r>
  <r>
    <n v="64.5"/>
    <d v="2012-01-13T00:00:00"/>
    <x v="0"/>
    <s v="KBC"/>
    <s v="Kachin"/>
    <m/>
    <s v="Le Pyin - Kar Gyi Winn"/>
    <m/>
    <m/>
    <m/>
    <n v="18"/>
    <n v="9"/>
    <n v="9"/>
    <n v="0"/>
    <n v="9"/>
    <n v="9"/>
    <n v="9"/>
    <m/>
    <m/>
    <m/>
    <m/>
    <m/>
    <m/>
    <m/>
    <n v="0"/>
    <n v="0"/>
    <n v="0"/>
    <n v="0"/>
    <n v="0"/>
    <n v="0"/>
    <n v="0"/>
    <n v="0"/>
    <n v="0"/>
    <n v="0"/>
    <n v="0"/>
    <n v="0"/>
    <n v="0"/>
    <n v="0"/>
    <n v="0"/>
    <n v="0"/>
    <n v="0"/>
    <n v="0"/>
    <s v=""/>
    <x v="1"/>
    <x v="2"/>
    <s v=""/>
    <s v=""/>
    <s v="No"/>
  </r>
  <r>
    <n v="64.5"/>
    <d v="2012-01-13T00:00:00"/>
    <x v="0"/>
    <s v="KBC"/>
    <s v="Kachin"/>
    <m/>
    <s v="Le Pyin Christian Church"/>
    <m/>
    <m/>
    <m/>
    <n v="10"/>
    <n v="5"/>
    <n v="5"/>
    <n v="0"/>
    <n v="5"/>
    <n v="5"/>
    <n v="5"/>
    <m/>
    <m/>
    <m/>
    <m/>
    <m/>
    <m/>
    <m/>
    <n v="0"/>
    <n v="0"/>
    <n v="0"/>
    <n v="0"/>
    <n v="0"/>
    <n v="0"/>
    <n v="0"/>
    <n v="0"/>
    <n v="0"/>
    <n v="0"/>
    <n v="0"/>
    <n v="0"/>
    <n v="0"/>
    <n v="0"/>
    <n v="0"/>
    <n v="0"/>
    <n v="0"/>
    <n v="0"/>
    <s v=""/>
    <x v="1"/>
    <x v="2"/>
    <s v=""/>
    <s v=""/>
    <s v="No"/>
  </r>
  <r>
    <n v="64.5"/>
    <d v="2012-01-13T00:00:00"/>
    <x v="0"/>
    <s v="KBC"/>
    <s v="Kachin"/>
    <s v="Hpakant"/>
    <s v="Maw Si Zar, Thiriyardanar Sein, Damma Compound, Lone Khin"/>
    <m/>
    <m/>
    <m/>
    <n v="224"/>
    <n v="112"/>
    <n v="112"/>
    <n v="0"/>
    <n v="112"/>
    <n v="112"/>
    <n v="112"/>
    <m/>
    <m/>
    <m/>
    <m/>
    <m/>
    <m/>
    <m/>
    <n v="0"/>
    <n v="0"/>
    <n v="0"/>
    <n v="0"/>
    <n v="0"/>
    <n v="0"/>
    <n v="0"/>
    <n v="0"/>
    <n v="0"/>
    <n v="0"/>
    <n v="0"/>
    <n v="0"/>
    <n v="0"/>
    <n v="0"/>
    <n v="0"/>
    <n v="0"/>
    <n v="0"/>
    <n v="0"/>
    <s v="MMR001CMP106"/>
    <x v="0"/>
    <x v="1"/>
    <s v=""/>
    <s v=""/>
    <s v="No"/>
  </r>
  <r>
    <n v="64.5"/>
    <d v="2012-01-13T00:00:00"/>
    <x v="0"/>
    <s v="KBC"/>
    <s v="Kachin"/>
    <s v="Hpakant"/>
    <s v="Maw Wan, Kachin Baptist Church"/>
    <m/>
    <m/>
    <m/>
    <n v="34"/>
    <n v="17"/>
    <n v="17"/>
    <n v="0"/>
    <n v="17"/>
    <n v="17"/>
    <n v="17"/>
    <m/>
    <m/>
    <m/>
    <m/>
    <m/>
    <m/>
    <m/>
    <n v="0"/>
    <n v="0"/>
    <n v="0"/>
    <n v="0"/>
    <n v="0"/>
    <n v="0"/>
    <n v="0"/>
    <n v="0"/>
    <n v="0"/>
    <n v="0"/>
    <n v="0"/>
    <n v="0"/>
    <n v="0"/>
    <n v="0"/>
    <n v="0"/>
    <n v="0"/>
    <n v="0"/>
    <n v="0"/>
    <s v="MMR001CMP085"/>
    <x v="0"/>
    <x v="1"/>
    <s v=""/>
    <s v=""/>
    <s v="No"/>
  </r>
  <r>
    <n v="64.5"/>
    <d v="2012-01-13T00:00:00"/>
    <x v="0"/>
    <s v="KBC"/>
    <s v="Kachin"/>
    <m/>
    <s v="Nant Yar Baptist Church"/>
    <m/>
    <m/>
    <m/>
    <n v="126"/>
    <n v="63"/>
    <n v="63"/>
    <n v="0"/>
    <n v="63"/>
    <n v="63"/>
    <n v="63"/>
    <m/>
    <m/>
    <m/>
    <m/>
    <m/>
    <m/>
    <m/>
    <n v="0"/>
    <n v="0"/>
    <n v="0"/>
    <n v="0"/>
    <n v="0"/>
    <n v="0"/>
    <n v="0"/>
    <n v="0"/>
    <n v="0"/>
    <n v="0"/>
    <n v="0"/>
    <n v="0"/>
    <n v="0"/>
    <n v="0"/>
    <n v="0"/>
    <n v="0"/>
    <n v="0"/>
    <n v="0"/>
    <s v=""/>
    <x v="1"/>
    <x v="2"/>
    <s v=""/>
    <s v=""/>
    <s v="No"/>
  </r>
  <r>
    <n v="64.5"/>
    <d v="2012-01-13T00:00:00"/>
    <x v="0"/>
    <s v="KBC"/>
    <s v="Kachin"/>
    <s v="Hpakant"/>
    <s v="Nga Pyaw Taw Baptist Nursery School "/>
    <m/>
    <m/>
    <m/>
    <n v="112"/>
    <n v="56"/>
    <n v="56"/>
    <n v="0"/>
    <n v="56"/>
    <n v="56"/>
    <n v="56"/>
    <m/>
    <m/>
    <m/>
    <m/>
    <m/>
    <m/>
    <m/>
    <n v="0"/>
    <n v="0"/>
    <n v="0"/>
    <n v="0"/>
    <n v="0"/>
    <n v="0"/>
    <n v="0"/>
    <n v="0"/>
    <n v="0"/>
    <n v="0"/>
    <n v="0"/>
    <n v="0"/>
    <n v="0"/>
    <n v="0"/>
    <n v="0"/>
    <n v="0"/>
    <n v="0"/>
    <n v="0"/>
    <s v="MMR001CMP082"/>
    <x v="0"/>
    <x v="1"/>
    <s v=""/>
    <n v="0"/>
    <s v="No"/>
  </r>
  <r>
    <n v="64.3"/>
    <d v="2012-01-19T00:00:00"/>
    <x v="0"/>
    <s v="KBC"/>
    <s v="Kachin"/>
    <s v="Myitkyina"/>
    <s v="Jan Mai Kawng Baptist Church"/>
    <m/>
    <m/>
    <m/>
    <n v="0"/>
    <n v="0"/>
    <n v="0"/>
    <n v="0"/>
    <n v="118"/>
    <n v="118"/>
    <n v="118"/>
    <m/>
    <m/>
    <m/>
    <m/>
    <m/>
    <m/>
    <m/>
    <n v="0"/>
    <n v="0"/>
    <n v="0"/>
    <n v="0"/>
    <n v="0"/>
    <n v="0"/>
    <n v="0"/>
    <n v="0"/>
    <n v="0"/>
    <n v="0"/>
    <n v="0"/>
    <n v="0"/>
    <n v="0"/>
    <n v="0"/>
    <n v="0"/>
    <n v="0"/>
    <n v="0"/>
    <n v="0"/>
    <s v="MMR001CMP018"/>
    <x v="0"/>
    <x v="0"/>
    <s v="P4"/>
    <n v="0"/>
    <s v="No"/>
  </r>
  <r>
    <n v="64.099999999999994"/>
    <d v="2012-01-25T00:00:00"/>
    <x v="1"/>
    <m/>
    <s v="Kachin"/>
    <s v="Bhamo"/>
    <s v="Lisu Boarding-House"/>
    <n v="94"/>
    <m/>
    <m/>
    <m/>
    <m/>
    <m/>
    <m/>
    <m/>
    <m/>
    <m/>
    <m/>
    <m/>
    <m/>
    <m/>
    <m/>
    <m/>
    <m/>
    <n v="0"/>
    <n v="0"/>
    <n v="0"/>
    <n v="0"/>
    <n v="0"/>
    <n v="0"/>
    <n v="0"/>
    <n v="0"/>
    <n v="0"/>
    <n v="0"/>
    <n v="0"/>
    <n v="0"/>
    <n v="0"/>
    <n v="0"/>
    <n v="0"/>
    <n v="0"/>
    <n v="0"/>
    <n v="0"/>
    <s v="MMR001CMP049"/>
    <x v="0"/>
    <x v="0"/>
    <s v="P4"/>
    <n v="0"/>
    <m/>
  </r>
  <r>
    <n v="63.9"/>
    <d v="2012-01-31T00:00:00"/>
    <x v="0"/>
    <s v="UNHCR"/>
    <s v="Kachin"/>
    <s v="Waingmaw"/>
    <s v="Qtr. 4 Monestry (Thargaya Thayett Taw)"/>
    <m/>
    <m/>
    <m/>
    <n v="0"/>
    <n v="0"/>
    <n v="0"/>
    <n v="0"/>
    <n v="61"/>
    <n v="61"/>
    <n v="61"/>
    <m/>
    <m/>
    <m/>
    <m/>
    <m/>
    <m/>
    <m/>
    <n v="0"/>
    <n v="0"/>
    <n v="0"/>
    <n v="0"/>
    <n v="0"/>
    <n v="0"/>
    <n v="0"/>
    <n v="0"/>
    <n v="0"/>
    <n v="0"/>
    <n v="0"/>
    <n v="0"/>
    <n v="0"/>
    <n v="0"/>
    <n v="0"/>
    <n v="0"/>
    <n v="0"/>
    <n v="0"/>
    <s v="MMR001CMP026"/>
    <x v="0"/>
    <x v="0"/>
    <s v="P4"/>
    <n v="0"/>
    <s v="No"/>
  </r>
  <r>
    <n v="63.833333333333336"/>
    <d v="2012-02-02T00:00:00"/>
    <x v="0"/>
    <s v="UNHCR"/>
    <s v="Kachin"/>
    <s v="Mansi"/>
    <s v="Mansi Baptist Church"/>
    <n v="718"/>
    <m/>
    <m/>
    <m/>
    <m/>
    <m/>
    <m/>
    <m/>
    <m/>
    <m/>
    <m/>
    <m/>
    <m/>
    <m/>
    <m/>
    <m/>
    <m/>
    <n v="0"/>
    <n v="0"/>
    <n v="0"/>
    <n v="0"/>
    <n v="0"/>
    <n v="0"/>
    <n v="0"/>
    <n v="0"/>
    <n v="0"/>
    <n v="0"/>
    <n v="0"/>
    <n v="0"/>
    <n v="0"/>
    <n v="0"/>
    <n v="0"/>
    <n v="0"/>
    <n v="0"/>
    <n v="0"/>
    <s v="MMR001CMP066"/>
    <x v="0"/>
    <x v="0"/>
    <s v="P4"/>
    <n v="0"/>
    <m/>
  </r>
  <r>
    <n v="63.833333333333336"/>
    <d v="2012-02-02T00:00:00"/>
    <x v="1"/>
    <s v="Solidarities"/>
    <s v="Kachin"/>
    <s v="Mansi"/>
    <s v="Mansi Baptist Church"/>
    <n v="718"/>
    <m/>
    <m/>
    <m/>
    <m/>
    <m/>
    <m/>
    <m/>
    <m/>
    <m/>
    <m/>
    <m/>
    <m/>
    <m/>
    <m/>
    <m/>
    <m/>
    <n v="0"/>
    <n v="0"/>
    <n v="0"/>
    <n v="0"/>
    <n v="0"/>
    <n v="0"/>
    <n v="0"/>
    <n v="0"/>
    <n v="0"/>
    <n v="0"/>
    <n v="0"/>
    <n v="0"/>
    <n v="0"/>
    <n v="0"/>
    <n v="0"/>
    <n v="0"/>
    <n v="0"/>
    <n v="0"/>
    <s v="MMR001CMP066"/>
    <x v="0"/>
    <x v="0"/>
    <s v="P4"/>
    <n v="0"/>
    <m/>
  </r>
  <r>
    <n v="63.7"/>
    <d v="2012-02-06T00:00:00"/>
    <x v="0"/>
    <s v="UNHCR"/>
    <s v="Kachin"/>
    <s v="Waingmaw"/>
    <s v="Qtr. 4 Monestry (Thargaya Thayett Taw)"/>
    <m/>
    <m/>
    <m/>
    <n v="0"/>
    <n v="0"/>
    <n v="0"/>
    <n v="0"/>
    <n v="13"/>
    <n v="13"/>
    <n v="13"/>
    <m/>
    <m/>
    <m/>
    <m/>
    <m/>
    <m/>
    <m/>
    <n v="0"/>
    <n v="0"/>
    <n v="0"/>
    <n v="0"/>
    <n v="0"/>
    <n v="0"/>
    <n v="0"/>
    <n v="0"/>
    <n v="0"/>
    <n v="0"/>
    <n v="0"/>
    <n v="0"/>
    <n v="0"/>
    <n v="0"/>
    <n v="0"/>
    <n v="0"/>
    <n v="0"/>
    <n v="0"/>
    <s v="MMR001CMP026"/>
    <x v="0"/>
    <x v="0"/>
    <s v="P4"/>
    <n v="0"/>
    <s v="No"/>
  </r>
  <r>
    <n v="63.666666666666664"/>
    <d v="2012-02-07T00:00:00"/>
    <x v="0"/>
    <s v="SC&amp;L Group"/>
    <s v="Kachin"/>
    <s v="Myitkyina"/>
    <s v="Maw Hpawng Hka Nan Baptist Church"/>
    <m/>
    <m/>
    <m/>
    <n v="38"/>
    <n v="18"/>
    <n v="38"/>
    <n v="18"/>
    <n v="18"/>
    <n v="18"/>
    <n v="18"/>
    <m/>
    <m/>
    <m/>
    <m/>
    <m/>
    <m/>
    <m/>
    <n v="0"/>
    <n v="0"/>
    <n v="0"/>
    <n v="0"/>
    <n v="0"/>
    <n v="0"/>
    <n v="0"/>
    <n v="0"/>
    <n v="0"/>
    <n v="0"/>
    <n v="0"/>
    <n v="0"/>
    <n v="0"/>
    <n v="0"/>
    <n v="0"/>
    <n v="0"/>
    <n v="0"/>
    <n v="0"/>
    <s v="MMR001CMP020"/>
    <x v="0"/>
    <x v="0"/>
    <s v="P4"/>
    <n v="4.4099272362006027E-4"/>
    <s v="No"/>
  </r>
  <r>
    <n v="63.666666666666664"/>
    <d v="2012-02-07T00:00:00"/>
    <x v="1"/>
    <s v="Solidarities"/>
    <s v="Kachin"/>
    <s v="Bhamo"/>
    <s v="Nant Hlaing Church"/>
    <n v="90"/>
    <m/>
    <m/>
    <m/>
    <m/>
    <m/>
    <m/>
    <m/>
    <m/>
    <m/>
    <m/>
    <m/>
    <m/>
    <m/>
    <m/>
    <m/>
    <m/>
    <n v="0"/>
    <n v="0"/>
    <n v="0"/>
    <n v="0"/>
    <n v="0"/>
    <n v="0"/>
    <n v="0"/>
    <n v="0"/>
    <n v="0"/>
    <n v="0"/>
    <n v="0"/>
    <n v="0"/>
    <n v="0"/>
    <n v="0"/>
    <n v="0"/>
    <n v="0"/>
    <n v="0"/>
    <n v="0"/>
    <s v="MMR001CMP054"/>
    <x v="0"/>
    <x v="0"/>
    <s v="P4"/>
    <n v="0"/>
    <m/>
  </r>
  <r>
    <n v="63.6"/>
    <d v="2012-02-09T00:00:00"/>
    <x v="1"/>
    <s v="Solidarities"/>
    <s v="Kachin"/>
    <s v="Momauk"/>
    <s v="Momauk Baptist Church"/>
    <n v="138"/>
    <m/>
    <m/>
    <m/>
    <m/>
    <m/>
    <m/>
    <m/>
    <m/>
    <m/>
    <m/>
    <m/>
    <m/>
    <m/>
    <m/>
    <m/>
    <m/>
    <n v="0"/>
    <n v="0"/>
    <n v="0"/>
    <n v="0"/>
    <n v="0"/>
    <n v="0"/>
    <n v="0"/>
    <n v="0"/>
    <n v="0"/>
    <n v="0"/>
    <n v="0"/>
    <n v="0"/>
    <n v="0"/>
    <n v="0"/>
    <n v="0"/>
    <n v="0"/>
    <n v="0"/>
    <n v="0"/>
    <s v="MMR001CMP056"/>
    <x v="0"/>
    <x v="0"/>
    <s v="P4"/>
    <n v="0"/>
    <m/>
  </r>
  <r>
    <n v="63.56666666666667"/>
    <d v="2012-02-10T00:00:00"/>
    <x v="1"/>
    <s v="Solidarities"/>
    <s v="Kachin"/>
    <s v="Momauk"/>
    <s v="Momauk Catholic Church (St. Patrick)"/>
    <n v="192"/>
    <m/>
    <m/>
    <m/>
    <m/>
    <m/>
    <m/>
    <m/>
    <m/>
    <m/>
    <m/>
    <m/>
    <m/>
    <m/>
    <m/>
    <m/>
    <m/>
    <n v="0"/>
    <n v="0"/>
    <n v="0"/>
    <n v="0"/>
    <n v="0"/>
    <n v="0"/>
    <n v="0"/>
    <n v="0"/>
    <n v="0"/>
    <n v="0"/>
    <n v="0"/>
    <n v="0"/>
    <n v="0"/>
    <n v="0"/>
    <n v="0"/>
    <n v="0"/>
    <n v="0"/>
    <n v="0"/>
    <s v="MMR001CMP057"/>
    <x v="0"/>
    <x v="1"/>
    <s v="P4"/>
    <n v="0"/>
    <m/>
  </r>
  <r>
    <n v="63.43333333333333"/>
    <d v="2012-02-14T00:00:00"/>
    <x v="1"/>
    <s v="Solidarities"/>
    <s v="Kachin"/>
    <s v="Shwegu"/>
    <s v="Host Families"/>
    <n v="429"/>
    <m/>
    <m/>
    <m/>
    <m/>
    <m/>
    <m/>
    <m/>
    <m/>
    <m/>
    <m/>
    <m/>
    <m/>
    <m/>
    <m/>
    <m/>
    <m/>
    <n v="0"/>
    <n v="0"/>
    <n v="0"/>
    <n v="0"/>
    <n v="0"/>
    <n v="0"/>
    <n v="0"/>
    <n v="0"/>
    <n v="0"/>
    <n v="0"/>
    <n v="0"/>
    <n v="0"/>
    <n v="0"/>
    <n v="0"/>
    <n v="0"/>
    <n v="0"/>
    <n v="0"/>
    <n v="0"/>
    <s v="MMR001CMP163"/>
    <x v="0"/>
    <x v="0"/>
    <s v="P4"/>
    <s v=""/>
    <m/>
  </r>
  <r>
    <n v="63.4"/>
    <d v="2012-02-15T00:00:00"/>
    <x v="1"/>
    <s v="Solidarities"/>
    <s v="Kachin"/>
    <s v="Shwegu"/>
    <s v="Host Families"/>
    <n v="1070"/>
    <m/>
    <m/>
    <m/>
    <m/>
    <m/>
    <m/>
    <m/>
    <m/>
    <m/>
    <m/>
    <m/>
    <m/>
    <m/>
    <m/>
    <m/>
    <m/>
    <n v="0"/>
    <n v="0"/>
    <n v="0"/>
    <n v="0"/>
    <n v="0"/>
    <n v="0"/>
    <n v="0"/>
    <n v="0"/>
    <n v="0"/>
    <n v="0"/>
    <n v="0"/>
    <n v="0"/>
    <n v="0"/>
    <n v="0"/>
    <n v="0"/>
    <n v="0"/>
    <n v="0"/>
    <n v="0"/>
    <s v="MMR001CMP163"/>
    <x v="0"/>
    <x v="0"/>
    <s v="P4"/>
    <s v=""/>
    <m/>
  </r>
  <r>
    <n v="63.4"/>
    <d v="2012-02-15T00:00:00"/>
    <x v="1"/>
    <s v="Solidarities"/>
    <s v="Kachin"/>
    <s v="Momauk"/>
    <s v="Man Bung Catholic compound"/>
    <n v="8"/>
    <m/>
    <m/>
    <m/>
    <m/>
    <m/>
    <m/>
    <m/>
    <m/>
    <m/>
    <m/>
    <m/>
    <m/>
    <m/>
    <m/>
    <m/>
    <m/>
    <n v="0"/>
    <n v="0"/>
    <n v="0"/>
    <n v="0"/>
    <n v="0"/>
    <n v="0"/>
    <n v="0"/>
    <n v="0"/>
    <n v="0"/>
    <n v="0"/>
    <n v="0"/>
    <n v="0"/>
    <n v="0"/>
    <n v="0"/>
    <n v="0"/>
    <n v="0"/>
    <n v="0"/>
    <n v="0"/>
    <s v="MMR001CMP062"/>
    <x v="0"/>
    <x v="0"/>
    <s v="P4"/>
    <n v="0"/>
    <m/>
  </r>
  <r>
    <n v="63.333333333333336"/>
    <d v="2012-02-17T00:00:00"/>
    <x v="1"/>
    <s v="Solidarities"/>
    <s v="Kachin"/>
    <s v="Bhamo"/>
    <s v="Htoi San Church"/>
    <n v="240"/>
    <m/>
    <m/>
    <m/>
    <m/>
    <m/>
    <m/>
    <m/>
    <m/>
    <m/>
    <m/>
    <m/>
    <m/>
    <m/>
    <m/>
    <m/>
    <m/>
    <n v="0"/>
    <n v="0"/>
    <n v="0"/>
    <n v="0"/>
    <n v="0"/>
    <n v="0"/>
    <n v="0"/>
    <n v="0"/>
    <n v="0"/>
    <n v="0"/>
    <n v="0"/>
    <n v="0"/>
    <n v="0"/>
    <n v="0"/>
    <n v="0"/>
    <n v="0"/>
    <n v="0"/>
    <n v="0"/>
    <s v="MMR001CMP052"/>
    <x v="0"/>
    <x v="0"/>
    <s v="P4"/>
    <n v="0"/>
    <m/>
  </r>
  <r>
    <n v="63.166666666666664"/>
    <d v="2012-02-22T00:00:00"/>
    <x v="1"/>
    <s v="Solidarities"/>
    <s v="Kachin"/>
    <s v="Bhamo"/>
    <s v="Chan Myae monastery"/>
    <n v="23"/>
    <m/>
    <m/>
    <m/>
    <m/>
    <m/>
    <m/>
    <m/>
    <m/>
    <m/>
    <m/>
    <m/>
    <m/>
    <m/>
    <m/>
    <m/>
    <m/>
    <n v="0"/>
    <n v="0"/>
    <n v="0"/>
    <n v="0"/>
    <n v="0"/>
    <n v="0"/>
    <n v="0"/>
    <n v="0"/>
    <n v="0"/>
    <n v="0"/>
    <n v="0"/>
    <n v="0"/>
    <n v="0"/>
    <n v="0"/>
    <n v="0"/>
    <n v="0"/>
    <n v="0"/>
    <n v="0"/>
    <s v=""/>
    <x v="1"/>
    <x v="2"/>
    <s v=""/>
    <s v=""/>
    <m/>
  </r>
  <r>
    <n v="63.166666666666664"/>
    <d v="2012-02-22T00:00:00"/>
    <x v="0"/>
    <s v="Shalom"/>
    <s v="Kachin"/>
    <s v="Momauk"/>
    <s v="Ni Thaw Ka Monestry"/>
    <n v="149"/>
    <m/>
    <m/>
    <m/>
    <m/>
    <m/>
    <m/>
    <m/>
    <m/>
    <m/>
    <m/>
    <m/>
    <m/>
    <m/>
    <m/>
    <m/>
    <m/>
    <n v="0"/>
    <n v="0"/>
    <n v="0"/>
    <n v="0"/>
    <n v="0"/>
    <n v="0"/>
    <n v="0"/>
    <n v="0"/>
    <n v="0"/>
    <n v="0"/>
    <n v="0"/>
    <n v="0"/>
    <n v="0"/>
    <n v="0"/>
    <n v="0"/>
    <n v="0"/>
    <n v="0"/>
    <n v="0"/>
    <s v="MMR001CMP059"/>
    <x v="0"/>
    <x v="1"/>
    <s v="P4"/>
    <n v="0"/>
    <m/>
  </r>
  <r>
    <n v="63.166666666666664"/>
    <d v="2012-02-22T00:00:00"/>
    <x v="1"/>
    <s v="Solidarities"/>
    <s v="Kachin"/>
    <s v="Momauk"/>
    <s v="Ni Thaw Ka Monestry"/>
    <n v="149"/>
    <m/>
    <m/>
    <m/>
    <m/>
    <m/>
    <m/>
    <m/>
    <m/>
    <m/>
    <m/>
    <m/>
    <m/>
    <m/>
    <m/>
    <m/>
    <m/>
    <n v="0"/>
    <n v="0"/>
    <n v="0"/>
    <n v="0"/>
    <n v="0"/>
    <n v="0"/>
    <n v="0"/>
    <n v="0"/>
    <n v="0"/>
    <n v="0"/>
    <n v="0"/>
    <n v="0"/>
    <n v="0"/>
    <n v="0"/>
    <n v="0"/>
    <n v="0"/>
    <n v="0"/>
    <n v="0"/>
    <s v="MMR001CMP059"/>
    <x v="0"/>
    <x v="1"/>
    <s v="P4"/>
    <n v="0"/>
    <m/>
  </r>
  <r>
    <n v="63.133333333333333"/>
    <d v="2012-02-23T00:00:00"/>
    <x v="1"/>
    <s v="Solidarities"/>
    <s v="Kachin"/>
    <s v="Momauk"/>
    <s v="Loi Je Baptist Church"/>
    <n v="172"/>
    <m/>
    <m/>
    <m/>
    <m/>
    <m/>
    <m/>
    <m/>
    <m/>
    <m/>
    <m/>
    <m/>
    <m/>
    <m/>
    <m/>
    <m/>
    <m/>
    <n v="0"/>
    <n v="0"/>
    <n v="0"/>
    <n v="0"/>
    <n v="0"/>
    <n v="0"/>
    <n v="0"/>
    <n v="0"/>
    <n v="0"/>
    <n v="0"/>
    <n v="0"/>
    <n v="0"/>
    <n v="0"/>
    <n v="0"/>
    <n v="0"/>
    <n v="0"/>
    <n v="0"/>
    <n v="0"/>
    <s v="MMR001CMP071"/>
    <x v="0"/>
    <x v="0"/>
    <s v="P3"/>
    <n v="0"/>
    <m/>
  </r>
  <r>
    <n v="63.133333333333333"/>
    <d v="2012-02-23T00:00:00"/>
    <x v="1"/>
    <s v="Solidarities"/>
    <s v="Kachin"/>
    <s v="Momauk"/>
    <s v="Loi Je Catholic Church"/>
    <n v="227"/>
    <m/>
    <m/>
    <m/>
    <m/>
    <m/>
    <m/>
    <m/>
    <m/>
    <m/>
    <m/>
    <m/>
    <m/>
    <m/>
    <m/>
    <m/>
    <m/>
    <n v="0"/>
    <n v="0"/>
    <n v="0"/>
    <n v="0"/>
    <n v="0"/>
    <n v="0"/>
    <n v="0"/>
    <n v="0"/>
    <n v="0"/>
    <n v="0"/>
    <n v="0"/>
    <n v="0"/>
    <n v="0"/>
    <n v="0"/>
    <n v="0"/>
    <n v="0"/>
    <n v="0"/>
    <n v="0"/>
    <s v="MMR001CMP069"/>
    <x v="0"/>
    <x v="0"/>
    <s v="P3"/>
    <n v="0"/>
    <m/>
  </r>
  <r>
    <n v="63.033333333333331"/>
    <d v="2012-02-26T00:00:00"/>
    <x v="0"/>
    <s v="UNHCR"/>
    <s v="Kachin"/>
    <s v="Myitkyina"/>
    <s v="Pamati Kayan"/>
    <m/>
    <m/>
    <m/>
    <n v="25"/>
    <n v="18"/>
    <n v="25"/>
    <n v="18"/>
    <n v="18"/>
    <n v="18"/>
    <n v="18"/>
    <m/>
    <m/>
    <m/>
    <m/>
    <m/>
    <m/>
    <m/>
    <n v="0"/>
    <n v="0"/>
    <n v="0"/>
    <n v="0"/>
    <n v="0"/>
    <n v="0"/>
    <n v="0"/>
    <n v="0"/>
    <n v="0"/>
    <n v="0"/>
    <n v="0"/>
    <n v="0"/>
    <n v="0"/>
    <n v="0"/>
    <n v="0"/>
    <n v="0"/>
    <n v="0"/>
    <n v="0"/>
    <s v=""/>
    <x v="1"/>
    <x v="2"/>
    <s v=""/>
    <s v=""/>
    <s v="No"/>
  </r>
  <r>
    <n v="63.033333333333331"/>
    <d v="2012-02-26T00:00:00"/>
    <x v="0"/>
    <s v="SC&amp;L Group"/>
    <s v="Kachin"/>
    <s v="Myitkyina"/>
    <s v="Pan Ma Tee"/>
    <m/>
    <m/>
    <m/>
    <n v="25"/>
    <n v="0"/>
    <n v="25"/>
    <n v="0"/>
    <n v="10"/>
    <n v="10"/>
    <n v="10"/>
    <m/>
    <m/>
    <m/>
    <m/>
    <m/>
    <m/>
    <m/>
    <n v="0"/>
    <n v="0"/>
    <n v="0"/>
    <n v="0"/>
    <n v="0"/>
    <n v="0"/>
    <n v="0"/>
    <n v="0"/>
    <n v="0"/>
    <n v="0"/>
    <n v="0"/>
    <n v="0"/>
    <n v="0"/>
    <n v="0"/>
    <n v="0"/>
    <n v="0"/>
    <n v="0"/>
    <n v="0"/>
    <s v=""/>
    <x v="1"/>
    <x v="2"/>
    <s v=""/>
    <s v=""/>
    <s v="No"/>
  </r>
  <r>
    <n v="63"/>
    <d v="2012-02-27T00:00:00"/>
    <x v="0"/>
    <s v="SC&amp;L Group"/>
    <s v="Kachin"/>
    <s v="Myitkyina"/>
    <s v="Wun Tho Buddhist Monastery"/>
    <m/>
    <m/>
    <m/>
    <n v="34"/>
    <n v="0"/>
    <n v="34"/>
    <n v="0"/>
    <n v="34"/>
    <n v="34"/>
    <n v="34"/>
    <m/>
    <m/>
    <m/>
    <m/>
    <m/>
    <m/>
    <m/>
    <n v="0"/>
    <n v="0"/>
    <n v="0"/>
    <n v="0"/>
    <n v="0"/>
    <n v="0"/>
    <n v="0"/>
    <n v="0"/>
    <n v="0"/>
    <n v="0"/>
    <n v="0"/>
    <n v="0"/>
    <n v="0"/>
    <n v="0"/>
    <n v="0"/>
    <n v="0"/>
    <n v="0"/>
    <n v="0"/>
    <s v="MMR001CMP022"/>
    <x v="0"/>
    <x v="0"/>
    <s v="P4"/>
    <n v="0"/>
    <s v="No"/>
  </r>
  <r>
    <n v="62.7"/>
    <d v="2012-03-07T00:00:00"/>
    <x v="0"/>
    <s v="UNHCR"/>
    <s v="Kachin"/>
    <s v="Waingmaw"/>
    <s v="Qtr. 2 Lhaovo Baptist Church"/>
    <m/>
    <m/>
    <m/>
    <n v="12"/>
    <n v="8"/>
    <n v="12"/>
    <n v="8"/>
    <n v="8"/>
    <n v="8"/>
    <n v="8"/>
    <m/>
    <m/>
    <m/>
    <m/>
    <m/>
    <m/>
    <m/>
    <n v="0"/>
    <n v="0"/>
    <n v="0"/>
    <n v="0"/>
    <n v="0"/>
    <n v="0"/>
    <n v="0"/>
    <n v="0"/>
    <n v="0"/>
    <n v="0"/>
    <n v="0"/>
    <n v="0"/>
    <n v="0"/>
    <n v="0"/>
    <n v="0"/>
    <n v="0"/>
    <n v="0"/>
    <n v="0"/>
    <s v="MMR001CMP032"/>
    <x v="0"/>
    <x v="0"/>
    <s v="P4"/>
    <n v="1.9643953345610803E-4"/>
    <s v="No"/>
  </r>
  <r>
    <n v="62.7"/>
    <d v="2012-03-07T00:00:00"/>
    <x v="0"/>
    <s v="UNHCR"/>
    <s v="Kachin"/>
    <s v="Waingmaw"/>
    <s v="Thargaya Lisu Baptist Church"/>
    <m/>
    <m/>
    <m/>
    <n v="38"/>
    <n v="18"/>
    <n v="38"/>
    <n v="17"/>
    <n v="18"/>
    <n v="18"/>
    <n v="18"/>
    <m/>
    <m/>
    <m/>
    <m/>
    <m/>
    <m/>
    <m/>
    <n v="0"/>
    <n v="0"/>
    <n v="0"/>
    <n v="0"/>
    <n v="0"/>
    <n v="0"/>
    <n v="0"/>
    <n v="0"/>
    <n v="0"/>
    <n v="0"/>
    <n v="0"/>
    <n v="0"/>
    <n v="0"/>
    <n v="0"/>
    <n v="0"/>
    <n v="0"/>
    <n v="0"/>
    <n v="0"/>
    <s v="MMR001CMP037"/>
    <x v="0"/>
    <x v="0"/>
    <s v="P4"/>
    <n v="4.1617704661182925E-4"/>
    <s v="No"/>
  </r>
  <r>
    <n v="62.6"/>
    <d v="2012-03-10T00:00:00"/>
    <x v="1"/>
    <m/>
    <s v="Kachin"/>
    <s v="Momauk"/>
    <s v="Tarli "/>
    <n v="36"/>
    <m/>
    <m/>
    <m/>
    <m/>
    <m/>
    <m/>
    <m/>
    <m/>
    <m/>
    <m/>
    <m/>
    <m/>
    <m/>
    <m/>
    <m/>
    <m/>
    <n v="0"/>
    <n v="0"/>
    <n v="0"/>
    <n v="0"/>
    <n v="0"/>
    <n v="0"/>
    <n v="0"/>
    <n v="0"/>
    <n v="0"/>
    <n v="0"/>
    <n v="0"/>
    <n v="0"/>
    <n v="0"/>
    <n v="0"/>
    <n v="0"/>
    <n v="0"/>
    <n v="0"/>
    <n v="0"/>
    <s v="MMR001CMP060"/>
    <x v="0"/>
    <x v="0"/>
    <s v="P4"/>
    <s v=""/>
    <m/>
  </r>
  <r>
    <n v="62.466666666666669"/>
    <d v="2012-03-14T00:00:00"/>
    <x v="1"/>
    <s v="Solidarities"/>
    <s v="Kachin"/>
    <s v="Bhamo"/>
    <s v="Robert Church"/>
    <n v="2188"/>
    <m/>
    <m/>
    <m/>
    <m/>
    <m/>
    <m/>
    <m/>
    <m/>
    <m/>
    <m/>
    <m/>
    <m/>
    <m/>
    <m/>
    <m/>
    <m/>
    <n v="0"/>
    <n v="0"/>
    <n v="0"/>
    <n v="0"/>
    <n v="0"/>
    <n v="0"/>
    <n v="0"/>
    <n v="0"/>
    <n v="0"/>
    <n v="0"/>
    <n v="0"/>
    <n v="0"/>
    <n v="0"/>
    <n v="0"/>
    <n v="0"/>
    <n v="0"/>
    <n v="0"/>
    <n v="0"/>
    <s v="MMR001CMP047"/>
    <x v="0"/>
    <x v="0"/>
    <s v="P4"/>
    <n v="0"/>
    <m/>
  </r>
  <r>
    <n v="62.4"/>
    <d v="2012-03-16T00:00:00"/>
    <x v="1"/>
    <s v="LDO"/>
    <s v="Kachin"/>
    <s v="Shwegu"/>
    <s v="Shwe Gu Baptist Church"/>
    <n v="94"/>
    <m/>
    <m/>
    <m/>
    <m/>
    <m/>
    <m/>
    <m/>
    <m/>
    <m/>
    <m/>
    <m/>
    <m/>
    <m/>
    <m/>
    <m/>
    <m/>
    <n v="0"/>
    <n v="0"/>
    <n v="0"/>
    <n v="0"/>
    <n v="0"/>
    <n v="0"/>
    <n v="0"/>
    <n v="0"/>
    <n v="0"/>
    <n v="0"/>
    <n v="0"/>
    <n v="0"/>
    <n v="0"/>
    <n v="0"/>
    <n v="0"/>
    <n v="0"/>
    <n v="0"/>
    <n v="0"/>
    <s v="MMR001CMP067"/>
    <x v="0"/>
    <x v="0"/>
    <s v="P4"/>
    <n v="0"/>
    <m/>
  </r>
  <r>
    <n v="62.4"/>
    <d v="2012-03-16T00:00:00"/>
    <x v="1"/>
    <s v="LDO"/>
    <s v="Kachin"/>
    <s v="Shwegu"/>
    <s v="Shwe Gu Catholic Church"/>
    <n v="49"/>
    <m/>
    <m/>
    <m/>
    <m/>
    <m/>
    <m/>
    <m/>
    <m/>
    <m/>
    <m/>
    <m/>
    <m/>
    <m/>
    <m/>
    <m/>
    <m/>
    <n v="0"/>
    <n v="0"/>
    <n v="0"/>
    <n v="0"/>
    <n v="0"/>
    <n v="0"/>
    <n v="0"/>
    <n v="0"/>
    <n v="0"/>
    <n v="0"/>
    <n v="0"/>
    <n v="0"/>
    <n v="0"/>
    <n v="0"/>
    <n v="0"/>
    <n v="0"/>
    <n v="0"/>
    <n v="0"/>
    <s v="MMR001CMP068"/>
    <x v="0"/>
    <x v="0"/>
    <s v="P4"/>
    <n v="0"/>
    <m/>
  </r>
  <r>
    <n v="62.333333333333336"/>
    <d v="2012-03-18T00:00:00"/>
    <x v="1"/>
    <s v="Solidarities"/>
    <s v="Kachin"/>
    <s v="Momauk"/>
    <s v="Khun Sint Village"/>
    <n v="850"/>
    <m/>
    <m/>
    <m/>
    <m/>
    <m/>
    <m/>
    <m/>
    <m/>
    <m/>
    <m/>
    <m/>
    <m/>
    <m/>
    <m/>
    <m/>
    <m/>
    <n v="0"/>
    <n v="0"/>
    <n v="0"/>
    <n v="0"/>
    <n v="0"/>
    <n v="0"/>
    <n v="0"/>
    <n v="0"/>
    <n v="0"/>
    <n v="0"/>
    <n v="0"/>
    <n v="0"/>
    <n v="0"/>
    <n v="0"/>
    <n v="0"/>
    <n v="0"/>
    <n v="0"/>
    <n v="0"/>
    <s v="MMR001CMP200"/>
    <x v="0"/>
    <x v="0"/>
    <s v="P4"/>
    <s v=""/>
    <m/>
  </r>
  <r>
    <n v="62.06666666666667"/>
    <d v="2012-03-26T00:00:00"/>
    <x v="0"/>
    <s v="UNHCR"/>
    <s v="Kachin"/>
    <s v="Waingmaw"/>
    <s v="Border Post 8"/>
    <m/>
    <m/>
    <m/>
    <n v="460"/>
    <n v="250"/>
    <n v="460"/>
    <n v="230"/>
    <n v="0"/>
    <m/>
    <m/>
    <m/>
    <m/>
    <m/>
    <m/>
    <m/>
    <m/>
    <m/>
    <n v="0"/>
    <n v="0"/>
    <n v="0"/>
    <n v="0"/>
    <n v="0"/>
    <n v="0"/>
    <n v="0"/>
    <n v="0"/>
    <n v="0"/>
    <n v="0"/>
    <n v="0"/>
    <n v="0"/>
    <n v="0"/>
    <n v="0"/>
    <n v="0"/>
    <n v="0"/>
    <n v="0"/>
    <n v="0"/>
    <s v="MMR001CMP113"/>
    <x v="0"/>
    <x v="0"/>
    <s v="P1"/>
    <n v="5.6306306306306304E-3"/>
    <s v="No"/>
  </r>
  <r>
    <n v="62.06666666666667"/>
    <d v="2012-03-26T00:00:00"/>
    <x v="0"/>
    <s v="UNHCR"/>
    <s v="Kachin"/>
    <s v="Momauk"/>
    <s v="Momauk Catholic Church (St. Patrick)"/>
    <m/>
    <m/>
    <m/>
    <n v="49"/>
    <n v="49"/>
    <n v="0"/>
    <n v="0"/>
    <n v="49"/>
    <n v="49"/>
    <n v="49"/>
    <m/>
    <m/>
    <m/>
    <m/>
    <m/>
    <m/>
    <m/>
    <n v="0"/>
    <n v="0"/>
    <n v="0"/>
    <n v="0"/>
    <n v="0"/>
    <n v="0"/>
    <n v="0"/>
    <n v="0"/>
    <n v="0"/>
    <n v="0"/>
    <n v="0"/>
    <n v="0"/>
    <n v="0"/>
    <n v="0"/>
    <n v="0"/>
    <n v="0"/>
    <n v="0"/>
    <n v="0"/>
    <s v="MMR001CMP057"/>
    <x v="0"/>
    <x v="1"/>
    <s v="P4"/>
    <n v="0"/>
    <s v="No"/>
  </r>
  <r>
    <n v="62.033333333333331"/>
    <d v="2012-03-27T00:00:00"/>
    <x v="0"/>
    <s v="UNHCR"/>
    <s v="Kachin"/>
    <s v="Bhamo"/>
    <s v="AD-2000 Tharthana Compound"/>
    <m/>
    <m/>
    <m/>
    <n v="560"/>
    <n v="280"/>
    <n v="560"/>
    <n v="280"/>
    <n v="280"/>
    <n v="280"/>
    <n v="280"/>
    <m/>
    <m/>
    <m/>
    <m/>
    <m/>
    <m/>
    <m/>
    <n v="0"/>
    <n v="0"/>
    <n v="0"/>
    <n v="0"/>
    <n v="0"/>
    <n v="0"/>
    <n v="0"/>
    <n v="0"/>
    <n v="0"/>
    <n v="0"/>
    <n v="0"/>
    <n v="0"/>
    <n v="0"/>
    <n v="0"/>
    <n v="0"/>
    <n v="0"/>
    <n v="0"/>
    <n v="0"/>
    <s v="MMR001CMP050"/>
    <x v="0"/>
    <x v="0"/>
    <s v="P4"/>
    <n v="6.8546807677242463E-3"/>
    <s v="No"/>
  </r>
  <r>
    <n v="62.033333333333331"/>
    <d v="2012-03-27T00:00:00"/>
    <x v="0"/>
    <s v="UNHCR"/>
    <s v="Kachin"/>
    <s v="Waingmaw"/>
    <s v="Border Post 8"/>
    <m/>
    <m/>
    <m/>
    <n v="460"/>
    <n v="228"/>
    <n v="460"/>
    <n v="228"/>
    <n v="228"/>
    <n v="228"/>
    <n v="228"/>
    <m/>
    <m/>
    <m/>
    <m/>
    <m/>
    <m/>
    <m/>
    <n v="0"/>
    <n v="0"/>
    <n v="0"/>
    <n v="0"/>
    <n v="0"/>
    <n v="0"/>
    <n v="0"/>
    <n v="0"/>
    <n v="0"/>
    <n v="0"/>
    <n v="0"/>
    <n v="0"/>
    <n v="0"/>
    <n v="0"/>
    <n v="0"/>
    <n v="0"/>
    <n v="0"/>
    <n v="0"/>
    <s v="MMR001CMP113"/>
    <x v="0"/>
    <x v="0"/>
    <s v="P1"/>
    <n v="5.5816686251468862E-3"/>
    <s v="No"/>
  </r>
  <r>
    <n v="62.033333333333331"/>
    <d v="2012-03-27T00:00:00"/>
    <x v="0"/>
    <s v="UNHCR"/>
    <s v="Kachin"/>
    <s v="Waingmaw"/>
    <s v="Post 6 Camp"/>
    <m/>
    <m/>
    <m/>
    <n v="0"/>
    <n v="40"/>
    <n v="0"/>
    <n v="0"/>
    <n v="0"/>
    <m/>
    <m/>
    <m/>
    <m/>
    <m/>
    <m/>
    <m/>
    <m/>
    <m/>
    <n v="0"/>
    <n v="0"/>
    <n v="0"/>
    <n v="0"/>
    <n v="0"/>
    <n v="0"/>
    <n v="0"/>
    <n v="0"/>
    <n v="0"/>
    <n v="0"/>
    <n v="0"/>
    <n v="0"/>
    <n v="0"/>
    <n v="0"/>
    <n v="0"/>
    <n v="0"/>
    <n v="0"/>
    <n v="0"/>
    <s v="MMR001CMP160"/>
    <x v="0"/>
    <x v="0"/>
    <s v="P1"/>
    <n v="0"/>
    <s v="No"/>
  </r>
  <r>
    <n v="62.033333333333331"/>
    <d v="2012-03-27T00:00:00"/>
    <x v="0"/>
    <s v="UNHCR"/>
    <s v="Kachin"/>
    <s v="Bhamo"/>
    <s v="Robert Church"/>
    <m/>
    <m/>
    <m/>
    <n v="1000"/>
    <n v="500"/>
    <n v="1000"/>
    <n v="500"/>
    <n v="500"/>
    <n v="500"/>
    <n v="500"/>
    <m/>
    <m/>
    <m/>
    <m/>
    <m/>
    <m/>
    <m/>
    <n v="0"/>
    <n v="0"/>
    <n v="0"/>
    <n v="0"/>
    <n v="0"/>
    <n v="0"/>
    <n v="0"/>
    <n v="0"/>
    <n v="0"/>
    <n v="0"/>
    <n v="0"/>
    <n v="0"/>
    <n v="0"/>
    <n v="0"/>
    <n v="0"/>
    <n v="0"/>
    <n v="0"/>
    <n v="0"/>
    <s v="MMR001CMP047"/>
    <x v="0"/>
    <x v="0"/>
    <s v="P4"/>
    <n v="1.2277470841006752E-2"/>
    <s v="No"/>
  </r>
  <r>
    <n v="62.033333333333331"/>
    <d v="2012-03-27T00:00:00"/>
    <x v="0"/>
    <s v="UNHCR"/>
    <s v="Kachin"/>
    <s v="Momauk"/>
    <s v="Mai Ja Yang Gat Pa "/>
    <m/>
    <m/>
    <m/>
    <n v="52"/>
    <n v="52"/>
    <n v="0"/>
    <n v="0"/>
    <n v="0"/>
    <m/>
    <m/>
    <m/>
    <m/>
    <m/>
    <m/>
    <m/>
    <m/>
    <m/>
    <n v="0"/>
    <n v="0"/>
    <n v="0"/>
    <n v="0"/>
    <n v="0"/>
    <n v="0"/>
    <n v="0"/>
    <n v="0"/>
    <n v="0"/>
    <n v="0"/>
    <n v="0"/>
    <n v="0"/>
    <n v="0"/>
    <n v="0"/>
    <n v="0"/>
    <n v="0"/>
    <n v="0"/>
    <n v="0"/>
    <s v=""/>
    <x v="1"/>
    <x v="2"/>
    <s v=""/>
    <s v=""/>
    <s v="No"/>
  </r>
  <r>
    <n v="62"/>
    <d v="2012-03-28T00:00:00"/>
    <x v="0"/>
    <s v="UNHCR"/>
    <s v="Kachin"/>
    <s v="Momauk"/>
    <s v="Mai Ja Yang Ung Lung "/>
    <m/>
    <m/>
    <m/>
    <n v="217"/>
    <n v="217"/>
    <n v="0"/>
    <n v="0"/>
    <n v="0"/>
    <m/>
    <m/>
    <m/>
    <m/>
    <m/>
    <m/>
    <m/>
    <m/>
    <m/>
    <n v="0"/>
    <n v="0"/>
    <n v="0"/>
    <n v="0"/>
    <n v="0"/>
    <n v="0"/>
    <n v="0"/>
    <n v="0"/>
    <n v="0"/>
    <n v="0"/>
    <n v="0"/>
    <n v="0"/>
    <n v="0"/>
    <n v="0"/>
    <n v="0"/>
    <n v="0"/>
    <n v="0"/>
    <n v="0"/>
    <s v=""/>
    <x v="1"/>
    <x v="2"/>
    <s v=""/>
    <s v=""/>
    <s v="No"/>
  </r>
  <r>
    <n v="61.966666666666669"/>
    <d v="2012-03-29T00:00:00"/>
    <x v="0"/>
    <s v="UNHCR"/>
    <s v="Kachin"/>
    <s v="Mansi"/>
    <s v="Bum Tsit Pa "/>
    <m/>
    <m/>
    <m/>
    <n v="66"/>
    <n v="66"/>
    <n v="0"/>
    <n v="0"/>
    <n v="0"/>
    <m/>
    <m/>
    <m/>
    <m/>
    <m/>
    <m/>
    <m/>
    <m/>
    <m/>
    <n v="0"/>
    <n v="0"/>
    <n v="0"/>
    <n v="0"/>
    <n v="0"/>
    <n v="0"/>
    <n v="0"/>
    <n v="0"/>
    <n v="0"/>
    <n v="0"/>
    <n v="0"/>
    <n v="0"/>
    <n v="0"/>
    <n v="0"/>
    <n v="0"/>
    <n v="0"/>
    <n v="0"/>
    <n v="0"/>
    <s v="MMR001CMP129"/>
    <x v="0"/>
    <x v="0"/>
    <s v="P2"/>
    <n v="0"/>
    <s v="No"/>
  </r>
  <r>
    <n v="61.966666666666669"/>
    <d v="2012-03-29T00:00:00"/>
    <x v="0"/>
    <s v="UNHCR"/>
    <s v="Kachin"/>
    <s v="Momauk"/>
    <s v="Pa Kahtawng "/>
    <m/>
    <m/>
    <m/>
    <n v="0"/>
    <n v="50"/>
    <n v="0"/>
    <n v="0"/>
    <n v="0"/>
    <m/>
    <m/>
    <m/>
    <m/>
    <m/>
    <m/>
    <m/>
    <m/>
    <m/>
    <n v="0"/>
    <n v="0"/>
    <n v="0"/>
    <n v="0"/>
    <n v="0"/>
    <n v="0"/>
    <n v="0"/>
    <n v="0"/>
    <n v="0"/>
    <n v="0"/>
    <n v="0"/>
    <n v="0"/>
    <n v="0"/>
    <n v="0"/>
    <n v="0"/>
    <n v="0"/>
    <n v="0"/>
    <n v="0"/>
    <s v="MMR001CMP126"/>
    <x v="0"/>
    <x v="0"/>
    <s v="P2"/>
    <n v="0"/>
    <s v="No"/>
  </r>
  <r>
    <n v="61.966666666666669"/>
    <d v="2012-03-29T00:00:00"/>
    <x v="0"/>
    <s v="UNHCR"/>
    <s v="Kachin"/>
    <s v="Momauk"/>
    <s v="Seng Ja "/>
    <m/>
    <m/>
    <m/>
    <n v="66"/>
    <n v="66"/>
    <n v="0"/>
    <n v="0"/>
    <n v="0"/>
    <m/>
    <m/>
    <m/>
    <m/>
    <m/>
    <m/>
    <m/>
    <m/>
    <m/>
    <n v="0"/>
    <n v="0"/>
    <n v="0"/>
    <n v="0"/>
    <n v="0"/>
    <n v="0"/>
    <n v="0"/>
    <n v="0"/>
    <n v="0"/>
    <n v="0"/>
    <n v="0"/>
    <n v="0"/>
    <n v="0"/>
    <n v="0"/>
    <n v="0"/>
    <n v="0"/>
    <n v="0"/>
    <n v="0"/>
    <s v="MMR001CMP073"/>
    <x v="0"/>
    <x v="0"/>
    <s v="P3"/>
    <n v="0"/>
    <s v="No"/>
  </r>
  <r>
    <n v="61.8"/>
    <d v="2012-04-03T00:00:00"/>
    <x v="0"/>
    <s v="UNHCR"/>
    <s v="Kachin"/>
    <s v="Mansi"/>
    <s v="Lana Zup Ja "/>
    <m/>
    <m/>
    <m/>
    <n v="510"/>
    <n v="0"/>
    <n v="510"/>
    <n v="255"/>
    <n v="255"/>
    <n v="255"/>
    <n v="255"/>
    <m/>
    <m/>
    <m/>
    <m/>
    <m/>
    <m/>
    <m/>
    <n v="0"/>
    <n v="0"/>
    <n v="0"/>
    <n v="0"/>
    <n v="0"/>
    <n v="0"/>
    <n v="0"/>
    <n v="0"/>
    <n v="0"/>
    <n v="0"/>
    <n v="0"/>
    <n v="0"/>
    <n v="0"/>
    <n v="0"/>
    <n v="0"/>
    <n v="0"/>
    <n v="0"/>
    <n v="0"/>
    <s v="MMR001CMP128"/>
    <x v="0"/>
    <x v="0"/>
    <s v="P2"/>
    <n v="6.2473969179508539E-3"/>
    <s v="No"/>
  </r>
  <r>
    <n v="61.766666666666666"/>
    <d v="2012-04-04T00:00:00"/>
    <x v="0"/>
    <s v="UNHCR"/>
    <s v="Kachin"/>
    <s v="Mansi"/>
    <s v="Bum Tsit Pa "/>
    <m/>
    <m/>
    <m/>
    <n v="216"/>
    <n v="108"/>
    <n v="216"/>
    <n v="108"/>
    <n v="108"/>
    <n v="108"/>
    <n v="108"/>
    <m/>
    <m/>
    <m/>
    <m/>
    <m/>
    <m/>
    <m/>
    <n v="0"/>
    <n v="0"/>
    <n v="0"/>
    <n v="0"/>
    <n v="0"/>
    <n v="0"/>
    <n v="0"/>
    <n v="0"/>
    <n v="0"/>
    <n v="0"/>
    <n v="0"/>
    <n v="0"/>
    <n v="0"/>
    <n v="0"/>
    <n v="0"/>
    <n v="0"/>
    <n v="0"/>
    <n v="0"/>
    <s v="MMR001CMP129"/>
    <x v="0"/>
    <x v="0"/>
    <s v="P2"/>
    <n v="2.6459563417203617E-3"/>
    <s v="No"/>
  </r>
  <r>
    <n v="61.733333333333334"/>
    <d v="2012-04-05T00:00:00"/>
    <x v="0"/>
    <s v="UNHCR"/>
    <s v="Kachin"/>
    <s v="Momauk"/>
    <s v="Momauk Catholic Church (St. Patrick)"/>
    <m/>
    <m/>
    <m/>
    <n v="0"/>
    <n v="50"/>
    <n v="0"/>
    <n v="0"/>
    <n v="0"/>
    <m/>
    <m/>
    <m/>
    <m/>
    <m/>
    <m/>
    <m/>
    <m/>
    <m/>
    <n v="0"/>
    <n v="0"/>
    <n v="0"/>
    <n v="0"/>
    <n v="0"/>
    <n v="0"/>
    <n v="0"/>
    <n v="0"/>
    <n v="0"/>
    <n v="0"/>
    <n v="0"/>
    <n v="0"/>
    <n v="0"/>
    <n v="0"/>
    <n v="0"/>
    <n v="0"/>
    <n v="0"/>
    <n v="0"/>
    <s v="MMR001CMP057"/>
    <x v="0"/>
    <x v="1"/>
    <s v="P4"/>
    <n v="0"/>
    <s v="No"/>
  </r>
  <r>
    <n v="61.633333333333333"/>
    <d v="2012-04-08T00:00:00"/>
    <x v="1"/>
    <m/>
    <s v="Kachin"/>
    <s v="Bhamo"/>
    <s v="AD-2000 Tharthana Compound"/>
    <n v="302"/>
    <m/>
    <m/>
    <m/>
    <m/>
    <m/>
    <m/>
    <m/>
    <m/>
    <m/>
    <m/>
    <m/>
    <m/>
    <m/>
    <m/>
    <m/>
    <m/>
    <n v="0"/>
    <n v="0"/>
    <n v="0"/>
    <n v="0"/>
    <n v="0"/>
    <n v="0"/>
    <n v="0"/>
    <n v="0"/>
    <n v="0"/>
    <n v="0"/>
    <n v="0"/>
    <n v="0"/>
    <n v="0"/>
    <n v="0"/>
    <n v="0"/>
    <n v="0"/>
    <n v="0"/>
    <n v="0"/>
    <s v="MMR001CMP050"/>
    <x v="0"/>
    <x v="0"/>
    <s v="P4"/>
    <n v="0"/>
    <m/>
  </r>
  <r>
    <n v="61.56666666666667"/>
    <d v="2012-04-10T00:00:00"/>
    <x v="0"/>
    <s v="KBSS"/>
    <s v="Kachin"/>
    <s v="Shwegu"/>
    <s v="Shwe Gu Baptist Church"/>
    <m/>
    <m/>
    <m/>
    <n v="46"/>
    <n v="27"/>
    <n v="46"/>
    <n v="27"/>
    <n v="27"/>
    <n v="27"/>
    <n v="27"/>
    <m/>
    <m/>
    <m/>
    <m/>
    <m/>
    <m/>
    <m/>
    <n v="0"/>
    <n v="0"/>
    <n v="0"/>
    <n v="0"/>
    <n v="0"/>
    <n v="0"/>
    <n v="0"/>
    <n v="0"/>
    <n v="0"/>
    <n v="0"/>
    <n v="0"/>
    <n v="0"/>
    <n v="0"/>
    <n v="0"/>
    <n v="0"/>
    <n v="0"/>
    <n v="0"/>
    <n v="0"/>
    <s v="MMR001CMP067"/>
    <x v="0"/>
    <x v="0"/>
    <s v="P4"/>
    <n v="6.6298342541436467E-4"/>
    <s v="No"/>
  </r>
  <r>
    <n v="61.56666666666667"/>
    <d v="2012-04-10T00:00:00"/>
    <x v="0"/>
    <s v="KBSS"/>
    <s v="Kachin"/>
    <s v="Shwegu"/>
    <s v="Shwe Gu Catholic Church"/>
    <m/>
    <m/>
    <m/>
    <n v="43"/>
    <n v="25"/>
    <n v="43"/>
    <n v="25"/>
    <n v="25"/>
    <n v="25"/>
    <n v="25"/>
    <m/>
    <m/>
    <m/>
    <m/>
    <m/>
    <m/>
    <m/>
    <n v="0"/>
    <n v="0"/>
    <n v="0"/>
    <n v="0"/>
    <n v="0"/>
    <n v="0"/>
    <n v="0"/>
    <n v="0"/>
    <n v="0"/>
    <n v="0"/>
    <n v="0"/>
    <n v="0"/>
    <n v="0"/>
    <n v="0"/>
    <n v="0"/>
    <n v="0"/>
    <n v="0"/>
    <n v="0"/>
    <s v="MMR001CMP068"/>
    <x v="0"/>
    <x v="0"/>
    <s v="P4"/>
    <n v="6.1387354205033758E-4"/>
    <s v="No"/>
  </r>
  <r>
    <n v="61.5"/>
    <d v="2012-04-12T00:00:00"/>
    <x v="0"/>
    <s v="UNHCR"/>
    <s v="Kachin"/>
    <s v="Waingmaw"/>
    <s v="Post 6 Camp"/>
    <m/>
    <m/>
    <m/>
    <n v="123"/>
    <n v="95"/>
    <n v="123"/>
    <n v="95"/>
    <n v="95"/>
    <n v="95"/>
    <n v="95"/>
    <m/>
    <m/>
    <m/>
    <m/>
    <m/>
    <m/>
    <m/>
    <n v="0"/>
    <n v="0"/>
    <n v="0"/>
    <n v="0"/>
    <n v="0"/>
    <n v="0"/>
    <n v="0"/>
    <n v="0"/>
    <n v="0"/>
    <n v="0"/>
    <n v="0"/>
    <n v="0"/>
    <n v="0"/>
    <n v="0"/>
    <n v="0"/>
    <n v="0"/>
    <n v="0"/>
    <n v="0"/>
    <s v="MMR001CMP160"/>
    <x v="0"/>
    <x v="0"/>
    <s v="P1"/>
    <n v="2.3256952604778693E-3"/>
    <s v="No"/>
  </r>
  <r>
    <n v="61.166666666666664"/>
    <d v="2012-04-22T00:00:00"/>
    <x v="0"/>
    <s v="UNHCR"/>
    <s v="Kachin"/>
    <s v="Momauk"/>
    <s v="Je Gau  (+ WaRaPa )"/>
    <m/>
    <m/>
    <m/>
    <n v="846"/>
    <n v="423"/>
    <n v="846"/>
    <n v="423"/>
    <n v="423"/>
    <n v="423"/>
    <n v="423"/>
    <m/>
    <m/>
    <m/>
    <m/>
    <m/>
    <m/>
    <m/>
    <n v="0"/>
    <n v="0"/>
    <n v="0"/>
    <n v="0"/>
    <n v="0"/>
    <n v="0"/>
    <n v="0"/>
    <n v="0"/>
    <n v="0"/>
    <n v="0"/>
    <n v="0"/>
    <n v="0"/>
    <n v="0"/>
    <n v="0"/>
    <n v="0"/>
    <n v="0"/>
    <n v="0"/>
    <n v="0"/>
    <s v=""/>
    <x v="1"/>
    <x v="2"/>
    <s v=""/>
    <s v=""/>
    <s v="No"/>
  </r>
  <r>
    <n v="61.06666666666667"/>
    <d v="2012-04-25T00:00:00"/>
    <x v="1"/>
    <m/>
    <s v="Kachin"/>
    <s v="Bhamo"/>
    <s v="AD-2000 Tharthana Compound"/>
    <n v="1173"/>
    <m/>
    <m/>
    <m/>
    <m/>
    <m/>
    <m/>
    <m/>
    <m/>
    <m/>
    <m/>
    <m/>
    <m/>
    <m/>
    <m/>
    <m/>
    <m/>
    <n v="0"/>
    <n v="0"/>
    <n v="0"/>
    <n v="0"/>
    <n v="0"/>
    <n v="0"/>
    <n v="0"/>
    <n v="0"/>
    <n v="0"/>
    <n v="0"/>
    <n v="0"/>
    <n v="0"/>
    <n v="0"/>
    <n v="0"/>
    <n v="0"/>
    <n v="0"/>
    <n v="0"/>
    <n v="0"/>
    <s v="MMR001CMP050"/>
    <x v="0"/>
    <x v="0"/>
    <s v="P4"/>
    <n v="0"/>
    <m/>
  </r>
  <r>
    <n v="61.06666666666667"/>
    <d v="2012-04-25T00:00:00"/>
    <x v="0"/>
    <s v="UNHCR"/>
    <s v="Kachin"/>
    <s v="Momauk"/>
    <s v="Dum Bung "/>
    <m/>
    <m/>
    <m/>
    <n v="198"/>
    <n v="99"/>
    <n v="198"/>
    <n v="99"/>
    <n v="99"/>
    <n v="99"/>
    <n v="99"/>
    <m/>
    <m/>
    <m/>
    <m/>
    <m/>
    <m/>
    <m/>
    <n v="0"/>
    <n v="0"/>
    <n v="0"/>
    <n v="0"/>
    <n v="0"/>
    <n v="0"/>
    <n v="0"/>
    <n v="0"/>
    <n v="0"/>
    <n v="0"/>
    <n v="0"/>
    <n v="0"/>
    <n v="0"/>
    <n v="0"/>
    <n v="0"/>
    <n v="0"/>
    <n v="0"/>
    <n v="0"/>
    <s v="MMR001CMP123"/>
    <x v="0"/>
    <x v="0"/>
    <s v="P2"/>
    <n v="2.429090195308666E-3"/>
    <s v="No"/>
  </r>
  <r>
    <n v="61.06666666666667"/>
    <d v="2012-04-25T00:00:00"/>
    <x v="0"/>
    <s v="UNHCR"/>
    <s v="Kachin"/>
    <s v="Myitkyina"/>
    <s v="Wun Tho Buddhist Monastery"/>
    <m/>
    <m/>
    <m/>
    <n v="39"/>
    <n v="19"/>
    <n v="78"/>
    <n v="19"/>
    <n v="0"/>
    <m/>
    <m/>
    <m/>
    <m/>
    <m/>
    <m/>
    <m/>
    <m/>
    <m/>
    <n v="0"/>
    <n v="0"/>
    <n v="0"/>
    <n v="0"/>
    <n v="0"/>
    <n v="0"/>
    <n v="0"/>
    <n v="0"/>
    <n v="0"/>
    <n v="0"/>
    <n v="0"/>
    <n v="0"/>
    <n v="0"/>
    <n v="0"/>
    <n v="0"/>
    <n v="0"/>
    <n v="0"/>
    <n v="0"/>
    <s v="MMR001CMP022"/>
    <x v="0"/>
    <x v="0"/>
    <s v="P4"/>
    <n v="4.6341463414634144E-4"/>
    <s v="No"/>
  </r>
  <r>
    <n v="60.866666666666667"/>
    <d v="2012-05-01T00:00:00"/>
    <x v="0"/>
    <s v="UNHCR"/>
    <s v="Kachin"/>
    <s v="Waingmaw"/>
    <s v="Qtr. 4 Monestry (Thargaya Thayett Taw)"/>
    <m/>
    <m/>
    <m/>
    <n v="52"/>
    <n v="0"/>
    <n v="52"/>
    <n v="0"/>
    <n v="24"/>
    <n v="24"/>
    <n v="24"/>
    <m/>
    <m/>
    <m/>
    <m/>
    <m/>
    <m/>
    <m/>
    <n v="0"/>
    <n v="0"/>
    <n v="0"/>
    <n v="0"/>
    <n v="0"/>
    <n v="0"/>
    <n v="0"/>
    <n v="0"/>
    <n v="0"/>
    <n v="0"/>
    <n v="0"/>
    <n v="0"/>
    <n v="0"/>
    <n v="0"/>
    <n v="0"/>
    <n v="0"/>
    <n v="0"/>
    <n v="0"/>
    <s v="MMR001CMP026"/>
    <x v="0"/>
    <x v="0"/>
    <s v="P4"/>
    <n v="0"/>
    <s v="No"/>
  </r>
  <r>
    <n v="60.8"/>
    <d v="2012-05-03T00:00:00"/>
    <x v="0"/>
    <s v="UNHCR"/>
    <s v="Kachin"/>
    <s v="Waingmaw"/>
    <s v="Maina AG Church"/>
    <m/>
    <m/>
    <m/>
    <n v="42"/>
    <n v="0"/>
    <n v="42"/>
    <n v="0"/>
    <n v="20"/>
    <n v="20"/>
    <n v="20"/>
    <m/>
    <m/>
    <m/>
    <m/>
    <m/>
    <m/>
    <m/>
    <n v="0"/>
    <n v="0"/>
    <n v="0"/>
    <n v="0"/>
    <n v="0"/>
    <n v="0"/>
    <n v="0"/>
    <n v="0"/>
    <n v="0"/>
    <n v="0"/>
    <n v="0"/>
    <n v="0"/>
    <n v="0"/>
    <n v="0"/>
    <n v="0"/>
    <n v="0"/>
    <n v="0"/>
    <n v="0"/>
    <s v="MMR001CMP031"/>
    <x v="0"/>
    <x v="0"/>
    <s v="P4"/>
    <n v="0"/>
    <s v="No"/>
  </r>
  <r>
    <n v="60.8"/>
    <d v="2012-05-03T00:00:00"/>
    <x v="0"/>
    <s v="UNHCR"/>
    <s v="Kachin"/>
    <s v="Waingmaw"/>
    <s v="Qtr. 3 Mu-yin  Baptist Church"/>
    <m/>
    <m/>
    <m/>
    <n v="12"/>
    <n v="0"/>
    <n v="12"/>
    <n v="6"/>
    <n v="6"/>
    <n v="6"/>
    <n v="6"/>
    <m/>
    <m/>
    <m/>
    <m/>
    <m/>
    <m/>
    <m/>
    <n v="0"/>
    <n v="0"/>
    <n v="0"/>
    <n v="0"/>
    <n v="0"/>
    <n v="0"/>
    <n v="0"/>
    <n v="0"/>
    <n v="0"/>
    <n v="0"/>
    <n v="0"/>
    <n v="0"/>
    <n v="0"/>
    <n v="0"/>
    <n v="0"/>
    <n v="0"/>
    <n v="0"/>
    <n v="0"/>
    <s v="MMR001CMP030"/>
    <x v="0"/>
    <x v="0"/>
    <s v="P4"/>
    <n v="1.474382602285293E-4"/>
    <s v="No"/>
  </r>
  <r>
    <n v="60.8"/>
    <d v="2012-05-03T00:00:00"/>
    <x v="0"/>
    <s v="UNHCR"/>
    <s v="Kachin"/>
    <s v="Waingmaw"/>
    <s v="Qtr. 4 Monestry (Thargaya Thayett Taw)"/>
    <m/>
    <m/>
    <m/>
    <n v="34"/>
    <n v="0"/>
    <n v="34"/>
    <n v="0"/>
    <n v="18"/>
    <n v="18"/>
    <n v="18"/>
    <m/>
    <m/>
    <m/>
    <m/>
    <m/>
    <m/>
    <m/>
    <n v="0"/>
    <n v="0"/>
    <n v="0"/>
    <n v="0"/>
    <n v="0"/>
    <n v="0"/>
    <n v="0"/>
    <n v="0"/>
    <n v="0"/>
    <n v="0"/>
    <n v="0"/>
    <n v="0"/>
    <n v="0"/>
    <n v="0"/>
    <n v="0"/>
    <n v="0"/>
    <n v="0"/>
    <n v="0"/>
    <s v="MMR001CMP026"/>
    <x v="0"/>
    <x v="0"/>
    <s v="P4"/>
    <n v="0"/>
    <s v="No"/>
  </r>
  <r>
    <n v="60.8"/>
    <d v="2012-05-03T00:00:00"/>
    <x v="0"/>
    <s v="UNHCR"/>
    <s v="Kachin"/>
    <s v="Myitkyina"/>
    <s v="Myay Myint Baptist Church"/>
    <m/>
    <m/>
    <m/>
    <n v="0"/>
    <n v="0"/>
    <n v="0"/>
    <n v="0"/>
    <n v="5"/>
    <n v="5"/>
    <n v="5"/>
    <m/>
    <m/>
    <m/>
    <m/>
    <m/>
    <m/>
    <m/>
    <n v="0"/>
    <n v="0"/>
    <n v="0"/>
    <n v="0"/>
    <n v="0"/>
    <n v="0"/>
    <n v="0"/>
    <n v="0"/>
    <n v="0"/>
    <n v="0"/>
    <n v="0"/>
    <n v="0"/>
    <n v="0"/>
    <n v="0"/>
    <n v="0"/>
    <n v="0"/>
    <n v="0"/>
    <n v="0"/>
    <s v="MMR001CMP017"/>
    <x v="0"/>
    <x v="1"/>
    <s v="P4"/>
    <n v="0"/>
    <s v="No"/>
  </r>
  <r>
    <n v="60.6"/>
    <d v="2012-05-09T00:00:00"/>
    <x v="0"/>
    <s v="UNHCR"/>
    <s v="Kachin"/>
    <s v="Waingmaw"/>
    <s v="Waingmaw Baptist Zonal Office"/>
    <m/>
    <m/>
    <m/>
    <n v="161"/>
    <n v="83"/>
    <n v="161"/>
    <n v="83"/>
    <n v="83"/>
    <n v="83"/>
    <n v="83"/>
    <m/>
    <m/>
    <m/>
    <m/>
    <m/>
    <m/>
    <m/>
    <n v="0"/>
    <n v="0"/>
    <n v="0"/>
    <n v="0"/>
    <n v="0"/>
    <n v="0"/>
    <n v="0"/>
    <n v="0"/>
    <n v="0"/>
    <n v="0"/>
    <n v="0"/>
    <n v="0"/>
    <n v="0"/>
    <n v="0"/>
    <n v="0"/>
    <n v="0"/>
    <n v="0"/>
    <n v="0"/>
    <s v="MMR001CMP036"/>
    <x v="0"/>
    <x v="1"/>
    <s v="P4"/>
    <n v="2.0319232275754014E-3"/>
    <s v="No"/>
  </r>
  <r>
    <n v="60.533333333333331"/>
    <d v="2012-05-11T00:00:00"/>
    <x v="0"/>
    <s v="UNHCR"/>
    <s v="Kachin"/>
    <s v="Waingmaw"/>
    <s v="Maina Catholic Church (St. Joseph)"/>
    <m/>
    <m/>
    <m/>
    <n v="57"/>
    <n v="29"/>
    <n v="57"/>
    <n v="29"/>
    <n v="29"/>
    <n v="29"/>
    <n v="29"/>
    <m/>
    <m/>
    <m/>
    <m/>
    <m/>
    <m/>
    <m/>
    <n v="0"/>
    <n v="0"/>
    <n v="0"/>
    <n v="0"/>
    <n v="0"/>
    <n v="0"/>
    <n v="0"/>
    <n v="0"/>
    <n v="0"/>
    <n v="0"/>
    <n v="0"/>
    <n v="0"/>
    <n v="0"/>
    <n v="0"/>
    <n v="0"/>
    <n v="0"/>
    <n v="0"/>
    <n v="0"/>
    <s v="MMR001CMP029"/>
    <x v="0"/>
    <x v="0"/>
    <s v="P4"/>
    <n v="7.00043450972819E-4"/>
    <s v="No"/>
  </r>
  <r>
    <n v="60.533333333333331"/>
    <d v="2012-05-11T00:00:00"/>
    <x v="0"/>
    <s v="UNHCR"/>
    <s v="Kachin"/>
    <s v="Waingmaw"/>
    <s v="Maina KBC (Bawng Ring)"/>
    <m/>
    <m/>
    <m/>
    <n v="50"/>
    <n v="25"/>
    <n v="50"/>
    <n v="24"/>
    <n v="13"/>
    <n v="13"/>
    <n v="13"/>
    <m/>
    <m/>
    <m/>
    <m/>
    <m/>
    <m/>
    <m/>
    <n v="0"/>
    <n v="0"/>
    <n v="0"/>
    <n v="0"/>
    <n v="0"/>
    <n v="0"/>
    <n v="0"/>
    <n v="0"/>
    <n v="0"/>
    <n v="0"/>
    <n v="0"/>
    <n v="0"/>
    <n v="0"/>
    <n v="0"/>
    <n v="0"/>
    <n v="0"/>
    <n v="0"/>
    <n v="0"/>
    <s v="MMR001CMP040"/>
    <x v="0"/>
    <x v="0"/>
    <s v="P4"/>
    <n v="5.8449623730547236E-4"/>
    <s v="No"/>
  </r>
  <r>
    <n v="60.533333333333331"/>
    <d v="2012-05-11T00:00:00"/>
    <x v="0"/>
    <s v="KBSS"/>
    <s v="Kachin"/>
    <s v="Shwegu"/>
    <s v="Shwe Gu Baptist Church"/>
    <m/>
    <m/>
    <m/>
    <n v="38"/>
    <n v="23"/>
    <n v="38"/>
    <n v="23"/>
    <n v="23"/>
    <n v="23"/>
    <n v="23"/>
    <m/>
    <m/>
    <m/>
    <m/>
    <m/>
    <m/>
    <m/>
    <n v="0"/>
    <n v="0"/>
    <n v="0"/>
    <n v="0"/>
    <n v="0"/>
    <n v="0"/>
    <n v="0"/>
    <n v="0"/>
    <n v="0"/>
    <n v="0"/>
    <n v="0"/>
    <n v="0"/>
    <n v="0"/>
    <n v="0"/>
    <n v="0"/>
    <n v="0"/>
    <n v="0"/>
    <n v="0"/>
    <s v="MMR001CMP067"/>
    <x v="0"/>
    <x v="0"/>
    <s v="P4"/>
    <n v="5.647636586863106E-4"/>
    <s v="No"/>
  </r>
  <r>
    <n v="60.533333333333331"/>
    <d v="2012-05-11T00:00:00"/>
    <x v="0"/>
    <s v="KBSS"/>
    <s v="Kachin"/>
    <s v="Shwegu"/>
    <s v="Shwe Gu Catholic Church"/>
    <m/>
    <m/>
    <m/>
    <n v="37"/>
    <n v="22"/>
    <n v="37"/>
    <n v="22"/>
    <n v="22"/>
    <n v="22"/>
    <n v="22"/>
    <m/>
    <m/>
    <m/>
    <m/>
    <m/>
    <m/>
    <m/>
    <n v="0"/>
    <n v="0"/>
    <n v="0"/>
    <n v="0"/>
    <n v="0"/>
    <n v="0"/>
    <n v="0"/>
    <n v="0"/>
    <n v="0"/>
    <n v="0"/>
    <n v="0"/>
    <n v="0"/>
    <n v="0"/>
    <n v="0"/>
    <n v="0"/>
    <n v="0"/>
    <n v="0"/>
    <n v="0"/>
    <s v="MMR001CMP068"/>
    <x v="0"/>
    <x v="0"/>
    <s v="P4"/>
    <n v="5.4020871700429711E-4"/>
    <s v="No"/>
  </r>
  <r>
    <n v="60.4"/>
    <d v="2012-05-15T00:00:00"/>
    <x v="0"/>
    <s v="KBSS"/>
    <s v="Kachin"/>
    <s v="Bhamo"/>
    <s v="AD-2000 Tharthana Compound"/>
    <m/>
    <m/>
    <m/>
    <n v="90"/>
    <n v="0"/>
    <n v="0"/>
    <n v="0"/>
    <n v="0"/>
    <m/>
    <m/>
    <m/>
    <m/>
    <m/>
    <m/>
    <m/>
    <m/>
    <m/>
    <n v="0"/>
    <n v="0"/>
    <n v="0"/>
    <n v="0"/>
    <n v="0"/>
    <n v="0"/>
    <n v="0"/>
    <n v="0"/>
    <n v="0"/>
    <n v="0"/>
    <n v="0"/>
    <n v="0"/>
    <n v="0"/>
    <n v="0"/>
    <n v="0"/>
    <n v="0"/>
    <n v="0"/>
    <n v="0"/>
    <s v="MMR001CMP050"/>
    <x v="0"/>
    <x v="0"/>
    <s v="P4"/>
    <n v="0"/>
    <s v="No"/>
  </r>
  <r>
    <n v="60.2"/>
    <d v="2012-05-21T00:00:00"/>
    <x v="0"/>
    <s v="UNHCR"/>
    <s v="Kachin"/>
    <s v="Bhamo"/>
    <s v="AD-2000 Tharthana Compound"/>
    <m/>
    <m/>
    <m/>
    <n v="0"/>
    <n v="15"/>
    <n v="0"/>
    <n v="0"/>
    <n v="0"/>
    <m/>
    <m/>
    <m/>
    <m/>
    <m/>
    <m/>
    <m/>
    <m/>
    <m/>
    <n v="0"/>
    <n v="0"/>
    <n v="0"/>
    <n v="0"/>
    <n v="0"/>
    <n v="0"/>
    <n v="0"/>
    <n v="0"/>
    <n v="0"/>
    <n v="0"/>
    <n v="0"/>
    <n v="0"/>
    <n v="0"/>
    <n v="0"/>
    <n v="0"/>
    <n v="0"/>
    <n v="0"/>
    <n v="0"/>
    <s v="MMR001CMP050"/>
    <x v="0"/>
    <x v="0"/>
    <s v="P4"/>
    <n v="0"/>
    <s v="No"/>
  </r>
  <r>
    <n v="60.133333333333333"/>
    <d v="2012-05-23T00:00:00"/>
    <x v="0"/>
    <s v="UNHCR"/>
    <s v="Kachin"/>
    <s v="Myitkyina"/>
    <s v="Jan Mai Kawng Baptist Church"/>
    <m/>
    <m/>
    <m/>
    <n v="22"/>
    <n v="15"/>
    <n v="22"/>
    <n v="15"/>
    <n v="15"/>
    <n v="15"/>
    <n v="15"/>
    <m/>
    <m/>
    <m/>
    <m/>
    <m/>
    <m/>
    <m/>
    <n v="0"/>
    <n v="0"/>
    <n v="0"/>
    <n v="0"/>
    <n v="0"/>
    <n v="0"/>
    <n v="0"/>
    <n v="0"/>
    <n v="0"/>
    <n v="0"/>
    <n v="0"/>
    <n v="0"/>
    <n v="0"/>
    <n v="0"/>
    <n v="0"/>
    <n v="0"/>
    <n v="0"/>
    <n v="0"/>
    <s v="MMR001CMP018"/>
    <x v="0"/>
    <x v="0"/>
    <s v="P4"/>
    <n v="3.6832412523020257E-4"/>
    <s v="No"/>
  </r>
  <r>
    <n v="60.133333333333333"/>
    <d v="2012-05-23T00:00:00"/>
    <x v="0"/>
    <s v="UNHCR"/>
    <s v="Kachin"/>
    <s v="Myitkyina"/>
    <s v="Nan Kway St. John Catholic Church"/>
    <m/>
    <m/>
    <m/>
    <n v="58"/>
    <n v="29"/>
    <n v="58"/>
    <n v="29"/>
    <n v="29"/>
    <n v="29"/>
    <n v="29"/>
    <m/>
    <m/>
    <m/>
    <m/>
    <m/>
    <m/>
    <m/>
    <n v="0"/>
    <n v="0"/>
    <n v="0"/>
    <n v="0"/>
    <n v="0"/>
    <n v="0"/>
    <n v="0"/>
    <n v="0"/>
    <n v="0"/>
    <n v="0"/>
    <n v="0"/>
    <n v="0"/>
    <n v="0"/>
    <n v="0"/>
    <n v="0"/>
    <n v="0"/>
    <n v="0"/>
    <n v="0"/>
    <s v="MMR001CMP024"/>
    <x v="0"/>
    <x v="0"/>
    <s v="P4"/>
    <n v="7.0889046420103156E-4"/>
    <s v="No"/>
  </r>
  <r>
    <n v="60.133333333333333"/>
    <d v="2012-05-23T00:00:00"/>
    <x v="0"/>
    <s v="UNHCR"/>
    <s v="Kachin"/>
    <s v="Myitkyina"/>
    <s v="Tat Kone Baptist Church"/>
    <m/>
    <m/>
    <m/>
    <n v="54"/>
    <n v="29"/>
    <n v="54"/>
    <n v="29"/>
    <n v="29"/>
    <n v="29"/>
    <n v="29"/>
    <m/>
    <m/>
    <m/>
    <m/>
    <m/>
    <m/>
    <m/>
    <n v="0"/>
    <n v="0"/>
    <n v="0"/>
    <n v="0"/>
    <n v="0"/>
    <n v="0"/>
    <n v="0"/>
    <n v="0"/>
    <n v="0"/>
    <n v="0"/>
    <n v="0"/>
    <n v="0"/>
    <n v="0"/>
    <n v="0"/>
    <n v="0"/>
    <n v="0"/>
    <n v="0"/>
    <n v="0"/>
    <s v="MMR001CMP001"/>
    <x v="0"/>
    <x v="0"/>
    <s v="P4"/>
    <n v="7.1261825777122498E-4"/>
    <s v="No"/>
  </r>
  <r>
    <n v="60.06666666666667"/>
    <d v="2012-05-25T00:00:00"/>
    <x v="0"/>
    <s v="UNHCR"/>
    <s v="Kachin"/>
    <s v="Myitkyina"/>
    <s v="Shwe Zet Baptist Church"/>
    <m/>
    <m/>
    <m/>
    <n v="0"/>
    <n v="25"/>
    <n v="0"/>
    <n v="0"/>
    <n v="0"/>
    <m/>
    <m/>
    <m/>
    <m/>
    <m/>
    <m/>
    <m/>
    <m/>
    <m/>
    <n v="0"/>
    <n v="0"/>
    <n v="0"/>
    <n v="0"/>
    <n v="0"/>
    <n v="0"/>
    <n v="0"/>
    <n v="0"/>
    <n v="0"/>
    <n v="0"/>
    <n v="0"/>
    <n v="0"/>
    <n v="0"/>
    <n v="0"/>
    <n v="0"/>
    <n v="0"/>
    <n v="0"/>
    <n v="0"/>
    <s v="MMR001CMP009"/>
    <x v="0"/>
    <x v="0"/>
    <s v="P4"/>
    <n v="0"/>
    <s v="No"/>
  </r>
  <r>
    <n v="60.033333333333331"/>
    <d v="2012-05-26T00:00:00"/>
    <x v="0"/>
    <s v="KBC"/>
    <s v="Kachin"/>
    <s v="Shwegu"/>
    <s v="Lawk Awng Mare D. (Sinbo Area)"/>
    <m/>
    <m/>
    <m/>
    <n v="200"/>
    <n v="200"/>
    <n v="0"/>
    <n v="0"/>
    <n v="0"/>
    <m/>
    <m/>
    <m/>
    <m/>
    <m/>
    <m/>
    <m/>
    <m/>
    <m/>
    <n v="0"/>
    <n v="0"/>
    <n v="0"/>
    <n v="0"/>
    <n v="0"/>
    <n v="0"/>
    <n v="0"/>
    <n v="0"/>
    <n v="0"/>
    <n v="0"/>
    <n v="0"/>
    <n v="0"/>
    <n v="0"/>
    <n v="0"/>
    <n v="0"/>
    <n v="0"/>
    <n v="0"/>
    <n v="0"/>
    <s v="MMR001CMP147"/>
    <x v="2"/>
    <x v="0"/>
    <s v="P4"/>
    <n v="0"/>
    <s v="No"/>
  </r>
  <r>
    <n v="59.966666666666669"/>
    <d v="2012-05-28T00:00:00"/>
    <x v="0"/>
    <s v="UNHCR"/>
    <s v="Kachin"/>
    <s v="Waingmaw"/>
    <s v="Qtr. 3 Mu-yin  Baptist Church"/>
    <m/>
    <m/>
    <m/>
    <n v="0"/>
    <n v="11"/>
    <n v="0"/>
    <n v="0"/>
    <n v="0"/>
    <m/>
    <m/>
    <m/>
    <m/>
    <m/>
    <m/>
    <m/>
    <m/>
    <m/>
    <n v="0"/>
    <n v="0"/>
    <n v="0"/>
    <n v="0"/>
    <n v="0"/>
    <n v="0"/>
    <n v="0"/>
    <n v="0"/>
    <n v="0"/>
    <n v="0"/>
    <n v="0"/>
    <n v="0"/>
    <n v="0"/>
    <n v="0"/>
    <n v="0"/>
    <n v="0"/>
    <n v="0"/>
    <n v="0"/>
    <s v="MMR001CMP030"/>
    <x v="0"/>
    <x v="0"/>
    <s v="P4"/>
    <n v="0"/>
    <s v="No"/>
  </r>
  <r>
    <n v="59.866666666666667"/>
    <d v="2012-05-31T00:00:00"/>
    <x v="0"/>
    <s v="KBC"/>
    <s v="Kachin"/>
    <s v="Bhamo"/>
    <s v="Robert Church"/>
    <m/>
    <m/>
    <m/>
    <n v="0"/>
    <n v="20"/>
    <n v="0"/>
    <n v="0"/>
    <n v="0"/>
    <m/>
    <m/>
    <m/>
    <m/>
    <m/>
    <m/>
    <m/>
    <m/>
    <m/>
    <n v="0"/>
    <n v="0"/>
    <n v="0"/>
    <n v="0"/>
    <n v="0"/>
    <n v="0"/>
    <n v="0"/>
    <n v="0"/>
    <n v="0"/>
    <n v="0"/>
    <n v="0"/>
    <n v="0"/>
    <n v="0"/>
    <n v="0"/>
    <n v="0"/>
    <n v="0"/>
    <n v="0"/>
    <n v="0"/>
    <s v="MMR001CMP047"/>
    <x v="0"/>
    <x v="0"/>
    <s v="P4"/>
    <n v="0"/>
    <s v="No"/>
  </r>
  <r>
    <n v="59.833333333333336"/>
    <d v="2012-06-01T00:00:00"/>
    <x v="0"/>
    <s v="UNHCR"/>
    <s v="Kachin"/>
    <s v="Myitkyina"/>
    <s v="Maw Hpawng Hka Nan Baptist Church"/>
    <m/>
    <m/>
    <m/>
    <n v="22"/>
    <n v="11"/>
    <n v="22"/>
    <n v="11"/>
    <n v="11"/>
    <n v="11"/>
    <n v="11"/>
    <m/>
    <m/>
    <m/>
    <m/>
    <m/>
    <m/>
    <m/>
    <n v="0"/>
    <n v="0"/>
    <n v="0"/>
    <n v="0"/>
    <n v="0"/>
    <n v="0"/>
    <n v="0"/>
    <n v="0"/>
    <n v="0"/>
    <n v="0"/>
    <n v="0"/>
    <n v="0"/>
    <n v="0"/>
    <n v="0"/>
    <n v="0"/>
    <n v="0"/>
    <n v="0"/>
    <n v="0"/>
    <s v="MMR001CMP020"/>
    <x v="0"/>
    <x v="0"/>
    <s v="P4"/>
    <n v="2.6949555332337016E-4"/>
    <s v="No"/>
  </r>
  <r>
    <n v="59.833333333333336"/>
    <d v="2012-06-01T00:00:00"/>
    <x v="0"/>
    <s v="UNHCR"/>
    <s v="Kachin"/>
    <s v="Myitkyina"/>
    <s v="Maw Hpawng Lhaovo Baptist Church"/>
    <m/>
    <m/>
    <m/>
    <n v="35"/>
    <n v="17"/>
    <n v="35"/>
    <n v="17"/>
    <n v="17"/>
    <n v="17"/>
    <n v="17"/>
    <m/>
    <m/>
    <m/>
    <m/>
    <m/>
    <m/>
    <m/>
    <n v="0"/>
    <n v="0"/>
    <n v="0"/>
    <n v="0"/>
    <n v="0"/>
    <n v="0"/>
    <n v="0"/>
    <n v="0"/>
    <n v="0"/>
    <n v="0"/>
    <n v="0"/>
    <n v="0"/>
    <n v="0"/>
    <n v="0"/>
    <n v="0"/>
    <n v="0"/>
    <n v="0"/>
    <n v="0"/>
    <s v="MMR001CMP021"/>
    <x v="0"/>
    <x v="0"/>
    <s v="P4"/>
    <n v="4.1649312786339027E-4"/>
    <s v="No"/>
  </r>
  <r>
    <n v="59.7"/>
    <d v="2012-06-05T00:00:00"/>
    <x v="0"/>
    <s v="UNHCR"/>
    <s v="Kachin"/>
    <s v="Momauk"/>
    <s v="Momauk Catholic Church (St. Patrick)"/>
    <m/>
    <m/>
    <m/>
    <n v="10"/>
    <n v="5"/>
    <n v="10"/>
    <n v="5"/>
    <n v="5"/>
    <n v="5"/>
    <n v="5"/>
    <m/>
    <m/>
    <m/>
    <m/>
    <m/>
    <m/>
    <m/>
    <n v="0"/>
    <n v="0"/>
    <n v="0"/>
    <n v="0"/>
    <n v="0"/>
    <n v="0"/>
    <n v="0"/>
    <n v="0"/>
    <n v="0"/>
    <n v="0"/>
    <n v="0"/>
    <n v="0"/>
    <n v="0"/>
    <n v="0"/>
    <n v="0"/>
    <n v="0"/>
    <n v="0"/>
    <n v="0"/>
    <s v="MMR001CMP057"/>
    <x v="0"/>
    <x v="1"/>
    <s v="P4"/>
    <n v="1.2268132299538719E-4"/>
    <s v="No"/>
  </r>
  <r>
    <n v="59.666666666666664"/>
    <d v="2012-06-06T00:00:00"/>
    <x v="0"/>
    <s v="UNHCR "/>
    <s v="Kachin"/>
    <s v="Momauk"/>
    <s v="Hpun Lum Yang "/>
    <m/>
    <m/>
    <m/>
    <n v="0"/>
    <n v="200"/>
    <n v="0"/>
    <n v="0"/>
    <n v="0"/>
    <m/>
    <m/>
    <m/>
    <m/>
    <m/>
    <m/>
    <m/>
    <m/>
    <m/>
    <n v="0"/>
    <n v="0"/>
    <n v="0"/>
    <n v="0"/>
    <n v="0"/>
    <n v="0"/>
    <n v="0"/>
    <n v="0"/>
    <n v="0"/>
    <n v="0"/>
    <n v="0"/>
    <n v="0"/>
    <n v="0"/>
    <n v="0"/>
    <n v="0"/>
    <n v="0"/>
    <n v="0"/>
    <n v="0"/>
    <s v="MMR001CMP122"/>
    <x v="0"/>
    <x v="0"/>
    <s v="P2"/>
    <n v="0"/>
    <s v="No"/>
  </r>
  <r>
    <n v="59.666666666666664"/>
    <d v="2012-06-06T00:00:00"/>
    <x v="0"/>
    <s v="UNHCR"/>
    <s v="Kachin"/>
    <s v="Momauk"/>
    <s v="Pa Kahtawng "/>
    <m/>
    <m/>
    <m/>
    <n v="144"/>
    <n v="76"/>
    <n v="143"/>
    <n v="76"/>
    <n v="78"/>
    <n v="78"/>
    <n v="78"/>
    <m/>
    <m/>
    <m/>
    <m/>
    <m/>
    <m/>
    <m/>
    <n v="0"/>
    <n v="0"/>
    <n v="0"/>
    <n v="0"/>
    <n v="0"/>
    <n v="0"/>
    <n v="0"/>
    <n v="0"/>
    <n v="0"/>
    <n v="0"/>
    <n v="0"/>
    <n v="0"/>
    <n v="0"/>
    <n v="0"/>
    <n v="0"/>
    <n v="0"/>
    <n v="0"/>
    <n v="0"/>
    <s v="MMR001CMP126"/>
    <x v="0"/>
    <x v="0"/>
    <s v="P2"/>
    <n v="1.8536585365853658E-3"/>
    <s v="No"/>
  </r>
  <r>
    <n v="59.6"/>
    <d v="2012-06-08T00:00:00"/>
    <x v="1"/>
    <s v="Solidarities"/>
    <s v="Kachin"/>
    <s v="Bhamo"/>
    <s v="Htoi San Church"/>
    <n v="22"/>
    <m/>
    <m/>
    <m/>
    <m/>
    <m/>
    <m/>
    <m/>
    <m/>
    <m/>
    <m/>
    <m/>
    <m/>
    <m/>
    <m/>
    <m/>
    <m/>
    <n v="0"/>
    <n v="0"/>
    <n v="0"/>
    <n v="0"/>
    <n v="0"/>
    <n v="0"/>
    <n v="0"/>
    <n v="0"/>
    <n v="0"/>
    <n v="0"/>
    <n v="0"/>
    <n v="0"/>
    <n v="0"/>
    <n v="0"/>
    <n v="0"/>
    <n v="0"/>
    <n v="0"/>
    <n v="0"/>
    <s v="MMR001CMP052"/>
    <x v="0"/>
    <x v="0"/>
    <s v="P4"/>
    <n v="0"/>
    <m/>
  </r>
  <r>
    <n v="59.6"/>
    <d v="2012-06-08T00:00:00"/>
    <x v="1"/>
    <s v="Solidarities"/>
    <s v="Kachin"/>
    <s v="Bhamo"/>
    <s v="Nant Hlaing Church"/>
    <n v="21"/>
    <m/>
    <m/>
    <m/>
    <m/>
    <m/>
    <m/>
    <m/>
    <m/>
    <m/>
    <m/>
    <m/>
    <m/>
    <m/>
    <m/>
    <m/>
    <m/>
    <n v="0"/>
    <n v="0"/>
    <n v="0"/>
    <n v="0"/>
    <n v="0"/>
    <n v="0"/>
    <n v="0"/>
    <n v="0"/>
    <n v="0"/>
    <n v="0"/>
    <n v="0"/>
    <n v="0"/>
    <n v="0"/>
    <n v="0"/>
    <n v="0"/>
    <n v="0"/>
    <n v="0"/>
    <n v="0"/>
    <s v="MMR001CMP054"/>
    <x v="0"/>
    <x v="0"/>
    <s v="P4"/>
    <n v="0"/>
    <m/>
  </r>
  <r>
    <n v="59.6"/>
    <d v="2012-06-08T00:00:00"/>
    <x v="0"/>
    <s v="UNHCR"/>
    <s v="Kachin"/>
    <s v="Bhamo"/>
    <s v="Nant Hlaing Church"/>
    <m/>
    <m/>
    <m/>
    <n v="12"/>
    <n v="6"/>
    <n v="12"/>
    <n v="6"/>
    <n v="6"/>
    <n v="6"/>
    <n v="6"/>
    <m/>
    <m/>
    <m/>
    <m/>
    <m/>
    <m/>
    <m/>
    <n v="0"/>
    <n v="0"/>
    <n v="0"/>
    <n v="0"/>
    <n v="0"/>
    <n v="0"/>
    <n v="0"/>
    <n v="0"/>
    <n v="0"/>
    <n v="0"/>
    <n v="0"/>
    <n v="0"/>
    <n v="0"/>
    <n v="0"/>
    <n v="0"/>
    <n v="0"/>
    <n v="0"/>
    <n v="0"/>
    <s v="MMR001CMP054"/>
    <x v="0"/>
    <x v="0"/>
    <s v="P4"/>
    <n v="1.4688601645123384E-4"/>
    <s v="No"/>
  </r>
  <r>
    <n v="59.533333333333331"/>
    <d v="2012-06-10T00:00:00"/>
    <x v="0"/>
    <s v="UNHCR"/>
    <s v="Kachin"/>
    <s v="Chipwi"/>
    <s v="Lhaovao Baptist Church (LBC)"/>
    <m/>
    <m/>
    <m/>
    <n v="200"/>
    <n v="100"/>
    <n v="150"/>
    <n v="100"/>
    <n v="100"/>
    <n v="100"/>
    <n v="100"/>
    <m/>
    <m/>
    <m/>
    <m/>
    <m/>
    <m/>
    <m/>
    <n v="0"/>
    <n v="0"/>
    <n v="0"/>
    <n v="0"/>
    <n v="0"/>
    <n v="0"/>
    <n v="0"/>
    <n v="0"/>
    <n v="0"/>
    <n v="0"/>
    <n v="0"/>
    <n v="0"/>
    <n v="0"/>
    <n v="0"/>
    <n v="0"/>
    <n v="0"/>
    <n v="0"/>
    <n v="0"/>
    <s v="MMR001CMP195"/>
    <x v="0"/>
    <x v="0"/>
    <s v="P1"/>
    <n v="2.4425989252564728E-3"/>
    <s v="No"/>
  </r>
  <r>
    <n v="59.233333333333334"/>
    <d v="2012-06-19T00:00:00"/>
    <x v="0"/>
    <s v="UNHCR"/>
    <s v="Kachin"/>
    <s v="Waingmaw"/>
    <s v="Maina KBC (Bawng Ring)"/>
    <m/>
    <m/>
    <m/>
    <n v="32"/>
    <n v="17"/>
    <n v="32"/>
    <n v="17"/>
    <n v="17"/>
    <n v="17"/>
    <n v="17"/>
    <m/>
    <m/>
    <m/>
    <m/>
    <m/>
    <m/>
    <m/>
    <n v="0"/>
    <n v="0"/>
    <n v="0"/>
    <n v="0"/>
    <n v="0"/>
    <n v="0"/>
    <n v="0"/>
    <n v="0"/>
    <n v="0"/>
    <n v="0"/>
    <n v="0"/>
    <n v="0"/>
    <n v="0"/>
    <n v="0"/>
    <n v="0"/>
    <n v="0"/>
    <n v="0"/>
    <n v="0"/>
    <s v="MMR001CMP040"/>
    <x v="0"/>
    <x v="0"/>
    <s v="P4"/>
    <n v="4.1401816809137626E-4"/>
    <s v="No"/>
  </r>
  <r>
    <n v="59.233333333333334"/>
    <d v="2012-06-19T00:00:00"/>
    <x v="0"/>
    <s v="UNHCR"/>
    <s v="Kachin"/>
    <s v="Waingmaw"/>
    <s v="Thargaya Lisu Baptist Church"/>
    <m/>
    <m/>
    <m/>
    <n v="31"/>
    <n v="15"/>
    <n v="31"/>
    <n v="15"/>
    <n v="15"/>
    <n v="15"/>
    <n v="15"/>
    <m/>
    <m/>
    <m/>
    <m/>
    <m/>
    <m/>
    <m/>
    <n v="0"/>
    <n v="0"/>
    <n v="0"/>
    <n v="0"/>
    <n v="0"/>
    <n v="0"/>
    <n v="0"/>
    <n v="0"/>
    <n v="0"/>
    <n v="0"/>
    <n v="0"/>
    <n v="0"/>
    <n v="0"/>
    <n v="0"/>
    <n v="0"/>
    <n v="0"/>
    <n v="0"/>
    <n v="0"/>
    <s v="MMR001CMP037"/>
    <x v="0"/>
    <x v="0"/>
    <s v="P4"/>
    <n v="3.6721504112808461E-4"/>
    <s v="No"/>
  </r>
  <r>
    <n v="59.233333333333334"/>
    <d v="2012-06-19T00:00:00"/>
    <x v="0"/>
    <s v="UNHCR"/>
    <s v="Kachin"/>
    <s v="Waingmaw"/>
    <s v="Waingmaw AG Church"/>
    <m/>
    <m/>
    <m/>
    <n v="28"/>
    <n v="15"/>
    <n v="28"/>
    <n v="15"/>
    <n v="15"/>
    <n v="15"/>
    <n v="15"/>
    <m/>
    <m/>
    <m/>
    <m/>
    <m/>
    <m/>
    <m/>
    <n v="0"/>
    <n v="0"/>
    <n v="0"/>
    <n v="0"/>
    <n v="0"/>
    <n v="0"/>
    <n v="0"/>
    <n v="0"/>
    <n v="0"/>
    <n v="0"/>
    <n v="0"/>
    <n v="0"/>
    <n v="0"/>
    <n v="0"/>
    <n v="0"/>
    <n v="0"/>
    <n v="0"/>
    <n v="0"/>
    <s v="MMR001CMP038"/>
    <x v="0"/>
    <x v="0"/>
    <s v="P4"/>
    <n v="3.6721504112808461E-4"/>
    <s v="No"/>
  </r>
  <r>
    <n v="59.2"/>
    <d v="2012-06-20T00:00:00"/>
    <x v="0"/>
    <s v="UNHCR"/>
    <s v="Kachin"/>
    <s v="Waingmaw"/>
    <s v="Waingmaw Baptist Zonal Office"/>
    <m/>
    <m/>
    <m/>
    <n v="141"/>
    <n v="81"/>
    <n v="148"/>
    <n v="84"/>
    <n v="78"/>
    <n v="78"/>
    <n v="78"/>
    <m/>
    <m/>
    <m/>
    <m/>
    <m/>
    <m/>
    <m/>
    <n v="0"/>
    <n v="0"/>
    <n v="0"/>
    <n v="0"/>
    <n v="0"/>
    <n v="0"/>
    <n v="0"/>
    <n v="0"/>
    <n v="0"/>
    <n v="0"/>
    <n v="0"/>
    <n v="0"/>
    <n v="0"/>
    <n v="0"/>
    <n v="0"/>
    <n v="0"/>
    <n v="0"/>
    <n v="0"/>
    <s v="MMR001CMP036"/>
    <x v="0"/>
    <x v="1"/>
    <s v="P4"/>
    <n v="2.0564042303172739E-3"/>
    <s v="No"/>
  </r>
  <r>
    <n v="59.133333333333333"/>
    <d v="2012-06-22T00:00:00"/>
    <x v="0"/>
    <s v="UNHCR"/>
    <s v="Kachin"/>
    <s v="Momauk"/>
    <s v="Nhkawng Pa "/>
    <m/>
    <m/>
    <m/>
    <n v="140"/>
    <n v="70"/>
    <n v="140"/>
    <n v="70"/>
    <n v="70"/>
    <n v="70"/>
    <n v="70"/>
    <m/>
    <m/>
    <m/>
    <m/>
    <m/>
    <m/>
    <m/>
    <n v="0"/>
    <n v="0"/>
    <n v="0"/>
    <n v="0"/>
    <n v="0"/>
    <n v="0"/>
    <n v="0"/>
    <n v="0"/>
    <n v="0"/>
    <n v="0"/>
    <n v="0"/>
    <n v="0"/>
    <n v="0"/>
    <n v="0"/>
    <n v="0"/>
    <n v="0"/>
    <n v="0"/>
    <n v="0"/>
    <s v="MMR001CMP131"/>
    <x v="0"/>
    <x v="0"/>
    <s v="P1"/>
    <n v="1.7073170731707317E-3"/>
    <s v="No"/>
  </r>
  <r>
    <n v="59.1"/>
    <d v="2012-06-23T00:00:00"/>
    <x v="0"/>
    <s v="UNHCR"/>
    <s v="Kachin"/>
    <s v="Momauk"/>
    <s v="Dum Bung "/>
    <m/>
    <m/>
    <m/>
    <n v="24"/>
    <n v="13"/>
    <n v="24"/>
    <n v="13"/>
    <n v="13"/>
    <n v="13"/>
    <n v="13"/>
    <m/>
    <m/>
    <m/>
    <m/>
    <m/>
    <m/>
    <m/>
    <n v="0"/>
    <n v="0"/>
    <n v="0"/>
    <n v="0"/>
    <n v="0"/>
    <n v="0"/>
    <n v="0"/>
    <n v="0"/>
    <n v="0"/>
    <n v="0"/>
    <n v="0"/>
    <n v="0"/>
    <n v="0"/>
    <n v="0"/>
    <n v="0"/>
    <n v="0"/>
    <n v="0"/>
    <n v="0"/>
    <s v="MMR001CMP123"/>
    <x v="0"/>
    <x v="0"/>
    <s v="P2"/>
    <n v="3.1897143978800666E-4"/>
    <s v="No"/>
  </r>
  <r>
    <n v="59.033333333333331"/>
    <d v="2012-06-25T00:00:00"/>
    <x v="0"/>
    <s v="UNHCR"/>
    <s v="Kachin"/>
    <s v="Momauk"/>
    <s v="Momauk Baptist Church"/>
    <m/>
    <m/>
    <m/>
    <n v="290"/>
    <n v="145"/>
    <n v="290"/>
    <n v="145"/>
    <n v="145"/>
    <n v="145"/>
    <n v="145"/>
    <m/>
    <m/>
    <m/>
    <m/>
    <m/>
    <m/>
    <m/>
    <n v="0"/>
    <n v="0"/>
    <n v="0"/>
    <n v="0"/>
    <n v="0"/>
    <n v="0"/>
    <n v="0"/>
    <n v="0"/>
    <n v="0"/>
    <n v="0"/>
    <n v="0"/>
    <n v="0"/>
    <n v="0"/>
    <n v="0"/>
    <n v="0"/>
    <n v="0"/>
    <n v="0"/>
    <n v="0"/>
    <s v="MMR001CMP056"/>
    <x v="0"/>
    <x v="0"/>
    <s v="P4"/>
    <n v="3.5630912888561248E-3"/>
    <s v="No"/>
  </r>
  <r>
    <n v="58.7"/>
    <d v="2012-07-05T00:00:00"/>
    <x v="0"/>
    <s v="UNHCR"/>
    <s v="Kachin"/>
    <s v="Bhamo"/>
    <s v="Ta Gun Taing Monastery (Shwe Kyi Na)"/>
    <m/>
    <m/>
    <m/>
    <n v="36"/>
    <n v="14"/>
    <n v="36"/>
    <n v="14"/>
    <n v="14"/>
    <n v="14"/>
    <n v="14"/>
    <m/>
    <m/>
    <m/>
    <m/>
    <m/>
    <m/>
    <m/>
    <n v="0"/>
    <n v="0"/>
    <n v="0"/>
    <n v="0"/>
    <n v="0"/>
    <n v="0"/>
    <n v="0"/>
    <n v="0"/>
    <n v="0"/>
    <n v="0"/>
    <n v="0"/>
    <n v="0"/>
    <n v="0"/>
    <n v="0"/>
    <n v="0"/>
    <n v="0"/>
    <n v="0"/>
    <n v="0"/>
    <s v="MMR001CMP055"/>
    <x v="0"/>
    <x v="0"/>
    <s v="P4"/>
    <n v="3.4121374603948332E-4"/>
    <s v="No"/>
  </r>
  <r>
    <n v="58.666666666666664"/>
    <d v="2012-07-06T00:00:00"/>
    <x v="0"/>
    <s v="UNHCR"/>
    <s v="Kachin"/>
    <s v="Waingmaw"/>
    <s v="Waingmaw AG Church"/>
    <m/>
    <m/>
    <m/>
    <n v="17"/>
    <n v="17"/>
    <n v="17"/>
    <n v="17"/>
    <n v="17"/>
    <n v="17"/>
    <n v="17"/>
    <m/>
    <m/>
    <m/>
    <m/>
    <m/>
    <m/>
    <m/>
    <n v="0"/>
    <n v="0"/>
    <n v="0"/>
    <n v="0"/>
    <n v="0"/>
    <n v="0"/>
    <n v="0"/>
    <n v="0"/>
    <n v="0"/>
    <n v="0"/>
    <n v="0"/>
    <n v="0"/>
    <n v="0"/>
    <n v="0"/>
    <n v="0"/>
    <n v="0"/>
    <n v="0"/>
    <n v="0"/>
    <s v="MMR001CMP038"/>
    <x v="0"/>
    <x v="0"/>
    <s v="P4"/>
    <n v="4.1617704661182925E-4"/>
    <s v="No"/>
  </r>
  <r>
    <n v="58.6"/>
    <d v="2012-07-08T00:00:00"/>
    <x v="1"/>
    <s v="Solidarities"/>
    <s v="Kachin"/>
    <s v="Momauk"/>
    <s v="Momauk Baptist Church"/>
    <n v="64"/>
    <m/>
    <m/>
    <m/>
    <m/>
    <m/>
    <m/>
    <m/>
    <m/>
    <m/>
    <m/>
    <m/>
    <m/>
    <m/>
    <m/>
    <m/>
    <m/>
    <n v="0"/>
    <n v="0"/>
    <n v="0"/>
    <n v="0"/>
    <n v="0"/>
    <n v="0"/>
    <n v="0"/>
    <n v="0"/>
    <n v="0"/>
    <n v="0"/>
    <n v="0"/>
    <n v="0"/>
    <n v="0"/>
    <n v="0"/>
    <n v="0"/>
    <n v="0"/>
    <n v="0"/>
    <n v="0"/>
    <s v="MMR001CMP056"/>
    <x v="0"/>
    <x v="0"/>
    <s v="P4"/>
    <n v="0"/>
    <m/>
  </r>
  <r>
    <n v="58.6"/>
    <d v="2012-07-08T00:00:00"/>
    <x v="1"/>
    <s v="Solidarities"/>
    <s v="Kachin"/>
    <s v="Bhamo"/>
    <s v="Chan Myae monastery"/>
    <n v="3"/>
    <m/>
    <m/>
    <m/>
    <m/>
    <m/>
    <m/>
    <m/>
    <m/>
    <m/>
    <m/>
    <m/>
    <m/>
    <m/>
    <m/>
    <m/>
    <m/>
    <n v="0"/>
    <n v="0"/>
    <n v="0"/>
    <n v="0"/>
    <n v="0"/>
    <n v="0"/>
    <n v="0"/>
    <n v="0"/>
    <n v="0"/>
    <n v="0"/>
    <n v="0"/>
    <n v="0"/>
    <n v="0"/>
    <n v="0"/>
    <n v="0"/>
    <n v="0"/>
    <n v="0"/>
    <n v="0"/>
    <s v=""/>
    <x v="1"/>
    <x v="2"/>
    <s v=""/>
    <s v=""/>
    <m/>
  </r>
  <r>
    <n v="58.6"/>
    <d v="2012-07-08T00:00:00"/>
    <x v="0"/>
    <s v="Shalom"/>
    <s v="Kachin"/>
    <s v="Momauk"/>
    <s v="Ni Thaw Ka Monestry"/>
    <n v="16"/>
    <m/>
    <m/>
    <m/>
    <m/>
    <m/>
    <m/>
    <m/>
    <m/>
    <m/>
    <m/>
    <m/>
    <m/>
    <m/>
    <m/>
    <m/>
    <m/>
    <n v="0"/>
    <n v="0"/>
    <n v="0"/>
    <n v="0"/>
    <n v="0"/>
    <n v="0"/>
    <n v="0"/>
    <n v="0"/>
    <n v="0"/>
    <n v="0"/>
    <n v="0"/>
    <n v="0"/>
    <n v="0"/>
    <n v="0"/>
    <n v="0"/>
    <n v="0"/>
    <n v="0"/>
    <n v="0"/>
    <s v="MMR001CMP059"/>
    <x v="0"/>
    <x v="1"/>
    <s v="P4"/>
    <n v="0"/>
    <m/>
  </r>
  <r>
    <n v="58.6"/>
    <d v="2012-07-08T00:00:00"/>
    <x v="1"/>
    <s v="Solidarities"/>
    <s v="Kachin"/>
    <s v="Momauk"/>
    <s v="Ni Thaw Ka Monestry"/>
    <n v="16"/>
    <m/>
    <m/>
    <m/>
    <m/>
    <m/>
    <m/>
    <m/>
    <m/>
    <m/>
    <m/>
    <m/>
    <m/>
    <m/>
    <m/>
    <m/>
    <m/>
    <n v="0"/>
    <n v="0"/>
    <n v="0"/>
    <n v="0"/>
    <n v="0"/>
    <n v="0"/>
    <n v="0"/>
    <n v="0"/>
    <n v="0"/>
    <n v="0"/>
    <n v="0"/>
    <n v="0"/>
    <n v="0"/>
    <n v="0"/>
    <n v="0"/>
    <n v="0"/>
    <n v="0"/>
    <n v="0"/>
    <s v="MMR001CMP059"/>
    <x v="0"/>
    <x v="1"/>
    <s v="P4"/>
    <n v="0"/>
    <m/>
  </r>
  <r>
    <n v="58.56666666666667"/>
    <d v="2012-07-09T00:00:00"/>
    <x v="0"/>
    <s v="UNHCR"/>
    <s v="Kachin"/>
    <s v="Waingmaw"/>
    <s v="Qtr. 2 Lhaovo Baptist Church"/>
    <m/>
    <m/>
    <m/>
    <n v="77"/>
    <n v="34"/>
    <n v="77"/>
    <n v="35"/>
    <n v="52"/>
    <n v="52"/>
    <n v="52"/>
    <m/>
    <m/>
    <m/>
    <m/>
    <m/>
    <m/>
    <m/>
    <n v="0"/>
    <n v="0"/>
    <n v="0"/>
    <n v="0"/>
    <n v="0"/>
    <n v="0"/>
    <n v="0"/>
    <n v="0"/>
    <n v="0"/>
    <n v="0"/>
    <n v="0"/>
    <n v="0"/>
    <n v="0"/>
    <n v="0"/>
    <n v="0"/>
    <n v="0"/>
    <n v="0"/>
    <n v="0"/>
    <s v="MMR001CMP032"/>
    <x v="0"/>
    <x v="0"/>
    <s v="P4"/>
    <n v="8.594229588704727E-4"/>
    <s v="No"/>
  </r>
  <r>
    <n v="58.533333333333331"/>
    <d v="2012-07-10T00:00:00"/>
    <x v="0"/>
    <s v="KMSS"/>
    <s v="Kachin"/>
    <s v="Waingmaw"/>
    <s v="Maga Yang "/>
    <m/>
    <m/>
    <m/>
    <n v="0"/>
    <n v="599"/>
    <n v="675"/>
    <n v="599"/>
    <n v="0"/>
    <m/>
    <m/>
    <m/>
    <m/>
    <m/>
    <m/>
    <m/>
    <m/>
    <m/>
    <n v="0"/>
    <n v="0"/>
    <n v="0"/>
    <n v="0"/>
    <n v="0"/>
    <n v="0"/>
    <n v="0"/>
    <n v="0"/>
    <n v="0"/>
    <n v="0"/>
    <n v="0"/>
    <n v="0"/>
    <n v="0"/>
    <n v="0"/>
    <n v="0"/>
    <n v="0"/>
    <n v="0"/>
    <n v="0"/>
    <s v="MMR001CMP119"/>
    <x v="0"/>
    <x v="0"/>
    <s v="P2"/>
    <n v="1.4719252979481508E-2"/>
    <s v="No"/>
  </r>
  <r>
    <n v="58.43333333333333"/>
    <d v="2012-07-13T00:00:00"/>
    <x v="0"/>
    <s v="UNHCR"/>
    <s v="Kachin"/>
    <s v="Waingmaw"/>
    <s v="Hkat Cho "/>
    <m/>
    <m/>
    <m/>
    <n v="9"/>
    <n v="9"/>
    <n v="9"/>
    <n v="9"/>
    <n v="9"/>
    <n v="9"/>
    <n v="9"/>
    <m/>
    <m/>
    <m/>
    <m/>
    <m/>
    <m/>
    <m/>
    <n v="0"/>
    <n v="0"/>
    <n v="0"/>
    <n v="0"/>
    <n v="0"/>
    <n v="0"/>
    <n v="0"/>
    <n v="0"/>
    <n v="0"/>
    <n v="0"/>
    <n v="0"/>
    <n v="0"/>
    <n v="0"/>
    <n v="0"/>
    <n v="0"/>
    <n v="0"/>
    <n v="0"/>
    <n v="0"/>
    <s v="MMR001CMP028"/>
    <x v="0"/>
    <x v="0"/>
    <s v="P4"/>
    <n v="2.2115739034279396E-4"/>
    <s v="No"/>
  </r>
  <r>
    <n v="58.43333333333333"/>
    <d v="2012-07-13T00:00:00"/>
    <x v="0"/>
    <s v="UNHCR"/>
    <s v="Kachin"/>
    <s v="Waingmaw"/>
    <s v="Maina Lawang Baptist Church"/>
    <m/>
    <m/>
    <m/>
    <n v="6"/>
    <n v="6"/>
    <n v="6"/>
    <n v="6"/>
    <n v="6"/>
    <n v="6"/>
    <n v="6"/>
    <m/>
    <m/>
    <m/>
    <m/>
    <m/>
    <m/>
    <m/>
    <n v="0"/>
    <n v="0"/>
    <n v="0"/>
    <n v="0"/>
    <n v="0"/>
    <n v="0"/>
    <n v="0"/>
    <n v="0"/>
    <n v="0"/>
    <n v="0"/>
    <n v="0"/>
    <n v="0"/>
    <n v="0"/>
    <n v="0"/>
    <n v="0"/>
    <n v="0"/>
    <n v="0"/>
    <n v="0"/>
    <s v="MMR001CMP039"/>
    <x v="0"/>
    <x v="0"/>
    <s v="P4"/>
    <n v="1.4677821811243211E-4"/>
    <s v="No"/>
  </r>
  <r>
    <n v="58.43333333333333"/>
    <d v="2012-07-13T00:00:00"/>
    <x v="0"/>
    <s v="UNHCR"/>
    <s v="Kachin"/>
    <s v="Waingmaw"/>
    <s v="Qtr. 2 Lhaovo Baptist Church"/>
    <m/>
    <m/>
    <m/>
    <n v="13"/>
    <n v="13"/>
    <n v="13"/>
    <n v="13"/>
    <n v="13"/>
    <n v="13"/>
    <n v="13"/>
    <m/>
    <m/>
    <m/>
    <m/>
    <m/>
    <m/>
    <m/>
    <n v="0"/>
    <n v="0"/>
    <n v="0"/>
    <n v="0"/>
    <n v="0"/>
    <n v="0"/>
    <n v="0"/>
    <n v="0"/>
    <n v="0"/>
    <n v="0"/>
    <n v="0"/>
    <n v="0"/>
    <n v="0"/>
    <n v="0"/>
    <n v="0"/>
    <n v="0"/>
    <n v="0"/>
    <n v="0"/>
    <s v="MMR001CMP032"/>
    <x v="0"/>
    <x v="0"/>
    <s v="P4"/>
    <n v="3.1921424186617559E-4"/>
    <s v="No"/>
  </r>
  <r>
    <n v="58.43333333333333"/>
    <d v="2012-07-13T00:00:00"/>
    <x v="0"/>
    <s v="UNHCR"/>
    <s v="Kachin"/>
    <s v="Waingmaw"/>
    <s v="Qtr. 4 Monestry (Thargaya Thayett Taw)"/>
    <m/>
    <m/>
    <m/>
    <n v="3"/>
    <n v="3"/>
    <n v="3"/>
    <n v="3"/>
    <n v="3"/>
    <n v="3"/>
    <n v="3"/>
    <m/>
    <m/>
    <m/>
    <m/>
    <m/>
    <m/>
    <m/>
    <n v="0"/>
    <n v="0"/>
    <n v="0"/>
    <n v="0"/>
    <n v="0"/>
    <n v="0"/>
    <n v="0"/>
    <n v="0"/>
    <n v="0"/>
    <n v="0"/>
    <n v="0"/>
    <n v="0"/>
    <n v="0"/>
    <n v="0"/>
    <n v="0"/>
    <n v="0"/>
    <n v="0"/>
    <n v="0"/>
    <s v="MMR001CMP026"/>
    <x v="0"/>
    <x v="0"/>
    <s v="P4"/>
    <n v="7.3277967757694182E-5"/>
    <s v="No"/>
  </r>
  <r>
    <n v="58.43333333333333"/>
    <d v="2012-07-13T00:00:00"/>
    <x v="0"/>
    <s v="UNHCR"/>
    <s v="Kachin"/>
    <s v="Waingmaw"/>
    <s v="Thargaya Lisu Baptist Church"/>
    <m/>
    <m/>
    <m/>
    <n v="8"/>
    <n v="8"/>
    <n v="8"/>
    <n v="8"/>
    <n v="8"/>
    <n v="8"/>
    <n v="8"/>
    <m/>
    <m/>
    <m/>
    <m/>
    <m/>
    <m/>
    <m/>
    <n v="0"/>
    <n v="0"/>
    <n v="0"/>
    <n v="0"/>
    <n v="0"/>
    <n v="0"/>
    <n v="0"/>
    <n v="0"/>
    <n v="0"/>
    <n v="0"/>
    <n v="0"/>
    <n v="0"/>
    <n v="0"/>
    <n v="0"/>
    <n v="0"/>
    <n v="0"/>
    <n v="0"/>
    <n v="0"/>
    <s v="MMR001CMP037"/>
    <x v="0"/>
    <x v="0"/>
    <s v="P4"/>
    <n v="1.9584802193497845E-4"/>
    <s v="No"/>
  </r>
  <r>
    <n v="58.43333333333333"/>
    <d v="2012-07-13T00:00:00"/>
    <x v="0"/>
    <s v="UNHCR"/>
    <s v="Kachin"/>
    <s v="Waingmaw"/>
    <s v="Waingmaw Baptist Zonal Office"/>
    <m/>
    <m/>
    <m/>
    <n v="2"/>
    <n v="2"/>
    <n v="2"/>
    <n v="2"/>
    <n v="2"/>
    <n v="2"/>
    <n v="2"/>
    <m/>
    <m/>
    <m/>
    <m/>
    <m/>
    <m/>
    <m/>
    <n v="0"/>
    <n v="0"/>
    <n v="0"/>
    <n v="0"/>
    <n v="0"/>
    <n v="0"/>
    <n v="0"/>
    <n v="0"/>
    <n v="0"/>
    <n v="0"/>
    <n v="0"/>
    <n v="0"/>
    <n v="0"/>
    <n v="0"/>
    <n v="0"/>
    <n v="0"/>
    <n v="0"/>
    <n v="0"/>
    <s v="MMR001CMP036"/>
    <x v="0"/>
    <x v="1"/>
    <s v="P4"/>
    <n v="4.8962005483744613E-5"/>
    <s v="No"/>
  </r>
  <r>
    <n v="58.333333333333336"/>
    <d v="2012-07-16T00:00:00"/>
    <x v="0"/>
    <s v="UNHCR"/>
    <s v="Kachin"/>
    <s v="Myitkyina"/>
    <s v="Kyun Pin Thar Baptist Church"/>
    <m/>
    <m/>
    <m/>
    <n v="33"/>
    <n v="33"/>
    <n v="33"/>
    <n v="33"/>
    <n v="33"/>
    <n v="33"/>
    <n v="33"/>
    <m/>
    <m/>
    <m/>
    <m/>
    <m/>
    <m/>
    <m/>
    <n v="0"/>
    <n v="0"/>
    <n v="0"/>
    <n v="0"/>
    <n v="0"/>
    <n v="0"/>
    <n v="0"/>
    <n v="0"/>
    <n v="0"/>
    <n v="0"/>
    <n v="0"/>
    <n v="0"/>
    <n v="0"/>
    <n v="0"/>
    <n v="0"/>
    <n v="0"/>
    <n v="0"/>
    <n v="0"/>
    <s v="MMR001CMP013"/>
    <x v="0"/>
    <x v="0"/>
    <s v="P4"/>
    <n v="8.0666845926324286E-4"/>
    <s v="No"/>
  </r>
  <r>
    <n v="58.333333333333336"/>
    <d v="2012-07-16T00:00:00"/>
    <x v="0"/>
    <s v="UNHCR"/>
    <s v="Kachin"/>
    <s v="Myitkyina"/>
    <s v="Le Kone Bethlehem Church"/>
    <m/>
    <m/>
    <m/>
    <n v="6"/>
    <n v="6"/>
    <n v="6"/>
    <n v="6"/>
    <n v="6"/>
    <n v="6"/>
    <n v="6"/>
    <m/>
    <m/>
    <m/>
    <m/>
    <m/>
    <m/>
    <m/>
    <n v="0"/>
    <n v="0"/>
    <n v="0"/>
    <n v="0"/>
    <n v="0"/>
    <n v="0"/>
    <n v="0"/>
    <n v="0"/>
    <n v="0"/>
    <n v="0"/>
    <n v="0"/>
    <n v="0"/>
    <n v="0"/>
    <n v="0"/>
    <n v="0"/>
    <n v="0"/>
    <n v="0"/>
    <n v="0"/>
    <s v="MMR001CMP015"/>
    <x v="0"/>
    <x v="0"/>
    <s v="P4"/>
    <n v="1.4777233209368765E-4"/>
    <s v="No"/>
  </r>
  <r>
    <n v="58.333333333333336"/>
    <d v="2012-07-16T00:00:00"/>
    <x v="0"/>
    <s v="UNHCR"/>
    <s v="Kachin"/>
    <s v="Myitkyina"/>
    <s v="Le Kone Bethlehem Church"/>
    <m/>
    <m/>
    <m/>
    <n v="13"/>
    <n v="13"/>
    <n v="13"/>
    <n v="13"/>
    <n v="13"/>
    <n v="13"/>
    <n v="13"/>
    <m/>
    <m/>
    <m/>
    <m/>
    <m/>
    <m/>
    <m/>
    <n v="0"/>
    <n v="0"/>
    <n v="0"/>
    <n v="0"/>
    <n v="0"/>
    <n v="0"/>
    <n v="0"/>
    <n v="0"/>
    <n v="0"/>
    <n v="0"/>
    <n v="0"/>
    <n v="0"/>
    <n v="0"/>
    <n v="0"/>
    <n v="0"/>
    <n v="0"/>
    <n v="0"/>
    <n v="0"/>
    <s v="MMR001CMP015"/>
    <x v="0"/>
    <x v="0"/>
    <s v="P4"/>
    <n v="3.2017338620298993E-4"/>
    <s v="No"/>
  </r>
  <r>
    <n v="58.333333333333336"/>
    <d v="2012-07-16T00:00:00"/>
    <x v="0"/>
    <s v="UNHCR"/>
    <s v="Kachin"/>
    <s v="Myitkyina"/>
    <s v="Le Kone Ziun Baptist Church "/>
    <m/>
    <m/>
    <m/>
    <n v="50"/>
    <n v="50"/>
    <n v="50"/>
    <n v="50"/>
    <n v="50"/>
    <n v="50"/>
    <n v="50"/>
    <m/>
    <m/>
    <m/>
    <m/>
    <m/>
    <m/>
    <m/>
    <n v="0"/>
    <n v="0"/>
    <n v="0"/>
    <n v="0"/>
    <n v="0"/>
    <n v="0"/>
    <n v="0"/>
    <n v="0"/>
    <n v="0"/>
    <n v="0"/>
    <n v="0"/>
    <n v="0"/>
    <n v="0"/>
    <n v="0"/>
    <n v="0"/>
    <n v="0"/>
    <n v="0"/>
    <n v="0"/>
    <s v="MMR001CMP014"/>
    <x v="0"/>
    <x v="0"/>
    <s v="P4"/>
    <n v="1.2286521685710775E-3"/>
    <s v="No"/>
  </r>
  <r>
    <n v="58.333333333333336"/>
    <d v="2012-07-16T00:00:00"/>
    <x v="0"/>
    <s v="UNHCR"/>
    <s v="Kachin"/>
    <s v="Myitkyina"/>
    <s v="Maliyang Baptist Church"/>
    <m/>
    <m/>
    <m/>
    <n v="3"/>
    <n v="3"/>
    <n v="3"/>
    <n v="3"/>
    <n v="3"/>
    <n v="3"/>
    <n v="3"/>
    <m/>
    <m/>
    <m/>
    <m/>
    <m/>
    <m/>
    <m/>
    <n v="0"/>
    <n v="0"/>
    <n v="0"/>
    <n v="0"/>
    <n v="0"/>
    <n v="0"/>
    <n v="0"/>
    <n v="0"/>
    <n v="0"/>
    <n v="0"/>
    <n v="0"/>
    <n v="0"/>
    <n v="0"/>
    <n v="0"/>
    <n v="0"/>
    <n v="0"/>
    <n v="0"/>
    <n v="0"/>
    <s v="MMR001CMP016"/>
    <x v="0"/>
    <x v="0"/>
    <s v="P4"/>
    <n v="7.3608793797232309E-5"/>
    <s v="No"/>
  </r>
  <r>
    <n v="58.333333333333336"/>
    <d v="2012-07-16T00:00:00"/>
    <x v="0"/>
    <s v="UNHCR"/>
    <s v="Kachin"/>
    <s v="Myitkyina"/>
    <s v="Njang Dung Baptist Church "/>
    <m/>
    <m/>
    <m/>
    <n v="25"/>
    <n v="25"/>
    <n v="25"/>
    <n v="25"/>
    <n v="25"/>
    <n v="25"/>
    <n v="25"/>
    <m/>
    <m/>
    <m/>
    <m/>
    <m/>
    <m/>
    <m/>
    <n v="0"/>
    <n v="0"/>
    <n v="0"/>
    <n v="0"/>
    <n v="0"/>
    <n v="0"/>
    <n v="0"/>
    <n v="0"/>
    <n v="0"/>
    <n v="0"/>
    <n v="0"/>
    <n v="0"/>
    <n v="0"/>
    <n v="0"/>
    <n v="0"/>
    <n v="0"/>
    <n v="0"/>
    <n v="0"/>
    <s v="MMR001CMP002"/>
    <x v="0"/>
    <x v="0"/>
    <s v="P4"/>
    <n v="6.1432608428553873E-4"/>
    <s v="No"/>
  </r>
  <r>
    <n v="58.3"/>
    <d v="2012-07-17T00:00:00"/>
    <x v="0"/>
    <s v="UNHCR"/>
    <s v="Kachin"/>
    <s v="Waingmaw"/>
    <s v="Border Post 8"/>
    <m/>
    <m/>
    <m/>
    <n v="19"/>
    <n v="19"/>
    <n v="19"/>
    <n v="19"/>
    <n v="19"/>
    <n v="19"/>
    <n v="19"/>
    <m/>
    <m/>
    <m/>
    <m/>
    <m/>
    <m/>
    <m/>
    <n v="0"/>
    <n v="0"/>
    <n v="0"/>
    <n v="0"/>
    <n v="0"/>
    <n v="0"/>
    <n v="0"/>
    <n v="0"/>
    <n v="0"/>
    <n v="0"/>
    <n v="0"/>
    <n v="0"/>
    <n v="0"/>
    <n v="0"/>
    <n v="0"/>
    <n v="0"/>
    <n v="0"/>
    <n v="0"/>
    <s v="MMR001CMP113"/>
    <x v="0"/>
    <x v="0"/>
    <s v="P1"/>
    <n v="4.6513905209557383E-4"/>
    <s v="No"/>
  </r>
  <r>
    <n v="58.3"/>
    <d v="2012-07-17T00:00:00"/>
    <x v="0"/>
    <s v="UNHCR"/>
    <s v="Kachin"/>
    <s v="Myitkyina"/>
    <s v="Du Kahtawng Qtr. 14"/>
    <m/>
    <m/>
    <m/>
    <n v="5"/>
    <n v="5"/>
    <n v="5"/>
    <n v="5"/>
    <n v="5"/>
    <n v="5"/>
    <n v="5"/>
    <m/>
    <m/>
    <m/>
    <m/>
    <m/>
    <m/>
    <m/>
    <n v="0"/>
    <n v="0"/>
    <n v="0"/>
    <n v="0"/>
    <n v="0"/>
    <n v="0"/>
    <n v="0"/>
    <n v="0"/>
    <n v="0"/>
    <n v="0"/>
    <n v="0"/>
    <n v="0"/>
    <n v="0"/>
    <n v="0"/>
    <n v="0"/>
    <n v="0"/>
    <n v="0"/>
    <n v="0"/>
    <s v="MMR001CMP012"/>
    <x v="0"/>
    <x v="0"/>
    <s v="P4"/>
    <n v="1.2286521685710776E-4"/>
    <s v="No"/>
  </r>
  <r>
    <n v="58.3"/>
    <d v="2012-07-17T00:00:00"/>
    <x v="0"/>
    <s v="UNHCR"/>
    <s v="Kachin"/>
    <s v="Myitkyina"/>
    <s v="Du Kahtawng Qtr. 4"/>
    <m/>
    <m/>
    <m/>
    <n v="6"/>
    <n v="6"/>
    <n v="6"/>
    <n v="6"/>
    <n v="6"/>
    <n v="6"/>
    <n v="6"/>
    <m/>
    <m/>
    <m/>
    <m/>
    <m/>
    <m/>
    <m/>
    <n v="0"/>
    <n v="0"/>
    <n v="0"/>
    <n v="0"/>
    <n v="0"/>
    <n v="0"/>
    <n v="0"/>
    <n v="0"/>
    <n v="0"/>
    <n v="0"/>
    <n v="0"/>
    <n v="0"/>
    <n v="0"/>
    <n v="0"/>
    <n v="0"/>
    <n v="0"/>
    <n v="0"/>
    <n v="0"/>
    <s v="MMR001CMP010"/>
    <x v="0"/>
    <x v="0"/>
    <s v="P4"/>
    <n v="1.474382602285293E-4"/>
    <s v="No"/>
  </r>
  <r>
    <n v="58.3"/>
    <d v="2012-07-17T00:00:00"/>
    <x v="0"/>
    <s v="UNHCR"/>
    <s v="Kachin"/>
    <s v="Myitkyina"/>
    <s v="Du Kahtawng Qtr. 5"/>
    <m/>
    <m/>
    <m/>
    <n v="6"/>
    <n v="6"/>
    <n v="6"/>
    <n v="6"/>
    <n v="6"/>
    <n v="6"/>
    <n v="6"/>
    <m/>
    <m/>
    <m/>
    <m/>
    <m/>
    <m/>
    <m/>
    <n v="0"/>
    <n v="0"/>
    <n v="0"/>
    <n v="0"/>
    <n v="0"/>
    <n v="0"/>
    <n v="0"/>
    <n v="0"/>
    <n v="0"/>
    <n v="0"/>
    <n v="0"/>
    <n v="0"/>
    <n v="0"/>
    <n v="0"/>
    <n v="0"/>
    <n v="0"/>
    <n v="0"/>
    <n v="0"/>
    <s v="MMR001CMP011"/>
    <x v="0"/>
    <x v="0"/>
    <s v="P4"/>
    <n v="1.474382602285293E-4"/>
    <s v="No"/>
  </r>
  <r>
    <n v="58.3"/>
    <d v="2012-07-17T00:00:00"/>
    <x v="0"/>
    <s v="UNHCR"/>
    <s v="Kachin"/>
    <s v="Momauk"/>
    <s v="Dum Bung "/>
    <m/>
    <m/>
    <m/>
    <n v="380"/>
    <n v="156"/>
    <n v="380"/>
    <n v="156"/>
    <n v="156"/>
    <n v="156"/>
    <n v="156"/>
    <m/>
    <m/>
    <m/>
    <m/>
    <m/>
    <m/>
    <m/>
    <n v="0"/>
    <n v="0"/>
    <n v="0"/>
    <n v="0"/>
    <n v="0"/>
    <n v="0"/>
    <n v="0"/>
    <n v="0"/>
    <n v="0"/>
    <n v="0"/>
    <n v="0"/>
    <n v="0"/>
    <n v="0"/>
    <n v="0"/>
    <n v="0"/>
    <n v="0"/>
    <n v="0"/>
    <n v="0"/>
    <s v="MMR001CMP123"/>
    <x v="0"/>
    <x v="0"/>
    <s v="P2"/>
    <n v="3.8276572774560802E-3"/>
    <s v="No"/>
  </r>
  <r>
    <n v="58.3"/>
    <d v="2012-07-17T00:00:00"/>
    <x v="0"/>
    <s v="UNHCR"/>
    <s v="Kachin"/>
    <s v="Momauk"/>
    <s v="Hpun Lum Yang "/>
    <m/>
    <m/>
    <m/>
    <n v="0"/>
    <n v="0"/>
    <n v="0"/>
    <n v="0"/>
    <n v="0"/>
    <m/>
    <m/>
    <m/>
    <m/>
    <m/>
    <m/>
    <m/>
    <m/>
    <m/>
    <n v="0"/>
    <n v="0"/>
    <n v="0"/>
    <n v="0"/>
    <n v="0"/>
    <n v="0"/>
    <n v="0"/>
    <n v="0"/>
    <n v="0"/>
    <n v="0"/>
    <n v="0"/>
    <n v="0"/>
    <n v="0"/>
    <n v="0"/>
    <n v="0"/>
    <n v="0"/>
    <n v="0"/>
    <n v="0"/>
    <s v="MMR001CMP122"/>
    <x v="0"/>
    <x v="0"/>
    <s v="P2"/>
    <n v="0"/>
    <s v="No"/>
  </r>
  <r>
    <n v="58.3"/>
    <d v="2012-07-17T00:00:00"/>
    <x v="0"/>
    <s v="UNHCR"/>
    <s v="Kachin"/>
    <s v="Myitkyina"/>
    <s v="Jan Mai Kawng Baptist Church"/>
    <m/>
    <m/>
    <m/>
    <n v="21"/>
    <n v="21"/>
    <n v="21"/>
    <n v="21"/>
    <n v="21"/>
    <n v="21"/>
    <n v="21"/>
    <m/>
    <m/>
    <m/>
    <m/>
    <m/>
    <m/>
    <m/>
    <n v="0"/>
    <n v="0"/>
    <n v="0"/>
    <n v="0"/>
    <n v="0"/>
    <n v="0"/>
    <n v="0"/>
    <n v="0"/>
    <n v="0"/>
    <n v="0"/>
    <n v="0"/>
    <n v="0"/>
    <n v="0"/>
    <n v="0"/>
    <n v="0"/>
    <n v="0"/>
    <n v="0"/>
    <n v="0"/>
    <s v="MMR001CMP018"/>
    <x v="0"/>
    <x v="0"/>
    <s v="P4"/>
    <n v="5.1565377532228362E-4"/>
    <s v="No"/>
  </r>
  <r>
    <n v="58.3"/>
    <d v="2012-07-17T00:00:00"/>
    <x v="0"/>
    <s v="UNHCR"/>
    <s v="Kachin"/>
    <s v="Momauk"/>
    <s v="Loi Je Lisu Camp"/>
    <m/>
    <m/>
    <m/>
    <n v="0"/>
    <n v="0"/>
    <n v="0"/>
    <n v="0"/>
    <n v="0"/>
    <m/>
    <m/>
    <m/>
    <m/>
    <m/>
    <m/>
    <m/>
    <m/>
    <m/>
    <n v="0"/>
    <n v="0"/>
    <n v="0"/>
    <n v="0"/>
    <n v="0"/>
    <n v="0"/>
    <n v="0"/>
    <n v="0"/>
    <n v="0"/>
    <n v="0"/>
    <n v="0"/>
    <n v="0"/>
    <n v="0"/>
    <n v="0"/>
    <n v="0"/>
    <n v="0"/>
    <n v="0"/>
    <n v="0"/>
    <s v="MMR001CMP070"/>
    <x v="0"/>
    <x v="0"/>
    <s v="P3"/>
    <n v="0"/>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ansi"/>
    <s v="Man Wing Baptist Church"/>
    <m/>
    <m/>
    <m/>
    <n v="0"/>
    <n v="0"/>
    <n v="0"/>
    <n v="0"/>
    <n v="0"/>
    <m/>
    <m/>
    <m/>
    <m/>
    <m/>
    <m/>
    <m/>
    <m/>
    <m/>
    <n v="0"/>
    <n v="0"/>
    <n v="0"/>
    <n v="0"/>
    <n v="0"/>
    <n v="0"/>
    <n v="0"/>
    <n v="0"/>
    <n v="0"/>
    <n v="0"/>
    <n v="0"/>
    <n v="0"/>
    <n v="0"/>
    <n v="0"/>
    <n v="0"/>
    <n v="0"/>
    <n v="0"/>
    <n v="0"/>
    <s v="MMR001CMP133"/>
    <x v="0"/>
    <x v="0"/>
    <s v="P4"/>
    <n v="0"/>
    <s v="No"/>
  </r>
  <r>
    <n v="58.3"/>
    <d v="2012-07-17T00:00:00"/>
    <x v="0"/>
    <s v="UNHCR"/>
    <s v="Kachin"/>
    <s v="Myitkyina"/>
    <s v="Maw Hpawng Hka Nan Baptist Church"/>
    <m/>
    <m/>
    <m/>
    <n v="0"/>
    <n v="0"/>
    <n v="0"/>
    <n v="0"/>
    <n v="0"/>
    <m/>
    <m/>
    <m/>
    <m/>
    <m/>
    <m/>
    <m/>
    <m/>
    <m/>
    <n v="0"/>
    <n v="0"/>
    <n v="0"/>
    <n v="0"/>
    <n v="0"/>
    <n v="0"/>
    <n v="0"/>
    <n v="0"/>
    <n v="0"/>
    <n v="0"/>
    <n v="0"/>
    <n v="0"/>
    <n v="0"/>
    <n v="0"/>
    <n v="0"/>
    <n v="0"/>
    <n v="0"/>
    <n v="0"/>
    <s v="MMR001CMP020"/>
    <x v="0"/>
    <x v="0"/>
    <s v="P4"/>
    <n v="0"/>
    <s v="No"/>
  </r>
  <r>
    <n v="58.3"/>
    <d v="2012-07-17T00:00:00"/>
    <x v="0"/>
    <s v="UNHCR"/>
    <s v="Kachin"/>
    <s v="Myitkyina"/>
    <s v="Maw Hpawng Hka Nan Baptist Church"/>
    <m/>
    <m/>
    <m/>
    <n v="19"/>
    <n v="19"/>
    <n v="19"/>
    <n v="19"/>
    <n v="19"/>
    <n v="19"/>
    <n v="19"/>
    <m/>
    <m/>
    <m/>
    <m/>
    <m/>
    <m/>
    <m/>
    <n v="0"/>
    <n v="0"/>
    <n v="0"/>
    <n v="0"/>
    <n v="0"/>
    <n v="0"/>
    <n v="0"/>
    <n v="0"/>
    <n v="0"/>
    <n v="0"/>
    <n v="0"/>
    <n v="0"/>
    <n v="0"/>
    <n v="0"/>
    <n v="0"/>
    <n v="0"/>
    <n v="0"/>
    <n v="0"/>
    <s v="MMR001CMP020"/>
    <x v="0"/>
    <x v="0"/>
    <s v="P4"/>
    <n v="4.6549231937673027E-4"/>
    <s v="No"/>
  </r>
  <r>
    <n v="58.3"/>
    <d v="2012-07-17T00:00:00"/>
    <x v="0"/>
    <s v="UNHCR"/>
    <s v="Kachin"/>
    <s v="Myitkyina"/>
    <s v="Nan Kway St. John Catholic Church"/>
    <m/>
    <m/>
    <m/>
    <n v="6"/>
    <n v="6"/>
    <n v="6"/>
    <n v="6"/>
    <n v="6"/>
    <n v="6"/>
    <n v="6"/>
    <m/>
    <m/>
    <m/>
    <m/>
    <m/>
    <m/>
    <m/>
    <n v="0"/>
    <n v="0"/>
    <n v="0"/>
    <n v="0"/>
    <n v="0"/>
    <n v="0"/>
    <n v="0"/>
    <n v="0"/>
    <n v="0"/>
    <n v="0"/>
    <n v="0"/>
    <n v="0"/>
    <n v="0"/>
    <n v="0"/>
    <n v="0"/>
    <n v="0"/>
    <n v="0"/>
    <n v="0"/>
    <s v="MMR001CMP024"/>
    <x v="0"/>
    <x v="0"/>
    <s v="P4"/>
    <n v="1.4666699259331686E-4"/>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yitkyina"/>
    <s v="Shatapru Thida Aye Baptist Church"/>
    <m/>
    <m/>
    <m/>
    <n v="3"/>
    <n v="3"/>
    <n v="3"/>
    <n v="3"/>
    <n v="3"/>
    <n v="3"/>
    <n v="3"/>
    <m/>
    <m/>
    <m/>
    <m/>
    <m/>
    <m/>
    <m/>
    <n v="0"/>
    <n v="0"/>
    <n v="0"/>
    <n v="0"/>
    <n v="0"/>
    <n v="0"/>
    <n v="0"/>
    <n v="0"/>
    <n v="0"/>
    <n v="0"/>
    <n v="0"/>
    <n v="0"/>
    <n v="0"/>
    <n v="0"/>
    <n v="0"/>
    <n v="0"/>
    <n v="0"/>
    <n v="0"/>
    <s v="MMR001CMP007"/>
    <x v="0"/>
    <x v="0"/>
    <s v="P4"/>
    <n v="7.333349629665843E-5"/>
    <s v="No"/>
  </r>
  <r>
    <n v="58.3"/>
    <d v="2012-07-17T00:00:00"/>
    <x v="0"/>
    <s v="UNHCR"/>
    <s v="Kachin"/>
    <s v="Myitkyina"/>
    <s v="Tat Kone Galile Baptist Church"/>
    <m/>
    <m/>
    <m/>
    <n v="7"/>
    <n v="7"/>
    <n v="7"/>
    <n v="7"/>
    <n v="7"/>
    <n v="7"/>
    <n v="7"/>
    <m/>
    <m/>
    <m/>
    <m/>
    <m/>
    <m/>
    <m/>
    <n v="0"/>
    <n v="0"/>
    <n v="0"/>
    <n v="0"/>
    <n v="0"/>
    <n v="0"/>
    <n v="0"/>
    <n v="0"/>
    <n v="0"/>
    <n v="0"/>
    <n v="0"/>
    <n v="0"/>
    <n v="0"/>
    <n v="0"/>
    <n v="0"/>
    <n v="0"/>
    <n v="0"/>
    <n v="0"/>
    <s v="MMR001CMP003"/>
    <x v="0"/>
    <x v="0"/>
    <s v="P4"/>
    <n v="1.7188459177409454E-4"/>
    <s v="No"/>
  </r>
  <r>
    <n v="58.3"/>
    <d v="2012-07-17T00:00:00"/>
    <x v="0"/>
    <s v="UNHCR"/>
    <s v="Kachin"/>
    <s v="Mansi"/>
    <s v="Lung Kawk  ( Hka Hkye Zup)"/>
    <m/>
    <m/>
    <m/>
    <n v="0"/>
    <n v="0"/>
    <n v="0"/>
    <n v="0"/>
    <n v="0"/>
    <m/>
    <m/>
    <m/>
    <m/>
    <m/>
    <m/>
    <m/>
    <m/>
    <m/>
    <n v="0"/>
    <n v="0"/>
    <n v="0"/>
    <n v="0"/>
    <n v="0"/>
    <n v="0"/>
    <n v="0"/>
    <n v="0"/>
    <n v="0"/>
    <n v="0"/>
    <n v="0"/>
    <n v="0"/>
    <n v="0"/>
    <n v="0"/>
    <n v="0"/>
    <n v="0"/>
    <n v="0"/>
    <n v="0"/>
    <s v="MMR001CMP135"/>
    <x v="0"/>
    <x v="1"/>
    <s v="P2"/>
    <n v="0"/>
    <s v="No"/>
  </r>
  <r>
    <n v="58.3"/>
    <d v="2012-07-17T00:00:00"/>
    <x v="0"/>
    <s v="UNHCR"/>
    <s v="Kachin"/>
    <s v="Waingmaw"/>
    <s v="Moke Lwe Village - Hkar Shi"/>
    <m/>
    <m/>
    <m/>
    <n v="0"/>
    <n v="0"/>
    <n v="0"/>
    <n v="0"/>
    <n v="0"/>
    <m/>
    <m/>
    <m/>
    <m/>
    <m/>
    <m/>
    <m/>
    <m/>
    <m/>
    <n v="0"/>
    <n v="0"/>
    <n v="0"/>
    <n v="0"/>
    <n v="0"/>
    <n v="0"/>
    <n v="0"/>
    <n v="0"/>
    <n v="0"/>
    <n v="0"/>
    <n v="0"/>
    <n v="0"/>
    <n v="0"/>
    <n v="0"/>
    <n v="0"/>
    <n v="0"/>
    <n v="0"/>
    <n v="0"/>
    <s v="MMR001CMP035"/>
    <x v="0"/>
    <x v="1"/>
    <s v=""/>
    <s v=""/>
    <s v="No"/>
  </r>
  <r>
    <n v="58.266666666666666"/>
    <d v="2012-07-18T00:00:00"/>
    <x v="1"/>
    <s v="LDO"/>
    <s v="Kachin"/>
    <s v="Momauk"/>
    <s v="Dum Bung "/>
    <n v="33"/>
    <m/>
    <m/>
    <m/>
    <m/>
    <m/>
    <m/>
    <m/>
    <m/>
    <m/>
    <m/>
    <m/>
    <m/>
    <m/>
    <m/>
    <m/>
    <m/>
    <n v="0"/>
    <n v="0"/>
    <n v="0"/>
    <n v="0"/>
    <n v="0"/>
    <n v="0"/>
    <n v="0"/>
    <n v="0"/>
    <n v="0"/>
    <n v="0"/>
    <n v="0"/>
    <n v="0"/>
    <n v="0"/>
    <n v="0"/>
    <n v="0"/>
    <n v="0"/>
    <n v="0"/>
    <n v="0"/>
    <s v="MMR001CMP123"/>
    <x v="0"/>
    <x v="0"/>
    <s v="P2"/>
    <n v="0"/>
    <m/>
  </r>
  <r>
    <n v="58.266666666666666"/>
    <d v="2012-07-18T00:00:00"/>
    <x v="0"/>
    <s v="UNHCR"/>
    <s v="Kachin"/>
    <s v="Mansi"/>
    <s v="Mung Ding Pa  (Boarder)"/>
    <m/>
    <m/>
    <m/>
    <n v="170"/>
    <n v="16"/>
    <n v="170"/>
    <n v="85"/>
    <n v="85"/>
    <n v="85"/>
    <n v="85"/>
    <m/>
    <m/>
    <m/>
    <m/>
    <m/>
    <m/>
    <m/>
    <n v="0"/>
    <n v="0"/>
    <n v="0"/>
    <n v="0"/>
    <n v="0"/>
    <n v="0"/>
    <n v="0"/>
    <n v="0"/>
    <n v="0"/>
    <n v="0"/>
    <n v="0"/>
    <n v="0"/>
    <n v="0"/>
    <n v="0"/>
    <n v="0"/>
    <n v="0"/>
    <n v="0"/>
    <n v="0"/>
    <s v="MMR001CMP203"/>
    <x v="0"/>
    <x v="1"/>
    <s v=""/>
    <n v="2.0685794942931542E-3"/>
    <s v="No"/>
  </r>
  <r>
    <n v="58.266666666666666"/>
    <d v="2012-07-18T00:00:00"/>
    <x v="0"/>
    <s v="UNHCR"/>
    <s v="Kachin"/>
    <s v="Mansi"/>
    <s v="Nam Lim Pa - Scattered IDPs in forest"/>
    <m/>
    <m/>
    <m/>
    <n v="206"/>
    <n v="78"/>
    <n v="206"/>
    <n v="103"/>
    <n v="103"/>
    <n v="103"/>
    <n v="103"/>
    <m/>
    <m/>
    <m/>
    <m/>
    <m/>
    <m/>
    <m/>
    <n v="0"/>
    <n v="0"/>
    <n v="0"/>
    <n v="0"/>
    <n v="0"/>
    <n v="0"/>
    <n v="0"/>
    <n v="0"/>
    <n v="0"/>
    <n v="0"/>
    <n v="0"/>
    <n v="0"/>
    <n v="0"/>
    <n v="0"/>
    <n v="0"/>
    <n v="0"/>
    <n v="0"/>
    <n v="0"/>
    <s v="MMR001CMP137"/>
    <x v="0"/>
    <x v="1"/>
    <s v=""/>
    <s v=""/>
    <s v="No"/>
  </r>
  <r>
    <n v="58.233333333333334"/>
    <d v="2012-07-19T00:00:00"/>
    <x v="0"/>
    <s v="UNHCR"/>
    <s v="Kachin"/>
    <s v="Myitkyina"/>
    <s v="Kyun Pin Thar Baptist Church"/>
    <m/>
    <m/>
    <m/>
    <n v="6"/>
    <n v="4"/>
    <n v="6"/>
    <n v="4"/>
    <n v="4"/>
    <n v="4"/>
    <n v="4"/>
    <m/>
    <m/>
    <m/>
    <m/>
    <m/>
    <m/>
    <m/>
    <n v="0"/>
    <n v="0"/>
    <n v="0"/>
    <n v="0"/>
    <n v="0"/>
    <n v="0"/>
    <n v="0"/>
    <n v="0"/>
    <n v="0"/>
    <n v="0"/>
    <n v="0"/>
    <n v="0"/>
    <n v="0"/>
    <n v="0"/>
    <n v="0"/>
    <n v="0"/>
    <n v="0"/>
    <n v="0"/>
    <s v="MMR001CMP013"/>
    <x v="0"/>
    <x v="0"/>
    <s v="P4"/>
    <n v="9.7777995062211254E-5"/>
    <s v="No"/>
  </r>
  <r>
    <n v="58.233333333333334"/>
    <d v="2012-07-19T00:00:00"/>
    <x v="0"/>
    <s v="UNHCR"/>
    <s v="Kachin"/>
    <s v="Myitkyina"/>
    <s v="Tat Kone COC Baptist - Tat Kone Htoi San"/>
    <m/>
    <m/>
    <m/>
    <n v="3"/>
    <n v="2"/>
    <n v="3"/>
    <n v="2"/>
    <n v="2"/>
    <n v="2"/>
    <n v="2"/>
    <m/>
    <m/>
    <m/>
    <m/>
    <m/>
    <m/>
    <m/>
    <n v="0"/>
    <n v="0"/>
    <n v="0"/>
    <n v="0"/>
    <n v="0"/>
    <n v="0"/>
    <n v="0"/>
    <n v="0"/>
    <n v="0"/>
    <n v="0"/>
    <n v="0"/>
    <n v="0"/>
    <n v="0"/>
    <n v="0"/>
    <n v="0"/>
    <n v="0"/>
    <n v="0"/>
    <n v="0"/>
    <s v="MMR001CMP023"/>
    <x v="0"/>
    <x v="0"/>
    <s v="P4"/>
    <n v="4.8780487804878051E-5"/>
    <s v="No"/>
  </r>
  <r>
    <n v="58.233333333333334"/>
    <d v="2012-07-19T00:00:00"/>
    <x v="0"/>
    <s v="UNHCR"/>
    <s v="Kachin"/>
    <s v="Myitkyina"/>
    <s v="Wun Tho Buddhist Monastery"/>
    <m/>
    <m/>
    <m/>
    <n v="9"/>
    <n v="5"/>
    <n v="9"/>
    <n v="5"/>
    <n v="5"/>
    <n v="5"/>
    <n v="5"/>
    <m/>
    <m/>
    <m/>
    <m/>
    <m/>
    <m/>
    <m/>
    <n v="0"/>
    <n v="0"/>
    <n v="0"/>
    <n v="0"/>
    <n v="0"/>
    <n v="0"/>
    <n v="0"/>
    <n v="0"/>
    <n v="0"/>
    <n v="0"/>
    <n v="0"/>
    <n v="0"/>
    <n v="0"/>
    <n v="0"/>
    <n v="0"/>
    <n v="0"/>
    <n v="0"/>
    <n v="0"/>
    <s v="MMR001CMP022"/>
    <x v="0"/>
    <x v="0"/>
    <s v="P4"/>
    <n v="1.2195121951219512E-4"/>
    <s v="No"/>
  </r>
  <r>
    <n v="58.1"/>
    <d v="2012-07-23T00:00:00"/>
    <x v="0"/>
    <s v="UNHCR"/>
    <s v="Kachin"/>
    <s v="Myitkyina"/>
    <s v="Jan Mai Kawng Catholic Church"/>
    <m/>
    <m/>
    <m/>
    <n v="19"/>
    <n v="10"/>
    <n v="19"/>
    <n v="10"/>
    <n v="11"/>
    <n v="11"/>
    <n v="11"/>
    <m/>
    <m/>
    <m/>
    <m/>
    <m/>
    <m/>
    <m/>
    <n v="0"/>
    <n v="0"/>
    <n v="0"/>
    <n v="0"/>
    <n v="0"/>
    <n v="0"/>
    <n v="0"/>
    <n v="0"/>
    <n v="0"/>
    <n v="0"/>
    <n v="0"/>
    <n v="0"/>
    <n v="0"/>
    <n v="0"/>
    <n v="0"/>
    <n v="0"/>
    <n v="0"/>
    <n v="0"/>
    <s v="MMR001CMP019"/>
    <x v="0"/>
    <x v="0"/>
    <s v="P4"/>
    <n v="2.4554941682013506E-4"/>
    <s v="No"/>
  </r>
  <r>
    <n v="58.1"/>
    <d v="2012-07-23T00:00:00"/>
    <x v="0"/>
    <s v="UNHCR"/>
    <s v="Kachin"/>
    <s v="Myitkyina"/>
    <s v="Maliyang Baptist Church"/>
    <m/>
    <m/>
    <m/>
    <n v="72"/>
    <n v="39"/>
    <n v="72"/>
    <n v="39"/>
    <n v="39"/>
    <n v="39"/>
    <n v="39"/>
    <m/>
    <m/>
    <m/>
    <m/>
    <m/>
    <m/>
    <m/>
    <n v="0"/>
    <n v="0"/>
    <n v="0"/>
    <n v="0"/>
    <n v="0"/>
    <n v="0"/>
    <n v="0"/>
    <n v="0"/>
    <n v="0"/>
    <n v="0"/>
    <n v="0"/>
    <n v="0"/>
    <n v="0"/>
    <n v="0"/>
    <n v="0"/>
    <n v="0"/>
    <n v="0"/>
    <n v="0"/>
    <s v="MMR001CMP016"/>
    <x v="0"/>
    <x v="0"/>
    <s v="P4"/>
    <n v="9.5691431936402005E-4"/>
    <s v="No"/>
  </r>
  <r>
    <n v="58.1"/>
    <d v="2012-07-23T00:00:00"/>
    <x v="0"/>
    <s v="UNHCR"/>
    <s v="Kachin"/>
    <s v="Myitkyina"/>
    <s v="Shatapru Thida Aye Baptist Church"/>
    <m/>
    <m/>
    <m/>
    <n v="30"/>
    <n v="12"/>
    <n v="30"/>
    <n v="12"/>
    <n v="14"/>
    <n v="14"/>
    <n v="14"/>
    <m/>
    <m/>
    <m/>
    <m/>
    <m/>
    <m/>
    <m/>
    <n v="0"/>
    <n v="0"/>
    <n v="0"/>
    <n v="0"/>
    <n v="0"/>
    <n v="0"/>
    <n v="0"/>
    <n v="0"/>
    <n v="0"/>
    <n v="0"/>
    <n v="0"/>
    <n v="0"/>
    <n v="0"/>
    <n v="0"/>
    <n v="0"/>
    <n v="0"/>
    <n v="0"/>
    <n v="0"/>
    <s v="MMR001CMP007"/>
    <x v="0"/>
    <x v="0"/>
    <s v="P4"/>
    <n v="2.9333398518663372E-4"/>
    <s v="No"/>
  </r>
  <r>
    <n v="58.1"/>
    <d v="2012-07-23T00:00:00"/>
    <x v="0"/>
    <s v="UNHCR"/>
    <s v="Kachin"/>
    <s v="Myitkyina"/>
    <s v="Tat Kone San Pya Baptist Church"/>
    <m/>
    <m/>
    <m/>
    <n v="24"/>
    <n v="8"/>
    <n v="24"/>
    <n v="8"/>
    <n v="13"/>
    <n v="13"/>
    <n v="13"/>
    <m/>
    <m/>
    <m/>
    <m/>
    <m/>
    <m/>
    <m/>
    <n v="0"/>
    <n v="0"/>
    <n v="0"/>
    <n v="0"/>
    <n v="0"/>
    <n v="0"/>
    <n v="0"/>
    <n v="0"/>
    <n v="0"/>
    <n v="0"/>
    <n v="0"/>
    <n v="0"/>
    <n v="0"/>
    <n v="0"/>
    <n v="0"/>
    <n v="0"/>
    <n v="0"/>
    <n v="0"/>
    <s v="MMR001CMP005"/>
    <x v="0"/>
    <x v="0"/>
    <s v="P4"/>
    <n v="1.9599676605336011E-4"/>
    <s v="No"/>
  </r>
  <r>
    <n v="58"/>
    <d v="2012-07-26T00:00:00"/>
    <x v="0"/>
    <s v="UNHCR"/>
    <s v="Kachin"/>
    <s v="Mogaung"/>
    <s v="Mang Hawng Baptist Church"/>
    <m/>
    <m/>
    <m/>
    <n v="31"/>
    <n v="15"/>
    <n v="31"/>
    <n v="15"/>
    <n v="16"/>
    <n v="16"/>
    <n v="16"/>
    <m/>
    <m/>
    <m/>
    <m/>
    <m/>
    <m/>
    <m/>
    <n v="0"/>
    <n v="0"/>
    <n v="0"/>
    <n v="0"/>
    <n v="0"/>
    <n v="0"/>
    <n v="0"/>
    <n v="0"/>
    <n v="0"/>
    <n v="0"/>
    <n v="0"/>
    <n v="0"/>
    <n v="0"/>
    <n v="0"/>
    <n v="0"/>
    <n v="0"/>
    <n v="0"/>
    <n v="0"/>
    <s v="MMR001CMP077"/>
    <x v="0"/>
    <x v="0"/>
    <s v="P4"/>
    <n v="3.6558615647087499E-4"/>
    <s v="No"/>
  </r>
  <r>
    <n v="58"/>
    <d v="2012-07-26T00:00:00"/>
    <x v="0"/>
    <s v="UNHCR"/>
    <s v="Kachin"/>
    <s v="Mogaung"/>
    <s v="Nat Gyi Kone Baptist Church "/>
    <m/>
    <m/>
    <m/>
    <n v="21"/>
    <n v="17"/>
    <n v="21"/>
    <n v="17"/>
    <n v="17"/>
    <n v="17"/>
    <n v="17"/>
    <m/>
    <m/>
    <m/>
    <m/>
    <m/>
    <m/>
    <m/>
    <n v="0"/>
    <n v="0"/>
    <n v="0"/>
    <n v="0"/>
    <n v="0"/>
    <n v="0"/>
    <n v="0"/>
    <n v="0"/>
    <n v="0"/>
    <n v="0"/>
    <n v="0"/>
    <n v="0"/>
    <n v="0"/>
    <n v="0"/>
    <n v="0"/>
    <n v="0"/>
    <n v="0"/>
    <n v="0"/>
    <s v="MMR001CMP079"/>
    <x v="0"/>
    <x v="0"/>
    <s v="P4"/>
    <n v="4.1494788742707902E-4"/>
    <s v="No"/>
  </r>
  <r>
    <n v="57.966666666666669"/>
    <d v="2012-07-27T00:00:00"/>
    <x v="0"/>
    <s v="UNHCR"/>
    <s v="Kachin"/>
    <s v="Mogaung"/>
    <s v="Kyun Taw Baptist Church "/>
    <m/>
    <m/>
    <m/>
    <n v="35"/>
    <n v="14"/>
    <n v="35"/>
    <n v="14"/>
    <n v="14"/>
    <n v="14"/>
    <n v="14"/>
    <m/>
    <m/>
    <m/>
    <m/>
    <m/>
    <m/>
    <m/>
    <n v="0"/>
    <n v="0"/>
    <n v="0"/>
    <n v="0"/>
    <n v="0"/>
    <n v="0"/>
    <n v="0"/>
    <n v="0"/>
    <n v="0"/>
    <n v="0"/>
    <n v="0"/>
    <n v="0"/>
    <n v="0"/>
    <n v="0"/>
    <n v="0"/>
    <n v="0"/>
    <n v="0"/>
    <n v="0"/>
    <s v="MMR001CMP078"/>
    <x v="0"/>
    <x v="0"/>
    <s v="P4"/>
    <n v="3.4121374603948332E-4"/>
    <s v="No"/>
  </r>
  <r>
    <n v="57.966666666666669"/>
    <d v="2012-07-27T00:00:00"/>
    <x v="0"/>
    <s v="UNHCR"/>
    <s v="Kachin"/>
    <s v="Mohnyin"/>
    <s v="St. Patrick Catholic Church "/>
    <m/>
    <m/>
    <m/>
    <n v="0"/>
    <n v="8"/>
    <n v="0"/>
    <n v="8"/>
    <n v="8"/>
    <n v="8"/>
    <n v="8"/>
    <m/>
    <m/>
    <m/>
    <m/>
    <m/>
    <m/>
    <m/>
    <n v="0"/>
    <n v="0"/>
    <n v="0"/>
    <n v="0"/>
    <n v="0"/>
    <n v="0"/>
    <n v="0"/>
    <n v="0"/>
    <n v="0"/>
    <n v="0"/>
    <n v="0"/>
    <n v="0"/>
    <n v="0"/>
    <n v="0"/>
    <n v="0"/>
    <n v="0"/>
    <n v="0"/>
    <n v="0"/>
    <s v="MMR001CMP080"/>
    <x v="0"/>
    <x v="0"/>
    <s v="P4"/>
    <n v="1.9483207910182411E-4"/>
    <s v="No"/>
  </r>
  <r>
    <n v="57.6"/>
    <d v="2012-08-07T00:00:00"/>
    <x v="0"/>
    <s v="UNHCR "/>
    <s v="Kachin"/>
    <s v="Mansi"/>
    <s v="Mansi Baptist Church"/>
    <m/>
    <m/>
    <m/>
    <n v="0"/>
    <n v="73"/>
    <n v="0"/>
    <n v="73"/>
    <n v="73"/>
    <n v="73"/>
    <n v="73"/>
    <m/>
    <m/>
    <m/>
    <m/>
    <m/>
    <m/>
    <m/>
    <n v="0"/>
    <n v="0"/>
    <n v="0"/>
    <n v="0"/>
    <n v="0"/>
    <n v="0"/>
    <n v="0"/>
    <n v="0"/>
    <n v="0"/>
    <n v="0"/>
    <n v="0"/>
    <n v="0"/>
    <n v="0"/>
    <n v="0"/>
    <n v="0"/>
    <n v="0"/>
    <n v="0"/>
    <n v="0"/>
    <s v="MMR001CMP066"/>
    <x v="0"/>
    <x v="0"/>
    <s v="P4"/>
    <n v="1.7556939801342023E-3"/>
    <s v="No"/>
  </r>
  <r>
    <n v="57.533333333333331"/>
    <d v="2012-08-09T00:00:00"/>
    <x v="0"/>
    <s v="UNHCR"/>
    <s v="Kachin"/>
    <s v="Myitkyina"/>
    <s v="Jan Mai Kawng Baptist Church"/>
    <m/>
    <m/>
    <m/>
    <n v="7"/>
    <n v="3"/>
    <n v="7"/>
    <n v="3"/>
    <n v="3"/>
    <n v="3"/>
    <n v="3"/>
    <m/>
    <m/>
    <m/>
    <m/>
    <m/>
    <m/>
    <m/>
    <n v="0"/>
    <n v="0"/>
    <n v="0"/>
    <n v="0"/>
    <n v="0"/>
    <n v="0"/>
    <n v="0"/>
    <n v="0"/>
    <n v="0"/>
    <n v="0"/>
    <n v="0"/>
    <n v="0"/>
    <n v="0"/>
    <n v="0"/>
    <n v="0"/>
    <n v="0"/>
    <n v="0"/>
    <n v="0"/>
    <s v="MMR001CMP018"/>
    <x v="0"/>
    <x v="0"/>
    <s v="P4"/>
    <n v="7.3664825046040511E-5"/>
    <s v="No"/>
  </r>
  <r>
    <n v="57.533333333333331"/>
    <d v="2012-08-09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7.533333333333331"/>
    <d v="2012-08-09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7.533333333333331"/>
    <d v="2012-08-09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7.533333333333331"/>
    <d v="2012-08-09T00:00:00"/>
    <x v="0"/>
    <s v="UNHCR"/>
    <s v="Kachin"/>
    <s v="Myitkyina"/>
    <s v="Nan Kway St. John Catholic Church"/>
    <m/>
    <m/>
    <m/>
    <n v="42"/>
    <n v="20"/>
    <n v="42"/>
    <n v="20"/>
    <n v="20"/>
    <n v="20"/>
    <n v="20"/>
    <m/>
    <m/>
    <m/>
    <m/>
    <m/>
    <m/>
    <m/>
    <n v="0"/>
    <n v="0"/>
    <n v="0"/>
    <n v="0"/>
    <n v="0"/>
    <n v="0"/>
    <n v="0"/>
    <n v="0"/>
    <n v="0"/>
    <n v="0"/>
    <n v="0"/>
    <n v="0"/>
    <n v="0"/>
    <n v="0"/>
    <n v="0"/>
    <n v="0"/>
    <n v="0"/>
    <n v="0"/>
    <s v="MMR001CMP024"/>
    <x v="0"/>
    <x v="0"/>
    <s v="P4"/>
    <n v="4.8888997531105626E-4"/>
    <s v="No"/>
  </r>
  <r>
    <n v="57.533333333333331"/>
    <d v="2012-08-09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7.4"/>
    <d v="2012-08-13T00:00:00"/>
    <x v="0"/>
    <s v="UNHCR "/>
    <s v="Kachin"/>
    <s v="Bhamo"/>
    <s v="Robert Church"/>
    <m/>
    <m/>
    <m/>
    <n v="310"/>
    <n v="151"/>
    <n v="310"/>
    <n v="151"/>
    <n v="151"/>
    <n v="151"/>
    <n v="151"/>
    <m/>
    <m/>
    <m/>
    <m/>
    <m/>
    <m/>
    <m/>
    <n v="0"/>
    <n v="0"/>
    <n v="0"/>
    <n v="0"/>
    <n v="0"/>
    <n v="0"/>
    <n v="0"/>
    <n v="0"/>
    <n v="0"/>
    <n v="0"/>
    <n v="0"/>
    <n v="0"/>
    <n v="0"/>
    <n v="0"/>
    <n v="0"/>
    <n v="0"/>
    <n v="0"/>
    <n v="0"/>
    <s v="MMR001CMP047"/>
    <x v="0"/>
    <x v="0"/>
    <s v="P4"/>
    <n v="3.7077961939840391E-3"/>
    <s v="No"/>
  </r>
  <r>
    <n v="57.333333333333336"/>
    <d v="2012-08-15T00:00:00"/>
    <x v="1"/>
    <s v="Solidarities"/>
    <s v="Kachin"/>
    <s v="Momauk"/>
    <s v="Loi Je Catholic Church"/>
    <n v="73"/>
    <m/>
    <m/>
    <m/>
    <m/>
    <m/>
    <m/>
    <m/>
    <m/>
    <m/>
    <m/>
    <m/>
    <m/>
    <m/>
    <m/>
    <m/>
    <m/>
    <n v="0"/>
    <n v="0"/>
    <n v="0"/>
    <n v="0"/>
    <n v="0"/>
    <n v="0"/>
    <n v="0"/>
    <n v="0"/>
    <n v="0"/>
    <n v="0"/>
    <n v="0"/>
    <n v="0"/>
    <n v="0"/>
    <n v="0"/>
    <n v="0"/>
    <n v="0"/>
    <n v="0"/>
    <n v="0"/>
    <s v="MMR001CMP069"/>
    <x v="0"/>
    <x v="0"/>
    <s v="P3"/>
    <n v="0"/>
    <m/>
  </r>
  <r>
    <n v="56.93333333333333"/>
    <d v="2012-08-27T00:00:00"/>
    <x v="0"/>
    <s v="UNHCR"/>
    <s v="Kachin"/>
    <s v="Myitkyina"/>
    <s v="Jan Mai Kawng Baptist Church"/>
    <m/>
    <m/>
    <m/>
    <n v="7"/>
    <n v="4"/>
    <n v="7"/>
    <n v="3"/>
    <n v="3"/>
    <n v="3"/>
    <n v="3"/>
    <m/>
    <m/>
    <m/>
    <m/>
    <m/>
    <m/>
    <m/>
    <n v="0"/>
    <n v="0"/>
    <n v="0"/>
    <n v="0"/>
    <n v="0"/>
    <n v="0"/>
    <n v="0"/>
    <n v="0"/>
    <n v="0"/>
    <n v="0"/>
    <n v="0"/>
    <n v="0"/>
    <n v="0"/>
    <n v="0"/>
    <n v="0"/>
    <n v="0"/>
    <n v="0"/>
    <n v="0"/>
    <s v="MMR001CMP018"/>
    <x v="0"/>
    <x v="0"/>
    <s v="P4"/>
    <n v="7.3664825046040511E-5"/>
    <s v="No"/>
  </r>
  <r>
    <n v="56.93333333333333"/>
    <d v="2012-08-27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6.93333333333333"/>
    <d v="2012-08-27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6.93333333333333"/>
    <d v="2012-08-27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6.93333333333333"/>
    <d v="2012-08-27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6.866666666666667"/>
    <d v="2012-08-29T00:00:00"/>
    <x v="0"/>
    <s v="UNHCR"/>
    <s v="Kachin"/>
    <s v="Momauk"/>
    <s v="Nyaung Na Pin "/>
    <m/>
    <m/>
    <m/>
    <n v="112"/>
    <n v="41"/>
    <n v="112"/>
    <n v="41"/>
    <n v="41"/>
    <n v="41"/>
    <n v="41"/>
    <m/>
    <m/>
    <m/>
    <m/>
    <m/>
    <m/>
    <m/>
    <n v="0"/>
    <n v="0"/>
    <n v="0"/>
    <n v="0"/>
    <n v="0"/>
    <n v="0"/>
    <n v="0"/>
    <n v="0"/>
    <n v="0"/>
    <n v="0"/>
    <n v="0"/>
    <n v="0"/>
    <n v="0"/>
    <n v="0"/>
    <n v="0"/>
    <n v="0"/>
    <n v="0"/>
    <n v="0"/>
    <s v="MMR001CMP072"/>
    <x v="0"/>
    <x v="0"/>
    <s v="P3"/>
    <n v="9.9703321822868537E-4"/>
    <s v="No"/>
  </r>
  <r>
    <n v="56.633333333333333"/>
    <d v="2012-09-05T00:00:00"/>
    <x v="0"/>
    <s v="UNHCR"/>
    <s v="Kachin"/>
    <s v="Momauk"/>
    <s v="Loi Je Baptist Church"/>
    <m/>
    <m/>
    <m/>
    <n v="40"/>
    <n v="17"/>
    <n v="40"/>
    <n v="17"/>
    <n v="17"/>
    <n v="17"/>
    <n v="17"/>
    <m/>
    <m/>
    <m/>
    <m/>
    <m/>
    <m/>
    <m/>
    <n v="0"/>
    <n v="0"/>
    <n v="0"/>
    <n v="0"/>
    <n v="0"/>
    <n v="0"/>
    <n v="0"/>
    <n v="0"/>
    <n v="0"/>
    <n v="0"/>
    <n v="0"/>
    <n v="0"/>
    <n v="0"/>
    <n v="0"/>
    <n v="0"/>
    <n v="0"/>
    <n v="0"/>
    <n v="0"/>
    <s v="MMR001CMP071"/>
    <x v="0"/>
    <x v="0"/>
    <s v="P3"/>
    <n v="4.1433097733365831E-4"/>
    <s v="No"/>
  </r>
  <r>
    <n v="56.633333333333333"/>
    <d v="2012-09-05T00:00:00"/>
    <x v="0"/>
    <s v="UNHCR"/>
    <s v="Kachin"/>
    <s v="Momauk"/>
    <s v="Loi Je Catholic Church"/>
    <m/>
    <m/>
    <m/>
    <n v="21"/>
    <n v="10"/>
    <n v="21"/>
    <n v="10"/>
    <n v="10"/>
    <n v="10"/>
    <n v="10"/>
    <m/>
    <m/>
    <m/>
    <m/>
    <m/>
    <m/>
    <m/>
    <n v="0"/>
    <n v="0"/>
    <n v="0"/>
    <n v="0"/>
    <n v="0"/>
    <n v="0"/>
    <n v="0"/>
    <n v="0"/>
    <n v="0"/>
    <n v="0"/>
    <n v="0"/>
    <n v="0"/>
    <n v="0"/>
    <n v="0"/>
    <n v="0"/>
    <n v="0"/>
    <n v="0"/>
    <n v="0"/>
    <s v="MMR001CMP069"/>
    <x v="0"/>
    <x v="0"/>
    <s v="P3"/>
    <n v="2.4481002741872309E-4"/>
    <s v="No"/>
  </r>
  <r>
    <n v="56.633333333333333"/>
    <d v="2012-09-05T00:00:00"/>
    <x v="0"/>
    <s v="UNHCR"/>
    <s v="Kachin"/>
    <s v="Momauk"/>
    <s v="Loi Je Lisu Camp"/>
    <m/>
    <m/>
    <m/>
    <n v="133"/>
    <n v="62"/>
    <n v="133"/>
    <n v="62"/>
    <n v="62"/>
    <n v="62"/>
    <n v="62"/>
    <m/>
    <m/>
    <m/>
    <m/>
    <m/>
    <m/>
    <m/>
    <n v="0"/>
    <n v="0"/>
    <n v="0"/>
    <n v="0"/>
    <n v="0"/>
    <n v="0"/>
    <n v="0"/>
    <n v="0"/>
    <n v="0"/>
    <n v="0"/>
    <n v="0"/>
    <n v="0"/>
    <n v="0"/>
    <n v="0"/>
    <n v="0"/>
    <n v="0"/>
    <n v="0"/>
    <n v="0"/>
    <s v="MMR001CMP070"/>
    <x v="0"/>
    <x v="0"/>
    <s v="P3"/>
    <n v="1.5121951219512196E-3"/>
    <s v="No"/>
  </r>
  <r>
    <n v="56.633333333333333"/>
    <d v="2012-09-05T00:00:00"/>
    <x v="0"/>
    <s v="UNHCR"/>
    <s v="Kachin"/>
    <s v="Momauk"/>
    <s v="Seng Ja "/>
    <m/>
    <m/>
    <m/>
    <n v="26"/>
    <n v="11"/>
    <n v="26"/>
    <n v="11"/>
    <n v="11"/>
    <n v="11"/>
    <n v="11"/>
    <m/>
    <m/>
    <m/>
    <m/>
    <m/>
    <m/>
    <m/>
    <n v="0"/>
    <n v="0"/>
    <n v="0"/>
    <n v="0"/>
    <n v="0"/>
    <n v="0"/>
    <n v="0"/>
    <n v="0"/>
    <n v="0"/>
    <n v="0"/>
    <n v="0"/>
    <n v="0"/>
    <n v="0"/>
    <n v="0"/>
    <n v="0"/>
    <n v="0"/>
    <n v="0"/>
    <n v="0"/>
    <s v="MMR001CMP073"/>
    <x v="0"/>
    <x v="0"/>
    <s v="P3"/>
    <n v="2.6749671708574483E-4"/>
    <s v="No"/>
  </r>
  <r>
    <n v="56.466666666666669"/>
    <d v="2012-09-10T00:00:00"/>
    <x v="0"/>
    <s v="UNHCR"/>
    <s v="Kachin"/>
    <s v="Myitkyina"/>
    <s v="Myay Myint Baptist Church"/>
    <m/>
    <m/>
    <m/>
    <n v="10"/>
    <n v="6"/>
    <n v="10"/>
    <n v="6"/>
    <n v="6"/>
    <n v="6"/>
    <n v="6"/>
    <m/>
    <m/>
    <m/>
    <m/>
    <m/>
    <m/>
    <m/>
    <n v="0"/>
    <n v="0"/>
    <n v="0"/>
    <n v="0"/>
    <n v="0"/>
    <n v="0"/>
    <n v="0"/>
    <n v="0"/>
    <n v="0"/>
    <n v="0"/>
    <n v="0"/>
    <n v="0"/>
    <n v="0"/>
    <n v="0"/>
    <n v="0"/>
    <n v="0"/>
    <n v="0"/>
    <n v="0"/>
    <s v="MMR001CMP017"/>
    <x v="0"/>
    <x v="1"/>
    <s v="P4"/>
    <n v="1.4699757454002008E-4"/>
    <s v="No"/>
  </r>
  <r>
    <n v="56.333333333333336"/>
    <d v="2012-09-14T00:00:00"/>
    <x v="0"/>
    <s v="UNHCR"/>
    <s v="Kachin"/>
    <s v="Waingmaw"/>
    <s v="Maina Catholic Church (St. Joseph)"/>
    <m/>
    <m/>
    <m/>
    <n v="94"/>
    <n v="48"/>
    <n v="94"/>
    <n v="48"/>
    <n v="48"/>
    <n v="48"/>
    <n v="48"/>
    <m/>
    <m/>
    <m/>
    <m/>
    <m/>
    <m/>
    <m/>
    <n v="0"/>
    <n v="0"/>
    <n v="0"/>
    <n v="0"/>
    <n v="0"/>
    <n v="0"/>
    <n v="0"/>
    <n v="0"/>
    <n v="0"/>
    <n v="0"/>
    <n v="0"/>
    <n v="0"/>
    <n v="0"/>
    <n v="0"/>
    <n v="0"/>
    <n v="0"/>
    <n v="0"/>
    <n v="0"/>
    <s v="MMR001CMP029"/>
    <x v="0"/>
    <x v="0"/>
    <s v="P4"/>
    <n v="1.1586926085067348E-3"/>
    <s v="No"/>
  </r>
  <r>
    <n v="56.333333333333336"/>
    <d v="2012-09-14T00:00:00"/>
    <x v="0"/>
    <s v="UNHCR"/>
    <s v="Kachin"/>
    <s v="Waingmaw"/>
    <s v="Waingmaw AG Church"/>
    <m/>
    <m/>
    <m/>
    <n v="14"/>
    <n v="8"/>
    <n v="14"/>
    <n v="8"/>
    <n v="8"/>
    <n v="8"/>
    <n v="8"/>
    <m/>
    <m/>
    <m/>
    <m/>
    <m/>
    <m/>
    <m/>
    <n v="0"/>
    <n v="0"/>
    <n v="0"/>
    <n v="0"/>
    <n v="0"/>
    <n v="0"/>
    <n v="0"/>
    <n v="0"/>
    <n v="0"/>
    <n v="0"/>
    <n v="0"/>
    <n v="0"/>
    <n v="0"/>
    <n v="0"/>
    <n v="0"/>
    <n v="0"/>
    <n v="0"/>
    <n v="0"/>
    <s v="MMR001CMP038"/>
    <x v="0"/>
    <x v="0"/>
    <s v="P4"/>
    <n v="1.9584802193497845E-4"/>
    <s v="No"/>
  </r>
  <r>
    <n v="56.233333333333334"/>
    <d v="2012-09-17T00:00:00"/>
    <x v="0"/>
    <s v="UNHCR"/>
    <s v="Kachin"/>
    <s v="Momauk"/>
    <s v="Man Bung Catholic compound"/>
    <m/>
    <m/>
    <m/>
    <n v="86"/>
    <n v="43"/>
    <n v="86"/>
    <n v="43"/>
    <n v="43"/>
    <n v="43"/>
    <n v="43"/>
    <m/>
    <m/>
    <m/>
    <m/>
    <m/>
    <m/>
    <m/>
    <n v="0"/>
    <n v="0"/>
    <n v="0"/>
    <n v="0"/>
    <n v="0"/>
    <n v="0"/>
    <n v="0"/>
    <n v="0"/>
    <n v="0"/>
    <n v="0"/>
    <n v="0"/>
    <n v="0"/>
    <n v="0"/>
    <n v="0"/>
    <n v="0"/>
    <n v="0"/>
    <n v="0"/>
    <n v="0"/>
    <s v="MMR001CMP062"/>
    <x v="0"/>
    <x v="0"/>
    <s v="P4"/>
    <n v="1.0480136485498416E-3"/>
    <s v="No"/>
  </r>
  <r>
    <n v="56.233333333333334"/>
    <d v="2012-09-17T00:00:00"/>
    <x v="0"/>
    <s v="UNHCR"/>
    <s v="Kachin"/>
    <s v="Momauk"/>
    <s v="Momauk Catholic Church (St. Patrick)"/>
    <m/>
    <m/>
    <m/>
    <n v="86"/>
    <n v="43"/>
    <n v="86"/>
    <n v="43"/>
    <n v="43"/>
    <n v="43"/>
    <n v="43"/>
    <m/>
    <m/>
    <m/>
    <m/>
    <m/>
    <m/>
    <m/>
    <n v="0"/>
    <n v="0"/>
    <n v="0"/>
    <n v="0"/>
    <n v="0"/>
    <n v="0"/>
    <n v="0"/>
    <n v="0"/>
    <n v="0"/>
    <n v="0"/>
    <n v="0"/>
    <n v="0"/>
    <n v="0"/>
    <n v="0"/>
    <n v="0"/>
    <n v="0"/>
    <n v="0"/>
    <n v="0"/>
    <s v="MMR001CMP057"/>
    <x v="0"/>
    <x v="1"/>
    <s v="P4"/>
    <n v="1.0550593777603299E-3"/>
    <s v="No"/>
  </r>
  <r>
    <n v="56.2"/>
    <d v="2012-09-18T00:00:00"/>
    <x v="1"/>
    <s v="LDO"/>
    <s v="Kachin"/>
    <s v="Shwegu"/>
    <s v="Shwe Gu Baptist Church"/>
    <n v="98"/>
    <m/>
    <m/>
    <m/>
    <m/>
    <m/>
    <m/>
    <m/>
    <m/>
    <m/>
    <m/>
    <m/>
    <m/>
    <m/>
    <m/>
    <m/>
    <m/>
    <n v="0"/>
    <n v="0"/>
    <n v="0"/>
    <n v="0"/>
    <n v="0"/>
    <n v="0"/>
    <n v="0"/>
    <n v="0"/>
    <n v="0"/>
    <n v="0"/>
    <n v="0"/>
    <n v="0"/>
    <n v="0"/>
    <n v="0"/>
    <n v="0"/>
    <n v="0"/>
    <n v="0"/>
    <n v="0"/>
    <s v="MMR001CMP067"/>
    <x v="0"/>
    <x v="0"/>
    <s v="P4"/>
    <n v="0"/>
    <m/>
  </r>
  <r>
    <n v="56.2"/>
    <d v="2012-09-18T00:00:00"/>
    <x v="1"/>
    <s v="LDO"/>
    <s v="Kachin"/>
    <s v="Shwegu"/>
    <s v="Shwe Gu Catholic Church"/>
    <n v="59"/>
    <m/>
    <m/>
    <m/>
    <m/>
    <m/>
    <m/>
    <m/>
    <m/>
    <m/>
    <m/>
    <m/>
    <m/>
    <m/>
    <m/>
    <m/>
    <m/>
    <n v="0"/>
    <n v="0"/>
    <n v="0"/>
    <n v="0"/>
    <n v="0"/>
    <n v="0"/>
    <n v="0"/>
    <n v="0"/>
    <n v="0"/>
    <n v="0"/>
    <n v="0"/>
    <n v="0"/>
    <n v="0"/>
    <n v="0"/>
    <n v="0"/>
    <n v="0"/>
    <n v="0"/>
    <n v="0"/>
    <s v="MMR001CMP068"/>
    <x v="0"/>
    <x v="0"/>
    <s v="P4"/>
    <n v="0"/>
    <m/>
  </r>
  <r>
    <n v="56.2"/>
    <d v="2012-09-18T00:00:00"/>
    <x v="1"/>
    <s v="LDO"/>
    <s v="Kachin"/>
    <s v="Shwegu"/>
    <s v="Lot Aung"/>
    <n v="45"/>
    <m/>
    <m/>
    <m/>
    <m/>
    <m/>
    <m/>
    <m/>
    <m/>
    <m/>
    <m/>
    <m/>
    <m/>
    <m/>
    <m/>
    <m/>
    <m/>
    <n v="0"/>
    <n v="0"/>
    <n v="0"/>
    <n v="0"/>
    <n v="0"/>
    <n v="0"/>
    <n v="0"/>
    <n v="0"/>
    <n v="0"/>
    <n v="0"/>
    <n v="0"/>
    <n v="0"/>
    <n v="0"/>
    <n v="0"/>
    <n v="0"/>
    <n v="0"/>
    <n v="0"/>
    <n v="0"/>
    <s v=""/>
    <x v="1"/>
    <x v="2"/>
    <s v=""/>
    <s v=""/>
    <m/>
  </r>
  <r>
    <n v="56.2"/>
    <d v="2012-09-18T00:00:00"/>
    <x v="1"/>
    <s v="LDO"/>
    <s v="Kachin"/>
    <s v="Shwegu"/>
    <s v="Pan Dang"/>
    <n v="22"/>
    <m/>
    <m/>
    <m/>
    <m/>
    <m/>
    <m/>
    <m/>
    <m/>
    <m/>
    <m/>
    <m/>
    <m/>
    <m/>
    <m/>
    <m/>
    <m/>
    <n v="0"/>
    <n v="0"/>
    <n v="0"/>
    <n v="0"/>
    <n v="0"/>
    <n v="0"/>
    <n v="0"/>
    <n v="0"/>
    <n v="0"/>
    <n v="0"/>
    <n v="0"/>
    <n v="0"/>
    <n v="0"/>
    <n v="0"/>
    <n v="0"/>
    <n v="0"/>
    <n v="0"/>
    <n v="0"/>
    <s v=""/>
    <x v="1"/>
    <x v="2"/>
    <s v=""/>
    <s v=""/>
    <m/>
  </r>
  <r>
    <n v="56.2"/>
    <d v="2012-09-18T00:00:00"/>
    <x v="1"/>
    <s v="LDO"/>
    <s v="Kachin"/>
    <s v="Shwegu"/>
    <s v="Pan Hkawn"/>
    <n v="130"/>
    <m/>
    <m/>
    <m/>
    <m/>
    <m/>
    <m/>
    <m/>
    <m/>
    <m/>
    <m/>
    <m/>
    <m/>
    <m/>
    <m/>
    <m/>
    <m/>
    <n v="0"/>
    <n v="0"/>
    <n v="0"/>
    <n v="0"/>
    <n v="0"/>
    <n v="0"/>
    <n v="0"/>
    <n v="0"/>
    <n v="0"/>
    <n v="0"/>
    <n v="0"/>
    <n v="0"/>
    <n v="0"/>
    <n v="0"/>
    <n v="0"/>
    <n v="0"/>
    <n v="0"/>
    <n v="0"/>
    <s v=""/>
    <x v="1"/>
    <x v="2"/>
    <s v=""/>
    <s v=""/>
    <m/>
  </r>
  <r>
    <n v="56.133333333333333"/>
    <d v="2012-09-20T00:00:00"/>
    <x v="1"/>
    <s v="LDO"/>
    <s v="Kachin"/>
    <s v="Shwegu"/>
    <s v="Kapaung"/>
    <n v="92"/>
    <m/>
    <m/>
    <m/>
    <m/>
    <m/>
    <m/>
    <m/>
    <m/>
    <m/>
    <m/>
    <m/>
    <m/>
    <m/>
    <m/>
    <m/>
    <m/>
    <n v="0"/>
    <n v="0"/>
    <n v="0"/>
    <n v="0"/>
    <n v="0"/>
    <n v="0"/>
    <n v="0"/>
    <n v="0"/>
    <n v="0"/>
    <n v="0"/>
    <n v="0"/>
    <n v="0"/>
    <n v="0"/>
    <n v="0"/>
    <n v="0"/>
    <n v="0"/>
    <n v="0"/>
    <n v="0"/>
    <s v=""/>
    <x v="1"/>
    <x v="2"/>
    <s v=""/>
    <s v=""/>
    <m/>
  </r>
  <r>
    <n v="55.966666666666669"/>
    <d v="2012-09-25T00:00:00"/>
    <x v="0"/>
    <s v="Chipwe CM"/>
    <s v="Kachin"/>
    <s v="Chipwi"/>
    <s v="Chipwi KBC camp"/>
    <m/>
    <m/>
    <m/>
    <n v="33"/>
    <n v="11"/>
    <n v="33"/>
    <n v="11"/>
    <n v="11"/>
    <n v="11"/>
    <n v="11"/>
    <m/>
    <m/>
    <m/>
    <m/>
    <m/>
    <m/>
    <m/>
    <n v="0"/>
    <n v="0"/>
    <n v="0"/>
    <n v="0"/>
    <n v="0"/>
    <n v="0"/>
    <n v="0"/>
    <n v="0"/>
    <n v="0"/>
    <n v="0"/>
    <n v="0"/>
    <n v="0"/>
    <n v="0"/>
    <n v="0"/>
    <n v="0"/>
    <n v="0"/>
    <n v="0"/>
    <n v="0"/>
    <s v="MMR001CMP042"/>
    <x v="0"/>
    <x v="0"/>
    <s v="P1"/>
    <n v="2.667054601881486E-4"/>
    <s v="No"/>
  </r>
  <r>
    <n v="55.93333333333333"/>
    <d v="2012-09-26T00:00:00"/>
    <x v="0"/>
    <s v="Chipwe CM"/>
    <s v="Kachin"/>
    <s v="Chipwi"/>
    <s v="Gant Gwin"/>
    <m/>
    <m/>
    <m/>
    <n v="33"/>
    <n v="11"/>
    <n v="33"/>
    <n v="11"/>
    <n v="11"/>
    <n v="11"/>
    <n v="11"/>
    <m/>
    <m/>
    <m/>
    <m/>
    <m/>
    <m/>
    <m/>
    <n v="0"/>
    <n v="0"/>
    <n v="0"/>
    <n v="0"/>
    <n v="0"/>
    <n v="0"/>
    <n v="0"/>
    <n v="0"/>
    <n v="0"/>
    <n v="0"/>
    <n v="0"/>
    <n v="0"/>
    <n v="0"/>
    <n v="0"/>
    <n v="0"/>
    <n v="0"/>
    <n v="0"/>
    <n v="0"/>
    <s v="MMR001CMP046"/>
    <x v="0"/>
    <x v="1"/>
    <s v="P1"/>
    <s v=""/>
    <s v="No"/>
  </r>
  <r>
    <n v="55.9"/>
    <d v="2012-09-27T00:00:00"/>
    <x v="0"/>
    <s v="Chipwe CM"/>
    <s v="Kachin"/>
    <s v="Chipwi"/>
    <s v="Hpare Hkyer - BP6"/>
    <m/>
    <m/>
    <m/>
    <n v="33"/>
    <n v="11"/>
    <n v="33"/>
    <n v="11"/>
    <n v="11"/>
    <n v="11"/>
    <n v="11"/>
    <m/>
    <m/>
    <m/>
    <m/>
    <m/>
    <m/>
    <m/>
    <n v="0"/>
    <n v="0"/>
    <n v="0"/>
    <n v="0"/>
    <n v="0"/>
    <n v="0"/>
    <n v="0"/>
    <n v="0"/>
    <n v="0"/>
    <n v="0"/>
    <n v="0"/>
    <n v="0"/>
    <n v="0"/>
    <n v="0"/>
    <n v="0"/>
    <n v="0"/>
    <n v="0"/>
    <n v="0"/>
    <s v="MMR001CMP043"/>
    <x v="0"/>
    <x v="0"/>
    <s v="P1"/>
    <n v="2.6809651474530834E-4"/>
    <s v="No"/>
  </r>
  <r>
    <n v="55.866666666666667"/>
    <d v="2012-09-28T00:00:00"/>
    <x v="0"/>
    <s v="Chipwe CM"/>
    <s v="Kachin"/>
    <s v="Chipwi"/>
    <s v="Lan Jaw "/>
    <m/>
    <m/>
    <m/>
    <n v="33"/>
    <n v="11"/>
    <n v="33"/>
    <n v="11"/>
    <n v="11"/>
    <n v="11"/>
    <n v="11"/>
    <m/>
    <m/>
    <m/>
    <m/>
    <m/>
    <m/>
    <m/>
    <n v="0"/>
    <n v="0"/>
    <n v="0"/>
    <n v="0"/>
    <n v="0"/>
    <n v="0"/>
    <n v="0"/>
    <n v="0"/>
    <n v="0"/>
    <n v="0"/>
    <n v="0"/>
    <n v="0"/>
    <n v="0"/>
    <n v="0"/>
    <n v="0"/>
    <n v="0"/>
    <n v="0"/>
    <n v="0"/>
    <s v="MMR001CMP045"/>
    <x v="0"/>
    <x v="0"/>
    <s v="P1"/>
    <s v=""/>
    <s v="No"/>
  </r>
  <r>
    <n v="55.833333333333336"/>
    <d v="2012-09-29T00:00:00"/>
    <x v="0"/>
    <s v="Chipwe CM"/>
    <s v="Kachin"/>
    <s v="Chipwi"/>
    <s v="Lhaovao Baptist Church (LBC)"/>
    <m/>
    <m/>
    <m/>
    <n v="34"/>
    <n v="12"/>
    <n v="34"/>
    <n v="12"/>
    <n v="12"/>
    <n v="12"/>
    <n v="12"/>
    <m/>
    <m/>
    <m/>
    <m/>
    <m/>
    <m/>
    <m/>
    <n v="0"/>
    <n v="0"/>
    <n v="0"/>
    <n v="0"/>
    <n v="0"/>
    <n v="0"/>
    <n v="0"/>
    <n v="0"/>
    <n v="0"/>
    <n v="0"/>
    <n v="0"/>
    <n v="0"/>
    <n v="0"/>
    <n v="0"/>
    <n v="0"/>
    <n v="0"/>
    <n v="0"/>
    <n v="0"/>
    <s v="MMR001CMP195"/>
    <x v="0"/>
    <x v="0"/>
    <s v="P1"/>
    <n v="2.9311187103077673E-4"/>
    <s v="No"/>
  </r>
  <r>
    <n v="55.833333333333336"/>
    <d v="2012-09-29T00:00:00"/>
    <x v="0"/>
    <s v="UNHCR"/>
    <s v="Kachin"/>
    <s v="Momauk"/>
    <s v="Loi Je Lisu Camp"/>
    <m/>
    <m/>
    <m/>
    <n v="151"/>
    <n v="59"/>
    <n v="151"/>
    <n v="59"/>
    <n v="59"/>
    <n v="59"/>
    <n v="59"/>
    <m/>
    <m/>
    <m/>
    <m/>
    <m/>
    <m/>
    <m/>
    <n v="0"/>
    <n v="0"/>
    <n v="0"/>
    <n v="0"/>
    <n v="0"/>
    <n v="0"/>
    <n v="0"/>
    <n v="0"/>
    <n v="0"/>
    <n v="0"/>
    <n v="0"/>
    <n v="0"/>
    <n v="0"/>
    <n v="0"/>
    <n v="0"/>
    <n v="0"/>
    <n v="0"/>
    <n v="0"/>
    <s v="MMR001CMP070"/>
    <x v="0"/>
    <x v="0"/>
    <s v="P3"/>
    <n v="1.4390243902439024E-3"/>
    <s v="No"/>
  </r>
  <r>
    <n v="55.8"/>
    <d v="2012-09-30T00:00:00"/>
    <x v="0"/>
    <s v="Chipwe CM"/>
    <s v="Kachin"/>
    <s v="Chipwi"/>
    <s v="Women's Affairs Association Building"/>
    <m/>
    <m/>
    <m/>
    <n v="34"/>
    <n v="12"/>
    <n v="34"/>
    <n v="12"/>
    <n v="12"/>
    <n v="12"/>
    <n v="12"/>
    <m/>
    <m/>
    <m/>
    <m/>
    <m/>
    <m/>
    <m/>
    <n v="0"/>
    <n v="0"/>
    <n v="0"/>
    <n v="0"/>
    <n v="0"/>
    <n v="0"/>
    <n v="0"/>
    <n v="0"/>
    <n v="0"/>
    <n v="0"/>
    <n v="0"/>
    <n v="0"/>
    <n v="0"/>
    <n v="0"/>
    <n v="0"/>
    <n v="0"/>
    <n v="0"/>
    <n v="0"/>
    <s v="MMR001CMP044"/>
    <x v="0"/>
    <x v="1"/>
    <s v=""/>
    <s v=""/>
    <s v="No"/>
  </r>
  <r>
    <n v="55.43333333333333"/>
    <d v="2012-10-11T00:00:00"/>
    <x v="0"/>
    <s v="UNHCR"/>
    <s v="Kachin"/>
    <s v="Momauk"/>
    <s v="Seng Ja "/>
    <m/>
    <m/>
    <m/>
    <n v="28"/>
    <n v="17"/>
    <n v="28"/>
    <n v="17"/>
    <n v="17"/>
    <n v="17"/>
    <n v="17"/>
    <m/>
    <m/>
    <m/>
    <m/>
    <m/>
    <m/>
    <m/>
    <n v="0"/>
    <n v="0"/>
    <n v="0"/>
    <n v="0"/>
    <n v="0"/>
    <n v="0"/>
    <n v="0"/>
    <n v="0"/>
    <n v="0"/>
    <n v="0"/>
    <n v="0"/>
    <n v="0"/>
    <n v="0"/>
    <n v="0"/>
    <n v="0"/>
    <n v="0"/>
    <n v="0"/>
    <n v="0"/>
    <s v="MMR001CMP073"/>
    <x v="0"/>
    <x v="0"/>
    <s v="P3"/>
    <n v="4.1340401731433294E-4"/>
    <s v="No"/>
  </r>
  <r>
    <n v="55.3"/>
    <d v="2012-10-15T00:00:00"/>
    <x v="1"/>
    <s v="LDO"/>
    <s v="Kachin"/>
    <s v="Shwegu"/>
    <s v="Thai Ra Yan"/>
    <n v="38"/>
    <m/>
    <m/>
    <m/>
    <m/>
    <m/>
    <m/>
    <m/>
    <m/>
    <m/>
    <m/>
    <m/>
    <m/>
    <m/>
    <m/>
    <m/>
    <m/>
    <n v="0"/>
    <n v="0"/>
    <n v="0"/>
    <n v="0"/>
    <n v="0"/>
    <n v="0"/>
    <n v="0"/>
    <n v="0"/>
    <n v="0"/>
    <n v="0"/>
    <n v="0"/>
    <n v="0"/>
    <n v="0"/>
    <n v="0"/>
    <n v="0"/>
    <n v="0"/>
    <n v="0"/>
    <n v="0"/>
    <s v=""/>
    <x v="1"/>
    <x v="2"/>
    <s v=""/>
    <s v=""/>
    <m/>
  </r>
  <r>
    <n v="55.166666666666664"/>
    <d v="2012-10-19T00:00:00"/>
    <x v="1"/>
    <s v="Solidarities"/>
    <s v="Kachin"/>
    <s v="Bhamo"/>
    <s v="Ta Gun Taing Monastery (Shwe Kyi Na)"/>
    <n v="47"/>
    <m/>
    <m/>
    <m/>
    <m/>
    <m/>
    <m/>
    <m/>
    <m/>
    <m/>
    <m/>
    <m/>
    <m/>
    <m/>
    <m/>
    <m/>
    <m/>
    <n v="0"/>
    <n v="0"/>
    <n v="0"/>
    <n v="0"/>
    <n v="0"/>
    <n v="0"/>
    <n v="0"/>
    <n v="0"/>
    <n v="0"/>
    <n v="0"/>
    <n v="0"/>
    <n v="0"/>
    <n v="0"/>
    <n v="0"/>
    <n v="0"/>
    <n v="0"/>
    <n v="0"/>
    <n v="0"/>
    <s v="MMR001CMP055"/>
    <x v="0"/>
    <x v="0"/>
    <s v="P4"/>
    <n v="0"/>
    <m/>
  </r>
  <r>
    <n v="54.966666666666669"/>
    <d v="2012-10-25T00:00:00"/>
    <x v="1"/>
    <s v="Solidarities"/>
    <s v="Kachin"/>
    <s v="Momauk"/>
    <s v="Khun Sint Village"/>
    <n v="23"/>
    <m/>
    <m/>
    <m/>
    <m/>
    <m/>
    <m/>
    <m/>
    <m/>
    <m/>
    <m/>
    <m/>
    <m/>
    <m/>
    <m/>
    <m/>
    <m/>
    <n v="0"/>
    <n v="0"/>
    <n v="0"/>
    <n v="0"/>
    <n v="0"/>
    <n v="0"/>
    <n v="0"/>
    <n v="0"/>
    <n v="0"/>
    <n v="0"/>
    <n v="0"/>
    <n v="0"/>
    <n v="0"/>
    <n v="0"/>
    <n v="0"/>
    <n v="0"/>
    <n v="0"/>
    <n v="0"/>
    <s v="MMR001CMP200"/>
    <x v="0"/>
    <x v="0"/>
    <s v="P4"/>
    <s v=""/>
    <m/>
  </r>
  <r>
    <n v="54.6"/>
    <d v="2012-11-05T00:00:00"/>
    <x v="0"/>
    <s v="UNHCR"/>
    <s v="Kachin"/>
    <s v="Hpakant"/>
    <s v="Hlaing Naung Baptist"/>
    <m/>
    <m/>
    <m/>
    <n v="70"/>
    <n v="40"/>
    <n v="70"/>
    <n v="40"/>
    <n v="40"/>
    <n v="40"/>
    <n v="40"/>
    <m/>
    <m/>
    <m/>
    <m/>
    <m/>
    <m/>
    <m/>
    <n v="0"/>
    <n v="0"/>
    <n v="0"/>
    <n v="0"/>
    <n v="0"/>
    <n v="0"/>
    <n v="0"/>
    <n v="0"/>
    <n v="0"/>
    <n v="0"/>
    <n v="0"/>
    <n v="0"/>
    <n v="0"/>
    <n v="0"/>
    <n v="0"/>
    <n v="0"/>
    <n v="0"/>
    <n v="0"/>
    <s v="MMR001CMP148"/>
    <x v="0"/>
    <x v="0"/>
    <s v="P4"/>
    <n v="9.7127455503484453E-4"/>
    <s v="No"/>
  </r>
  <r>
    <n v="54.43333333333333"/>
    <d v="2012-11-10T00:00:00"/>
    <x v="0"/>
    <s v="UNHCR"/>
    <s v="Kachin"/>
    <s v="Hpakant"/>
    <s v="Hlaing Naung Baptist"/>
    <m/>
    <m/>
    <m/>
    <n v="12"/>
    <n v="0"/>
    <n v="12"/>
    <n v="0"/>
    <n v="0"/>
    <m/>
    <m/>
    <m/>
    <m/>
    <m/>
    <m/>
    <m/>
    <m/>
    <m/>
    <n v="0"/>
    <n v="0"/>
    <n v="0"/>
    <n v="0"/>
    <n v="0"/>
    <n v="0"/>
    <n v="0"/>
    <n v="0"/>
    <n v="0"/>
    <n v="0"/>
    <n v="0"/>
    <n v="0"/>
    <n v="0"/>
    <n v="0"/>
    <n v="0"/>
    <n v="0"/>
    <n v="0"/>
    <n v="0"/>
    <s v="MMR001CMP148"/>
    <x v="0"/>
    <x v="0"/>
    <s v="P4"/>
    <n v="0"/>
    <s v="No"/>
  </r>
  <r>
    <n v="54.366666666666667"/>
    <d v="2012-11-12T00:00:00"/>
    <x v="0"/>
    <s v="UNHCR"/>
    <s v="Kachin"/>
    <s v="Waingmaw"/>
    <s v="Qtr. 2 Lhaovo Baptist Church"/>
    <m/>
    <m/>
    <m/>
    <n v="12"/>
    <n v="12"/>
    <n v="12"/>
    <n v="5"/>
    <n v="5"/>
    <n v="5"/>
    <n v="5"/>
    <m/>
    <m/>
    <m/>
    <m/>
    <m/>
    <m/>
    <m/>
    <n v="0"/>
    <n v="0"/>
    <n v="0"/>
    <n v="0"/>
    <n v="0"/>
    <n v="0"/>
    <n v="0"/>
    <n v="0"/>
    <n v="0"/>
    <n v="0"/>
    <n v="0"/>
    <n v="0"/>
    <n v="0"/>
    <n v="0"/>
    <n v="0"/>
    <n v="0"/>
    <n v="0"/>
    <n v="0"/>
    <s v="MMR001CMP032"/>
    <x v="0"/>
    <x v="0"/>
    <s v="P4"/>
    <n v="1.2277470841006753E-4"/>
    <s v="No"/>
  </r>
  <r>
    <n v="53.5"/>
    <d v="2012-12-08T00:00:00"/>
    <x v="1"/>
    <s v="KBC"/>
    <s v="Kachin"/>
    <s v="Waingmaw"/>
    <s v="Laiza Market 3 - Laiza Gat"/>
    <n v="1690"/>
    <m/>
    <m/>
    <m/>
    <m/>
    <m/>
    <m/>
    <m/>
    <n v="0"/>
    <n v="0"/>
    <m/>
    <m/>
    <m/>
    <m/>
    <m/>
    <m/>
    <m/>
    <n v="0"/>
    <n v="0"/>
    <n v="0"/>
    <n v="0"/>
    <n v="0"/>
    <n v="0"/>
    <n v="0"/>
    <n v="0"/>
    <n v="0"/>
    <n v="0"/>
    <n v="0"/>
    <n v="0"/>
    <n v="0"/>
    <n v="0"/>
    <n v="0"/>
    <n v="0"/>
    <n v="0"/>
    <n v="0"/>
    <s v="MMR001CMP117"/>
    <x v="0"/>
    <x v="1"/>
    <s v="P2"/>
    <n v="0"/>
    <s v="No"/>
  </r>
  <r>
    <n v="53.43333333333333"/>
    <d v="2012-12-10T00:00:00"/>
    <x v="1"/>
    <s v="KBC"/>
    <s v="Kachin"/>
    <s v="Waingmaw"/>
    <s v="Woi Chyai "/>
    <n v="4285"/>
    <m/>
    <m/>
    <m/>
    <m/>
    <m/>
    <m/>
    <m/>
    <n v="0"/>
    <n v="0"/>
    <m/>
    <m/>
    <m/>
    <m/>
    <m/>
    <m/>
    <m/>
    <n v="0"/>
    <n v="0"/>
    <n v="0"/>
    <n v="0"/>
    <n v="0"/>
    <n v="0"/>
    <n v="0"/>
    <n v="0"/>
    <n v="0"/>
    <n v="0"/>
    <n v="0"/>
    <n v="0"/>
    <n v="0"/>
    <n v="0"/>
    <n v="0"/>
    <n v="0"/>
    <n v="0"/>
    <n v="0"/>
    <s v="MMR001CMP116"/>
    <x v="0"/>
    <x v="0"/>
    <s v="P4"/>
    <n v="0"/>
    <s v="No"/>
  </r>
  <r>
    <n v="53.4"/>
    <d v="2012-12-11T00:00:00"/>
    <x v="1"/>
    <s v="Solidarities"/>
    <s v="Kachin"/>
    <s v="Momauk"/>
    <s v="Hpun Lum Yang "/>
    <n v="1658"/>
    <m/>
    <m/>
    <m/>
    <m/>
    <m/>
    <m/>
    <m/>
    <n v="0"/>
    <n v="0"/>
    <m/>
    <m/>
    <m/>
    <m/>
    <m/>
    <m/>
    <m/>
    <n v="0"/>
    <n v="0"/>
    <n v="0"/>
    <n v="0"/>
    <n v="0"/>
    <n v="0"/>
    <n v="0"/>
    <n v="0"/>
    <n v="0"/>
    <n v="0"/>
    <n v="0"/>
    <n v="0"/>
    <n v="0"/>
    <n v="0"/>
    <n v="0"/>
    <n v="0"/>
    <n v="0"/>
    <n v="0"/>
    <s v="MMR001CMP122"/>
    <x v="0"/>
    <x v="0"/>
    <s v="P2"/>
    <n v="0"/>
    <s v="No"/>
  </r>
  <r>
    <n v="53.366666666666667"/>
    <d v="2012-12-12T00:00:00"/>
    <x v="1"/>
    <s v="Solidarities"/>
    <s v="Kachin"/>
    <s v="Momauk"/>
    <s v="Je Yang Hka "/>
    <n v="5228"/>
    <m/>
    <m/>
    <m/>
    <m/>
    <m/>
    <m/>
    <m/>
    <n v="0"/>
    <n v="0"/>
    <m/>
    <m/>
    <m/>
    <m/>
    <m/>
    <m/>
    <m/>
    <n v="0"/>
    <n v="0"/>
    <n v="0"/>
    <n v="0"/>
    <n v="0"/>
    <n v="0"/>
    <n v="0"/>
    <n v="0"/>
    <n v="0"/>
    <n v="0"/>
    <n v="0"/>
    <n v="0"/>
    <n v="0"/>
    <n v="0"/>
    <n v="0"/>
    <n v="0"/>
    <n v="0"/>
    <n v="0"/>
    <s v="MMR001CMP121"/>
    <x v="0"/>
    <x v="0"/>
    <s v="P2"/>
    <n v="0"/>
    <s v="No"/>
  </r>
  <r>
    <n v="53.333333333333336"/>
    <d v="2012-12-13T00:00:00"/>
    <x v="0"/>
    <s v="UNHCR"/>
    <s v="Kachin"/>
    <s v="Myitkyina"/>
    <s v="Nan Kway St. John Catholic Church"/>
    <m/>
    <m/>
    <m/>
    <n v="16"/>
    <n v="7"/>
    <n v="16"/>
    <n v="7"/>
    <n v="7"/>
    <n v="7"/>
    <n v="7"/>
    <m/>
    <m/>
    <m/>
    <m/>
    <m/>
    <m/>
    <m/>
    <n v="0"/>
    <n v="0"/>
    <n v="0"/>
    <n v="0"/>
    <n v="0"/>
    <n v="0"/>
    <n v="0"/>
    <n v="0"/>
    <n v="0"/>
    <n v="0"/>
    <n v="0"/>
    <n v="0"/>
    <n v="0"/>
    <n v="0"/>
    <n v="0"/>
    <n v="0"/>
    <n v="0"/>
    <n v="0"/>
    <s v="MMR001CMP024"/>
    <x v="0"/>
    <x v="0"/>
    <s v="P4"/>
    <n v="1.7111149135886968E-4"/>
    <s v="No"/>
  </r>
  <r>
    <n v="53.266666666666666"/>
    <d v="2012-12-15T00:00:00"/>
    <x v="1"/>
    <s v="KBC"/>
    <s v="Kachin"/>
    <s v="Mansi"/>
    <s v="Bum Tsit Pa "/>
    <n v="587"/>
    <m/>
    <m/>
    <m/>
    <m/>
    <m/>
    <m/>
    <m/>
    <n v="0"/>
    <n v="0"/>
    <m/>
    <m/>
    <m/>
    <m/>
    <m/>
    <m/>
    <m/>
    <n v="0"/>
    <n v="0"/>
    <n v="0"/>
    <n v="0"/>
    <n v="0"/>
    <n v="0"/>
    <n v="0"/>
    <n v="0"/>
    <n v="0"/>
    <n v="0"/>
    <n v="0"/>
    <n v="0"/>
    <n v="0"/>
    <n v="0"/>
    <n v="0"/>
    <n v="0"/>
    <n v="0"/>
    <n v="0"/>
    <s v="MMR001CMP129"/>
    <x v="0"/>
    <x v="0"/>
    <s v="P2"/>
    <n v="0"/>
    <s v="No"/>
  </r>
  <r>
    <n v="53.166666666666664"/>
    <d v="2012-12-18T00:00:00"/>
    <x v="1"/>
    <s v="Solidarities"/>
    <s v="Kachin"/>
    <s v="Momauk"/>
    <s v="Loi Je Baptist Church"/>
    <m/>
    <m/>
    <n v="54"/>
    <m/>
    <m/>
    <m/>
    <m/>
    <m/>
    <m/>
    <m/>
    <m/>
    <m/>
    <m/>
    <m/>
    <m/>
    <m/>
    <m/>
    <n v="0"/>
    <n v="0"/>
    <n v="0"/>
    <n v="0"/>
    <n v="0"/>
    <n v="0"/>
    <n v="0"/>
    <n v="0"/>
    <n v="0"/>
    <n v="0"/>
    <n v="0"/>
    <n v="0"/>
    <n v="0"/>
    <n v="0"/>
    <n v="0"/>
    <n v="0"/>
    <n v="0"/>
    <n v="0"/>
    <s v="MMR001CMP071"/>
    <x v="0"/>
    <x v="0"/>
    <s v="P3"/>
    <n v="0"/>
    <m/>
  </r>
  <r>
    <n v="53.166666666666664"/>
    <d v="2012-12-18T00:00:00"/>
    <x v="0"/>
    <s v="UNHCR"/>
    <s v="Kachin"/>
    <s v="Myitkyina"/>
    <s v="Shwe Zet Baptist Church"/>
    <m/>
    <m/>
    <m/>
    <n v="30"/>
    <n v="20"/>
    <n v="30"/>
    <n v="20"/>
    <n v="20"/>
    <n v="20"/>
    <n v="20"/>
    <m/>
    <m/>
    <m/>
    <m/>
    <m/>
    <m/>
    <m/>
    <n v="0"/>
    <n v="0"/>
    <n v="0"/>
    <n v="0"/>
    <n v="0"/>
    <n v="0"/>
    <n v="0"/>
    <n v="0"/>
    <n v="0"/>
    <n v="0"/>
    <n v="0"/>
    <n v="0"/>
    <n v="0"/>
    <n v="0"/>
    <n v="0"/>
    <n v="0"/>
    <n v="0"/>
    <n v="0"/>
    <s v="MMR001CMP009"/>
    <x v="0"/>
    <x v="0"/>
    <s v="P4"/>
    <n v="4.9109883364027013E-4"/>
    <s v="No"/>
  </r>
  <r>
    <n v="53.133333333333333"/>
    <d v="2012-12-19T00:00:00"/>
    <x v="0"/>
    <s v="UNHCR"/>
    <s v="Kachin"/>
    <s v="Myitkyina"/>
    <s v="Pa Dauk Myaing(Pa La Na)"/>
    <m/>
    <m/>
    <m/>
    <n v="37"/>
    <n v="10"/>
    <n v="37"/>
    <n v="10"/>
    <n v="10"/>
    <n v="10"/>
    <n v="10"/>
    <m/>
    <m/>
    <m/>
    <m/>
    <m/>
    <m/>
    <m/>
    <n v="0"/>
    <n v="0"/>
    <n v="0"/>
    <n v="0"/>
    <n v="0"/>
    <n v="0"/>
    <n v="0"/>
    <n v="0"/>
    <n v="0"/>
    <n v="0"/>
    <n v="0"/>
    <n v="0"/>
    <n v="0"/>
    <n v="0"/>
    <n v="0"/>
    <n v="0"/>
    <n v="0"/>
    <n v="0"/>
    <s v="MMR001CMP162"/>
    <x v="0"/>
    <x v="0"/>
    <s v="P4"/>
    <n v="2.4245950926195326E-4"/>
    <s v="No"/>
  </r>
  <r>
    <n v="53.1"/>
    <d v="2012-12-20T00:00:00"/>
    <x v="0"/>
    <s v="KBC"/>
    <s v="Kachin"/>
    <s v="Hpakant"/>
    <s v="Hlaing Naung Baptist"/>
    <m/>
    <m/>
    <m/>
    <n v="12"/>
    <n v="0"/>
    <n v="12"/>
    <n v="0"/>
    <n v="0"/>
    <m/>
    <m/>
    <m/>
    <m/>
    <m/>
    <m/>
    <m/>
    <m/>
    <m/>
    <n v="0"/>
    <n v="0"/>
    <n v="0"/>
    <n v="0"/>
    <n v="0"/>
    <n v="0"/>
    <n v="0"/>
    <n v="0"/>
    <n v="0"/>
    <n v="0"/>
    <n v="0"/>
    <n v="0"/>
    <n v="0"/>
    <n v="0"/>
    <n v="0"/>
    <n v="0"/>
    <n v="0"/>
    <n v="0"/>
    <s v="MMR001CMP148"/>
    <x v="0"/>
    <x v="0"/>
    <s v="P4"/>
    <n v="0"/>
    <s v="No"/>
  </r>
  <r>
    <n v="53.1"/>
    <d v="2012-12-20T00:00:00"/>
    <x v="0"/>
    <s v="UNHCR"/>
    <s v="Kachin"/>
    <s v="Myitkyina"/>
    <s v="Jan Mai Kawng Baptist Church"/>
    <m/>
    <m/>
    <m/>
    <n v="19"/>
    <n v="10"/>
    <n v="19"/>
    <n v="10"/>
    <n v="10"/>
    <n v="10"/>
    <n v="10"/>
    <m/>
    <m/>
    <m/>
    <m/>
    <m/>
    <m/>
    <m/>
    <n v="0"/>
    <n v="0"/>
    <n v="0"/>
    <n v="0"/>
    <n v="0"/>
    <n v="0"/>
    <n v="0"/>
    <n v="0"/>
    <n v="0"/>
    <n v="0"/>
    <n v="0"/>
    <n v="0"/>
    <n v="0"/>
    <n v="0"/>
    <n v="0"/>
    <n v="0"/>
    <n v="0"/>
    <n v="0"/>
    <s v="MMR001CMP018"/>
    <x v="0"/>
    <x v="0"/>
    <s v="P4"/>
    <n v="2.4554941682013506E-4"/>
    <s v="No"/>
  </r>
  <r>
    <n v="53.06666666666667"/>
    <d v="2012-12-21T00:00:00"/>
    <x v="0"/>
    <s v="UNHCR"/>
    <s v="Kachin"/>
    <s v="Bhamo"/>
    <s v="Lisu Boarding-House"/>
    <m/>
    <m/>
    <m/>
    <n v="0"/>
    <n v="12"/>
    <n v="0"/>
    <n v="12"/>
    <n v="12"/>
    <n v="12"/>
    <n v="12"/>
    <m/>
    <m/>
    <m/>
    <m/>
    <m/>
    <m/>
    <m/>
    <n v="0"/>
    <n v="0"/>
    <n v="0"/>
    <n v="0"/>
    <n v="0"/>
    <n v="0"/>
    <n v="0"/>
    <n v="0"/>
    <n v="0"/>
    <n v="0"/>
    <n v="0"/>
    <n v="0"/>
    <n v="0"/>
    <n v="0"/>
    <n v="0"/>
    <n v="0"/>
    <n v="0"/>
    <n v="0"/>
    <s v="MMR001CMP049"/>
    <x v="0"/>
    <x v="0"/>
    <s v="P4"/>
    <n v="2.948765204570586E-4"/>
    <s v="No"/>
  </r>
  <r>
    <n v="53.06666666666667"/>
    <d v="2012-12-21T00:00:00"/>
    <x v="0"/>
    <s v="UNHCR"/>
    <s v="Kachin"/>
    <s v="Bhamo"/>
    <s v="Robert Church"/>
    <m/>
    <m/>
    <m/>
    <n v="0"/>
    <n v="0"/>
    <n v="73"/>
    <n v="0"/>
    <n v="0"/>
    <m/>
    <m/>
    <m/>
    <m/>
    <m/>
    <m/>
    <m/>
    <m/>
    <m/>
    <n v="0"/>
    <n v="0"/>
    <n v="0"/>
    <n v="0"/>
    <n v="0"/>
    <n v="0"/>
    <n v="0"/>
    <n v="0"/>
    <n v="0"/>
    <n v="0"/>
    <n v="0"/>
    <n v="0"/>
    <n v="0"/>
    <n v="0"/>
    <n v="0"/>
    <n v="0"/>
    <n v="0"/>
    <n v="0"/>
    <s v="MMR001CMP047"/>
    <x v="0"/>
    <x v="0"/>
    <s v="P4"/>
    <n v="0"/>
    <s v="No"/>
  </r>
  <r>
    <n v="53.06666666666667"/>
    <d v="2012-12-21T00:00:00"/>
    <x v="0"/>
    <s v="UNHCR"/>
    <s v="Kachin"/>
    <s v="Bhamo"/>
    <s v="Robert Church"/>
    <m/>
    <m/>
    <m/>
    <n v="24"/>
    <n v="12"/>
    <n v="24"/>
    <n v="12"/>
    <n v="12"/>
    <n v="12"/>
    <n v="12"/>
    <m/>
    <m/>
    <m/>
    <m/>
    <m/>
    <m/>
    <m/>
    <n v="0"/>
    <n v="0"/>
    <n v="0"/>
    <n v="0"/>
    <n v="0"/>
    <n v="0"/>
    <n v="0"/>
    <n v="0"/>
    <n v="0"/>
    <n v="0"/>
    <n v="0"/>
    <n v="0"/>
    <n v="0"/>
    <n v="0"/>
    <n v="0"/>
    <n v="0"/>
    <n v="0"/>
    <n v="0"/>
    <s v="MMR001CMP047"/>
    <x v="0"/>
    <x v="0"/>
    <s v="P4"/>
    <n v="2.9465930018416205E-4"/>
    <s v="No"/>
  </r>
  <r>
    <n v="53.06666666666667"/>
    <d v="2012-12-21T00:00:00"/>
    <x v="0"/>
    <s v="UNHCR"/>
    <s v="Kachin"/>
    <s v="Shwegu"/>
    <s v="Shwe Gu Baptist Church"/>
    <m/>
    <m/>
    <m/>
    <n v="0"/>
    <n v="0"/>
    <n v="83"/>
    <n v="0"/>
    <n v="0"/>
    <m/>
    <m/>
    <m/>
    <m/>
    <m/>
    <m/>
    <m/>
    <m/>
    <m/>
    <n v="0"/>
    <n v="0"/>
    <n v="0"/>
    <n v="0"/>
    <n v="0"/>
    <n v="0"/>
    <n v="0"/>
    <n v="0"/>
    <n v="0"/>
    <n v="0"/>
    <n v="0"/>
    <n v="0"/>
    <n v="0"/>
    <n v="0"/>
    <n v="0"/>
    <n v="0"/>
    <n v="0"/>
    <n v="0"/>
    <s v="MMR001CMP067"/>
    <x v="0"/>
    <x v="0"/>
    <s v="P4"/>
    <n v="0"/>
    <s v="No"/>
  </r>
  <r>
    <n v="53.06666666666667"/>
    <d v="2012-12-21T00:00:00"/>
    <x v="1"/>
    <s v="Solidarities"/>
    <s v="Kachin"/>
    <s v="Bhamo"/>
    <s v="Yoe Kyi Monastery"/>
    <n v="178"/>
    <m/>
    <m/>
    <m/>
    <m/>
    <m/>
    <m/>
    <m/>
    <m/>
    <m/>
    <m/>
    <m/>
    <m/>
    <m/>
    <m/>
    <m/>
    <m/>
    <n v="0"/>
    <n v="0"/>
    <n v="0"/>
    <n v="0"/>
    <n v="0"/>
    <n v="0"/>
    <n v="0"/>
    <n v="0"/>
    <n v="0"/>
    <n v="0"/>
    <n v="0"/>
    <n v="0"/>
    <n v="0"/>
    <n v="0"/>
    <n v="0"/>
    <n v="0"/>
    <n v="0"/>
    <n v="0"/>
    <s v="MMR001CMP053"/>
    <x v="0"/>
    <x v="0"/>
    <s v="P4"/>
    <n v="0"/>
    <m/>
  </r>
  <r>
    <n v="53.06666666666667"/>
    <d v="2012-12-21T00:00:00"/>
    <x v="0"/>
    <s v="UNHCR"/>
    <s v="Kachin"/>
    <s v="Bhamo"/>
    <s v="Yoe Kyi Monastery"/>
    <m/>
    <m/>
    <m/>
    <n v="0"/>
    <n v="3"/>
    <n v="0"/>
    <n v="3"/>
    <n v="3"/>
    <n v="3"/>
    <n v="3"/>
    <m/>
    <m/>
    <m/>
    <m/>
    <m/>
    <m/>
    <m/>
    <n v="0"/>
    <n v="0"/>
    <n v="0"/>
    <n v="0"/>
    <n v="0"/>
    <n v="0"/>
    <n v="0"/>
    <n v="0"/>
    <n v="0"/>
    <n v="0"/>
    <n v="0"/>
    <n v="0"/>
    <n v="0"/>
    <n v="0"/>
    <n v="0"/>
    <n v="0"/>
    <n v="0"/>
    <n v="0"/>
    <s v="MMR001CMP053"/>
    <x v="0"/>
    <x v="0"/>
    <s v="P4"/>
    <n v="7.2953650114294054E-5"/>
    <s v="No"/>
  </r>
  <r>
    <n v="52.733333333333334"/>
    <d v="2012-12-31T00:00:00"/>
    <x v="2"/>
    <s v="DRC"/>
    <s v="Kachin"/>
    <s v="Hpakant"/>
    <s v="5 Ward Baptist Church(lon Khin)"/>
    <n v="12"/>
    <m/>
    <m/>
    <m/>
    <m/>
    <m/>
    <m/>
    <m/>
    <n v="0"/>
    <n v="0"/>
    <m/>
    <m/>
    <m/>
    <m/>
    <m/>
    <m/>
    <m/>
    <n v="0"/>
    <n v="0"/>
    <n v="0"/>
    <n v="0"/>
    <n v="0"/>
    <n v="0"/>
    <n v="0"/>
    <n v="0"/>
    <n v="0"/>
    <n v="0"/>
    <n v="0"/>
    <n v="0"/>
    <n v="0"/>
    <n v="0"/>
    <n v="0"/>
    <n v="0"/>
    <n v="0"/>
    <n v="0"/>
    <s v="MMR001CMP179"/>
    <x v="0"/>
    <x v="1"/>
    <s v="P4"/>
    <n v="0"/>
    <s v="No"/>
  </r>
  <r>
    <n v="52.733333333333334"/>
    <d v="2012-12-31T00:00:00"/>
    <x v="2"/>
    <s v="DRC"/>
    <s v="Kachin"/>
    <s v="Hpakant"/>
    <s v="5 Ward RC Church(lon Khin)"/>
    <n v="19"/>
    <m/>
    <m/>
    <m/>
    <m/>
    <m/>
    <m/>
    <m/>
    <n v="0"/>
    <n v="0"/>
    <m/>
    <m/>
    <m/>
    <m/>
    <m/>
    <m/>
    <m/>
    <n v="0"/>
    <n v="0"/>
    <n v="0"/>
    <n v="0"/>
    <n v="0"/>
    <n v="0"/>
    <n v="0"/>
    <n v="0"/>
    <n v="0"/>
    <n v="0"/>
    <n v="0"/>
    <n v="0"/>
    <n v="0"/>
    <n v="0"/>
    <n v="0"/>
    <n v="0"/>
    <n v="0"/>
    <n v="0"/>
    <s v="MMR001CMP168"/>
    <x v="0"/>
    <x v="0"/>
    <s v="P4"/>
    <n v="0"/>
    <s v="No"/>
  </r>
  <r>
    <n v="52.733333333333334"/>
    <d v="2012-12-31T00:00:00"/>
    <x v="2"/>
    <s v="DRC"/>
    <s v="Kachin"/>
    <s v="Hpakant"/>
    <s v="AG Church, Hmaw Si Sa"/>
    <n v="7"/>
    <m/>
    <m/>
    <m/>
    <m/>
    <m/>
    <m/>
    <m/>
    <n v="0"/>
    <n v="0"/>
    <m/>
    <m/>
    <m/>
    <m/>
    <m/>
    <m/>
    <m/>
    <n v="0"/>
    <n v="0"/>
    <n v="0"/>
    <n v="0"/>
    <n v="0"/>
    <n v="0"/>
    <n v="0"/>
    <n v="0"/>
    <n v="0"/>
    <n v="0"/>
    <n v="0"/>
    <n v="0"/>
    <n v="0"/>
    <n v="0"/>
    <n v="0"/>
    <n v="0"/>
    <n v="0"/>
    <n v="0"/>
    <s v="MMR001CMP176"/>
    <x v="0"/>
    <x v="0"/>
    <s v="P4"/>
    <n v="0"/>
    <s v="No"/>
  </r>
  <r>
    <n v="52.733333333333334"/>
    <d v="2012-12-31T00:00:00"/>
    <x v="2"/>
    <s v="DRC"/>
    <s v="Kachin"/>
    <s v="Hpakant"/>
    <s v="AG Church, Maw Wan"/>
    <n v="4"/>
    <m/>
    <m/>
    <m/>
    <m/>
    <m/>
    <m/>
    <m/>
    <n v="0"/>
    <n v="0"/>
    <m/>
    <m/>
    <m/>
    <m/>
    <m/>
    <m/>
    <m/>
    <n v="0"/>
    <n v="0"/>
    <n v="0"/>
    <n v="0"/>
    <n v="0"/>
    <n v="0"/>
    <n v="0"/>
    <n v="0"/>
    <n v="0"/>
    <n v="0"/>
    <n v="0"/>
    <n v="0"/>
    <n v="0"/>
    <n v="0"/>
    <n v="0"/>
    <n v="0"/>
    <n v="0"/>
    <n v="0"/>
    <s v="MMR001CMP190"/>
    <x v="0"/>
    <x v="0"/>
    <s v="P4"/>
    <n v="0"/>
    <s v="No"/>
  </r>
  <r>
    <n v="52.733333333333334"/>
    <d v="2012-12-31T00:00:00"/>
    <x v="2"/>
    <s v="DRC"/>
    <s v="Kachin"/>
    <s v="Hpakant"/>
    <s v="Baptist Church, Hmaw Si Sar(Lon Khin)"/>
    <n v="20"/>
    <m/>
    <m/>
    <m/>
    <m/>
    <m/>
    <m/>
    <m/>
    <n v="0"/>
    <n v="0"/>
    <m/>
    <m/>
    <m/>
    <m/>
    <m/>
    <m/>
    <m/>
    <n v="0"/>
    <n v="0"/>
    <n v="0"/>
    <n v="0"/>
    <n v="0"/>
    <n v="0"/>
    <n v="0"/>
    <n v="0"/>
    <n v="0"/>
    <n v="0"/>
    <n v="0"/>
    <n v="0"/>
    <n v="0"/>
    <n v="0"/>
    <n v="0"/>
    <n v="0"/>
    <n v="0"/>
    <n v="0"/>
    <s v="MMR001CMP169"/>
    <x v="0"/>
    <x v="0"/>
    <s v="P4"/>
    <n v="0"/>
    <s v="No"/>
  </r>
  <r>
    <n v="52.733333333333334"/>
    <d v="2012-12-31T00:00:00"/>
    <x v="2"/>
    <s v="DRC"/>
    <s v="Kachin"/>
    <s v="Hpakant"/>
    <s v="Dhama Rakhita, Nyein Chan Tar Yar Ward(Lon Khin)"/>
    <n v="6"/>
    <m/>
    <m/>
    <m/>
    <m/>
    <m/>
    <m/>
    <m/>
    <n v="0"/>
    <n v="0"/>
    <m/>
    <m/>
    <m/>
    <m/>
    <m/>
    <m/>
    <m/>
    <n v="0"/>
    <n v="0"/>
    <n v="0"/>
    <n v="0"/>
    <n v="0"/>
    <n v="0"/>
    <n v="0"/>
    <n v="0"/>
    <n v="0"/>
    <n v="0"/>
    <n v="0"/>
    <n v="0"/>
    <n v="0"/>
    <n v="0"/>
    <n v="0"/>
    <n v="0"/>
    <n v="0"/>
    <n v="0"/>
    <s v="MMR001CMP174"/>
    <x v="0"/>
    <x v="0"/>
    <s v="P4"/>
    <n v="0"/>
    <s v="No"/>
  </r>
  <r>
    <n v="52.733333333333334"/>
    <d v="2012-12-31T00:00:00"/>
    <x v="2"/>
    <s v="DRC"/>
    <s v="Kachin"/>
    <s v="Waingmaw"/>
    <s v="Hkat Cho "/>
    <n v="136"/>
    <m/>
    <m/>
    <m/>
    <m/>
    <m/>
    <m/>
    <m/>
    <n v="0"/>
    <n v="0"/>
    <m/>
    <m/>
    <m/>
    <m/>
    <m/>
    <m/>
    <m/>
    <n v="0"/>
    <n v="0"/>
    <n v="0"/>
    <n v="0"/>
    <n v="0"/>
    <n v="0"/>
    <n v="0"/>
    <n v="0"/>
    <n v="0"/>
    <n v="0"/>
    <n v="0"/>
    <n v="0"/>
    <n v="0"/>
    <n v="0"/>
    <n v="0"/>
    <n v="0"/>
    <n v="0"/>
    <n v="0"/>
    <s v="MMR001CMP028"/>
    <x v="0"/>
    <x v="0"/>
    <s v="P4"/>
    <n v="0"/>
    <s v="No"/>
  </r>
  <r>
    <n v="52.733333333333334"/>
    <d v="2012-12-31T00:00:00"/>
    <x v="2"/>
    <s v="DRC"/>
    <s v="Kachin"/>
    <s v="Hpakant"/>
    <s v="Hlaing Naung Baptist"/>
    <n v="4"/>
    <m/>
    <m/>
    <m/>
    <m/>
    <m/>
    <m/>
    <m/>
    <n v="0"/>
    <n v="0"/>
    <m/>
    <m/>
    <m/>
    <m/>
    <m/>
    <m/>
    <m/>
    <n v="0"/>
    <n v="0"/>
    <n v="0"/>
    <n v="0"/>
    <n v="0"/>
    <n v="0"/>
    <n v="0"/>
    <n v="0"/>
    <n v="0"/>
    <n v="0"/>
    <n v="0"/>
    <n v="0"/>
    <n v="0"/>
    <n v="0"/>
    <n v="0"/>
    <n v="0"/>
    <n v="0"/>
    <n v="0"/>
    <s v="MMR001CMP148"/>
    <x v="0"/>
    <x v="0"/>
    <s v="P4"/>
    <n v="0"/>
    <s v="No"/>
  </r>
  <r>
    <n v="52.733333333333334"/>
    <d v="2012-12-31T00:00:00"/>
    <x v="2"/>
    <s v="DRC"/>
    <s v="Kachin"/>
    <s v="Hpakant"/>
    <s v="Hmaw Wan, Anglican"/>
    <n v="3"/>
    <m/>
    <m/>
    <m/>
    <m/>
    <m/>
    <m/>
    <m/>
    <n v="0"/>
    <n v="0"/>
    <m/>
    <m/>
    <m/>
    <m/>
    <m/>
    <m/>
    <m/>
    <n v="0"/>
    <n v="0"/>
    <n v="0"/>
    <n v="0"/>
    <n v="0"/>
    <n v="0"/>
    <n v="0"/>
    <n v="0"/>
    <n v="0"/>
    <n v="0"/>
    <n v="0"/>
    <n v="0"/>
    <n v="0"/>
    <n v="0"/>
    <n v="0"/>
    <n v="0"/>
    <n v="0"/>
    <n v="0"/>
    <s v="MMR001CMP191"/>
    <x v="0"/>
    <x v="0"/>
    <s v="P4"/>
    <n v="0"/>
    <s v="No"/>
  </r>
  <r>
    <n v="52.733333333333334"/>
    <d v="2012-12-31T00:00:00"/>
    <x v="2"/>
    <s v="DRC"/>
    <s v="Kachin"/>
    <s v="Hpakant"/>
    <s v="Lisu Baptist Church, Maw Wan Ward"/>
    <n v="1"/>
    <m/>
    <m/>
    <m/>
    <m/>
    <m/>
    <m/>
    <m/>
    <n v="0"/>
    <n v="0"/>
    <m/>
    <m/>
    <m/>
    <m/>
    <m/>
    <m/>
    <m/>
    <n v="0"/>
    <n v="0"/>
    <n v="0"/>
    <n v="0"/>
    <n v="0"/>
    <n v="0"/>
    <n v="0"/>
    <n v="0"/>
    <n v="0"/>
    <n v="0"/>
    <n v="0"/>
    <n v="0"/>
    <n v="0"/>
    <n v="0"/>
    <n v="0"/>
    <n v="0"/>
    <n v="0"/>
    <n v="0"/>
    <s v="MMR001CMP167"/>
    <x v="0"/>
    <x v="0"/>
    <s v="P4"/>
    <n v="0"/>
    <s v="No"/>
  </r>
  <r>
    <n v="52.733333333333334"/>
    <d v="2012-12-31T00:00:00"/>
    <x v="2"/>
    <s v="DRC"/>
    <s v="Kachin"/>
    <s v="Waingmaw"/>
    <s v="Mading Baptist Church"/>
    <n v="23"/>
    <m/>
    <m/>
    <m/>
    <m/>
    <m/>
    <m/>
    <m/>
    <n v="0"/>
    <n v="0"/>
    <m/>
    <m/>
    <m/>
    <m/>
    <m/>
    <m/>
    <m/>
    <n v="0"/>
    <n v="0"/>
    <n v="0"/>
    <n v="0"/>
    <n v="0"/>
    <n v="0"/>
    <n v="0"/>
    <n v="0"/>
    <n v="0"/>
    <n v="0"/>
    <n v="0"/>
    <n v="0"/>
    <n v="0"/>
    <n v="0"/>
    <n v="0"/>
    <n v="0"/>
    <n v="0"/>
    <n v="0"/>
    <s v="MMR001CMP027"/>
    <x v="0"/>
    <x v="0"/>
    <s v="P4"/>
    <n v="0"/>
    <s v="No"/>
  </r>
  <r>
    <n v="52.733333333333334"/>
    <d v="2012-12-31T00:00:00"/>
    <x v="2"/>
    <s v="DRC"/>
    <s v="Kachin"/>
    <s v="Waingmaw"/>
    <s v="Maina AG Church"/>
    <n v="79"/>
    <m/>
    <m/>
    <m/>
    <m/>
    <m/>
    <m/>
    <m/>
    <n v="0"/>
    <n v="0"/>
    <m/>
    <m/>
    <m/>
    <m/>
    <m/>
    <m/>
    <m/>
    <n v="0"/>
    <n v="0"/>
    <n v="0"/>
    <n v="0"/>
    <n v="0"/>
    <n v="0"/>
    <n v="0"/>
    <n v="0"/>
    <n v="0"/>
    <n v="0"/>
    <n v="0"/>
    <n v="0"/>
    <n v="0"/>
    <n v="0"/>
    <n v="0"/>
    <n v="0"/>
    <n v="0"/>
    <n v="0"/>
    <s v="MMR001CMP031"/>
    <x v="0"/>
    <x v="0"/>
    <s v="P4"/>
    <n v="0"/>
    <s v="No"/>
  </r>
  <r>
    <n v="52.733333333333334"/>
    <d v="2012-12-31T00:00:00"/>
    <x v="2"/>
    <s v="DRC"/>
    <s v="Kachin"/>
    <s v="Myitkyina"/>
    <s v="Maw Hpawng Hka Nan Baptist Church"/>
    <n v="14"/>
    <m/>
    <m/>
    <m/>
    <m/>
    <m/>
    <m/>
    <m/>
    <n v="0"/>
    <n v="0"/>
    <m/>
    <m/>
    <m/>
    <m/>
    <m/>
    <m/>
    <m/>
    <n v="0"/>
    <n v="0"/>
    <n v="0"/>
    <n v="0"/>
    <n v="0"/>
    <n v="0"/>
    <n v="0"/>
    <n v="0"/>
    <n v="0"/>
    <n v="0"/>
    <n v="0"/>
    <n v="0"/>
    <n v="0"/>
    <n v="0"/>
    <n v="0"/>
    <n v="0"/>
    <n v="0"/>
    <n v="0"/>
    <s v="MMR001CMP020"/>
    <x v="0"/>
    <x v="0"/>
    <s v="P4"/>
    <n v="0"/>
    <s v="No"/>
  </r>
  <r>
    <n v="52.733333333333334"/>
    <d v="2012-12-31T00:00:00"/>
    <x v="2"/>
    <s v="DRC"/>
    <s v="Kachin"/>
    <s v="Myitkyina"/>
    <s v="Maw Hpawng Lhaovo Baptist Church"/>
    <n v="23"/>
    <m/>
    <m/>
    <m/>
    <m/>
    <m/>
    <m/>
    <m/>
    <n v="0"/>
    <n v="0"/>
    <m/>
    <m/>
    <m/>
    <m/>
    <m/>
    <m/>
    <m/>
    <n v="0"/>
    <n v="0"/>
    <n v="0"/>
    <n v="0"/>
    <n v="0"/>
    <n v="0"/>
    <n v="0"/>
    <n v="0"/>
    <n v="0"/>
    <n v="0"/>
    <n v="0"/>
    <n v="0"/>
    <n v="0"/>
    <n v="0"/>
    <n v="0"/>
    <n v="0"/>
    <n v="0"/>
    <n v="0"/>
    <s v="MMR001CMP021"/>
    <x v="0"/>
    <x v="0"/>
    <s v="P4"/>
    <n v="0"/>
    <s v="No"/>
  </r>
  <r>
    <n v="52.733333333333334"/>
    <d v="2012-12-31T00:00:00"/>
    <x v="2"/>
    <s v="DRC"/>
    <s v="Kachin"/>
    <s v="Hpakant"/>
    <s v="Maw Wan, Mu-yin Baptist Church"/>
    <n v="2"/>
    <m/>
    <m/>
    <m/>
    <m/>
    <m/>
    <m/>
    <m/>
    <n v="0"/>
    <n v="0"/>
    <m/>
    <m/>
    <m/>
    <m/>
    <m/>
    <m/>
    <m/>
    <n v="0"/>
    <n v="0"/>
    <n v="0"/>
    <n v="0"/>
    <n v="0"/>
    <n v="0"/>
    <n v="0"/>
    <n v="0"/>
    <n v="0"/>
    <n v="0"/>
    <n v="0"/>
    <n v="0"/>
    <n v="0"/>
    <n v="0"/>
    <n v="0"/>
    <n v="0"/>
    <n v="0"/>
    <n v="0"/>
    <s v="MMR001CMP091"/>
    <x v="0"/>
    <x v="0"/>
    <s v="P4"/>
    <n v="0"/>
    <s v="No"/>
  </r>
  <r>
    <n v="52.733333333333334"/>
    <d v="2012-12-31T00:00:00"/>
    <x v="2"/>
    <s v="DRC"/>
    <s v="Kachin"/>
    <s v="Hpakant"/>
    <s v="Nam Ma Phyit, COC"/>
    <n v="32"/>
    <m/>
    <m/>
    <m/>
    <m/>
    <m/>
    <m/>
    <m/>
    <n v="0"/>
    <n v="0"/>
    <m/>
    <m/>
    <m/>
    <m/>
    <m/>
    <m/>
    <m/>
    <n v="0"/>
    <n v="0"/>
    <n v="0"/>
    <n v="0"/>
    <n v="0"/>
    <n v="0"/>
    <n v="0"/>
    <n v="0"/>
    <n v="0"/>
    <n v="0"/>
    <n v="0"/>
    <n v="0"/>
    <n v="0"/>
    <n v="0"/>
    <n v="0"/>
    <n v="0"/>
    <n v="0"/>
    <n v="0"/>
    <s v="MMR001CMP192"/>
    <x v="0"/>
    <x v="0"/>
    <s v="P4"/>
    <n v="0"/>
    <s v="No"/>
  </r>
  <r>
    <n v="52.733333333333334"/>
    <d v="2012-12-31T00:00:00"/>
    <x v="2"/>
    <s v="DRC"/>
    <s v="Kachin"/>
    <s v="Hpakant"/>
    <s v="Nant Ma Hpit Catholic Church"/>
    <n v="4"/>
    <m/>
    <m/>
    <m/>
    <m/>
    <m/>
    <m/>
    <m/>
    <n v="0"/>
    <n v="0"/>
    <m/>
    <m/>
    <m/>
    <m/>
    <m/>
    <m/>
    <m/>
    <n v="0"/>
    <n v="0"/>
    <n v="0"/>
    <n v="0"/>
    <n v="0"/>
    <n v="0"/>
    <n v="0"/>
    <n v="0"/>
    <n v="0"/>
    <n v="0"/>
    <n v="0"/>
    <n v="0"/>
    <n v="0"/>
    <n v="0"/>
    <n v="0"/>
    <n v="0"/>
    <n v="0"/>
    <n v="0"/>
    <s v="MMR001CMP103"/>
    <x v="0"/>
    <x v="0"/>
    <s v="P4"/>
    <n v="0"/>
    <s v="No"/>
  </r>
  <r>
    <n v="52.733333333333334"/>
    <d v="2012-12-31T00:00:00"/>
    <x v="2"/>
    <s v="DRC"/>
    <s v="Kachin"/>
    <s v="Waingmaw"/>
    <s v="Qtr. 2 Lhaovo Baptist Church"/>
    <n v="92"/>
    <m/>
    <m/>
    <m/>
    <m/>
    <m/>
    <m/>
    <m/>
    <n v="0"/>
    <n v="0"/>
    <m/>
    <m/>
    <m/>
    <m/>
    <m/>
    <m/>
    <m/>
    <n v="0"/>
    <n v="0"/>
    <n v="0"/>
    <n v="0"/>
    <n v="0"/>
    <n v="0"/>
    <n v="0"/>
    <n v="0"/>
    <n v="0"/>
    <n v="0"/>
    <n v="0"/>
    <n v="0"/>
    <n v="0"/>
    <n v="0"/>
    <n v="0"/>
    <n v="0"/>
    <n v="0"/>
    <n v="0"/>
    <s v="MMR001CMP032"/>
    <x v="0"/>
    <x v="0"/>
    <s v="P4"/>
    <n v="0"/>
    <s v="No"/>
  </r>
  <r>
    <n v="52.733333333333334"/>
    <d v="2012-12-31T00:00:00"/>
    <x v="2"/>
    <s v="DRC"/>
    <s v="Kachin"/>
    <s v="Waingmaw"/>
    <s v="Qtr. 3 Mu-yin  Baptist Church"/>
    <n v="27"/>
    <m/>
    <m/>
    <m/>
    <m/>
    <m/>
    <m/>
    <m/>
    <n v="0"/>
    <n v="0"/>
    <m/>
    <m/>
    <m/>
    <m/>
    <m/>
    <m/>
    <m/>
    <n v="0"/>
    <n v="0"/>
    <n v="0"/>
    <n v="0"/>
    <n v="0"/>
    <n v="0"/>
    <n v="0"/>
    <n v="0"/>
    <n v="0"/>
    <n v="0"/>
    <n v="0"/>
    <n v="0"/>
    <n v="0"/>
    <n v="0"/>
    <n v="0"/>
    <n v="0"/>
    <n v="0"/>
    <n v="0"/>
    <s v="MMR001CMP030"/>
    <x v="0"/>
    <x v="0"/>
    <s v="P4"/>
    <n v="0"/>
    <s v="No"/>
  </r>
  <r>
    <n v="52.733333333333334"/>
    <d v="2012-12-31T00:00:00"/>
    <x v="2"/>
    <s v="DRC"/>
    <s v="Kachin"/>
    <s v="Waingmaw"/>
    <s v="Qtr. 4 Monestry (Thargaya Thayett Taw)"/>
    <n v="96"/>
    <m/>
    <m/>
    <m/>
    <m/>
    <m/>
    <m/>
    <m/>
    <n v="0"/>
    <n v="0"/>
    <m/>
    <m/>
    <m/>
    <m/>
    <m/>
    <m/>
    <m/>
    <n v="0"/>
    <n v="0"/>
    <n v="0"/>
    <n v="0"/>
    <n v="0"/>
    <n v="0"/>
    <n v="0"/>
    <n v="0"/>
    <n v="0"/>
    <n v="0"/>
    <n v="0"/>
    <n v="0"/>
    <n v="0"/>
    <n v="0"/>
    <n v="0"/>
    <n v="0"/>
    <n v="0"/>
    <n v="0"/>
    <s v="MMR001CMP026"/>
    <x v="0"/>
    <x v="0"/>
    <s v="P4"/>
    <n v="0"/>
    <s v="No"/>
  </r>
  <r>
    <n v="52.733333333333334"/>
    <d v="2012-12-31T00:00:00"/>
    <x v="2"/>
    <s v="DRC"/>
    <s v="Kachin"/>
    <s v="Myitkyina"/>
    <s v="Shatapru Thida Aye Baptist Church"/>
    <n v="17"/>
    <m/>
    <m/>
    <m/>
    <m/>
    <m/>
    <m/>
    <m/>
    <n v="0"/>
    <n v="0"/>
    <m/>
    <m/>
    <m/>
    <m/>
    <m/>
    <m/>
    <m/>
    <n v="0"/>
    <n v="0"/>
    <n v="0"/>
    <n v="0"/>
    <n v="0"/>
    <n v="0"/>
    <n v="0"/>
    <n v="0"/>
    <n v="0"/>
    <n v="0"/>
    <n v="0"/>
    <n v="0"/>
    <n v="0"/>
    <n v="0"/>
    <n v="0"/>
    <n v="0"/>
    <n v="0"/>
    <n v="0"/>
    <s v="MMR001CMP007"/>
    <x v="0"/>
    <x v="0"/>
    <s v="P4"/>
    <n v="0"/>
    <s v="No"/>
  </r>
  <r>
    <n v="52.733333333333334"/>
    <d v="2012-12-31T00:00:00"/>
    <x v="2"/>
    <s v="DRC"/>
    <s v="Kachin"/>
    <s v="Myitkyina"/>
    <s v="Tat Kone COC Baptist - Tat Kone Htoi San"/>
    <n v="34"/>
    <m/>
    <m/>
    <m/>
    <m/>
    <m/>
    <m/>
    <m/>
    <n v="0"/>
    <n v="0"/>
    <m/>
    <m/>
    <m/>
    <m/>
    <m/>
    <m/>
    <m/>
    <n v="0"/>
    <n v="0"/>
    <n v="0"/>
    <n v="0"/>
    <n v="0"/>
    <n v="0"/>
    <n v="0"/>
    <n v="0"/>
    <n v="0"/>
    <n v="0"/>
    <n v="0"/>
    <n v="0"/>
    <n v="0"/>
    <n v="0"/>
    <n v="0"/>
    <n v="0"/>
    <n v="0"/>
    <n v="0"/>
    <s v="MMR001CMP023"/>
    <x v="0"/>
    <x v="0"/>
    <s v="P4"/>
    <n v="0"/>
    <s v="No"/>
  </r>
  <r>
    <n v="52.733333333333334"/>
    <d v="2012-12-31T00:00:00"/>
    <x v="2"/>
    <s v="DRC"/>
    <s v="Kachin"/>
    <s v="Myitkyina"/>
    <s v="Tat Kone Emanuel Church"/>
    <n v="14"/>
    <m/>
    <m/>
    <m/>
    <m/>
    <m/>
    <m/>
    <m/>
    <n v="0"/>
    <n v="0"/>
    <m/>
    <m/>
    <m/>
    <m/>
    <m/>
    <m/>
    <m/>
    <n v="0"/>
    <n v="0"/>
    <n v="0"/>
    <n v="0"/>
    <n v="0"/>
    <n v="0"/>
    <n v="0"/>
    <n v="0"/>
    <n v="0"/>
    <n v="0"/>
    <n v="0"/>
    <n v="0"/>
    <n v="0"/>
    <n v="0"/>
    <n v="0"/>
    <n v="0"/>
    <n v="0"/>
    <n v="0"/>
    <s v="MMR001CMP004"/>
    <x v="0"/>
    <x v="0"/>
    <s v="P4"/>
    <n v="0"/>
    <s v="No"/>
  </r>
  <r>
    <n v="52.733333333333334"/>
    <d v="2012-12-31T00:00:00"/>
    <x v="2"/>
    <s v="DRC"/>
    <s v="Kachin"/>
    <s v="Waingmaw"/>
    <s v="Thargaya Lisu Baptist Church"/>
    <n v="68"/>
    <m/>
    <m/>
    <m/>
    <m/>
    <m/>
    <m/>
    <m/>
    <n v="0"/>
    <n v="0"/>
    <m/>
    <m/>
    <m/>
    <m/>
    <m/>
    <m/>
    <m/>
    <n v="0"/>
    <n v="0"/>
    <n v="0"/>
    <n v="0"/>
    <n v="0"/>
    <n v="0"/>
    <n v="0"/>
    <n v="0"/>
    <n v="0"/>
    <n v="0"/>
    <n v="0"/>
    <n v="0"/>
    <n v="0"/>
    <n v="0"/>
    <n v="0"/>
    <n v="0"/>
    <n v="0"/>
    <n v="0"/>
    <s v="MMR001CMP037"/>
    <x v="0"/>
    <x v="0"/>
    <s v="P4"/>
    <n v="0"/>
    <s v="No"/>
  </r>
  <r>
    <n v="52.733333333333334"/>
    <d v="2012-12-31T00:00:00"/>
    <x v="2"/>
    <s v="DRC"/>
    <s v="Kachin"/>
    <s v="Waingmaw"/>
    <s v="Waingmaw AG Church"/>
    <n v="56"/>
    <m/>
    <m/>
    <m/>
    <m/>
    <m/>
    <m/>
    <m/>
    <n v="0"/>
    <n v="0"/>
    <m/>
    <m/>
    <m/>
    <m/>
    <m/>
    <m/>
    <m/>
    <n v="0"/>
    <n v="0"/>
    <n v="0"/>
    <n v="0"/>
    <n v="0"/>
    <n v="0"/>
    <n v="0"/>
    <n v="0"/>
    <n v="0"/>
    <n v="0"/>
    <n v="0"/>
    <n v="0"/>
    <n v="0"/>
    <n v="0"/>
    <n v="0"/>
    <n v="0"/>
    <n v="0"/>
    <n v="0"/>
    <s v="MMR001CMP038"/>
    <x v="0"/>
    <x v="0"/>
    <s v="P4"/>
    <n v="0"/>
    <s v="No"/>
  </r>
  <r>
    <n v="52.733333333333334"/>
    <d v="2012-12-31T00:00:00"/>
    <x v="2"/>
    <s v="DRC"/>
    <s v="Kachin"/>
    <s v="Myitkyina"/>
    <s v="Wun Tho Buddhist Monastery"/>
    <n v="24"/>
    <m/>
    <m/>
    <m/>
    <m/>
    <m/>
    <m/>
    <m/>
    <n v="0"/>
    <n v="0"/>
    <m/>
    <m/>
    <m/>
    <m/>
    <m/>
    <m/>
    <m/>
    <n v="0"/>
    <n v="0"/>
    <n v="0"/>
    <n v="0"/>
    <n v="0"/>
    <n v="0"/>
    <n v="0"/>
    <n v="0"/>
    <n v="0"/>
    <n v="0"/>
    <n v="0"/>
    <n v="0"/>
    <n v="0"/>
    <n v="0"/>
    <n v="0"/>
    <n v="0"/>
    <n v="0"/>
    <n v="0"/>
    <s v="MMR001CMP022"/>
    <x v="0"/>
    <x v="0"/>
    <s v="P4"/>
    <n v="0"/>
    <s v="No"/>
  </r>
  <r>
    <n v="52.733333333333334"/>
    <d v="2012-12-31T00:00:00"/>
    <x v="2"/>
    <s v="DRC"/>
    <s v="Kachin"/>
    <s v="Hpakant"/>
    <s v="Yumar Baptist Church"/>
    <n v="42"/>
    <m/>
    <m/>
    <m/>
    <m/>
    <m/>
    <m/>
    <m/>
    <n v="0"/>
    <n v="0"/>
    <m/>
    <m/>
    <m/>
    <m/>
    <m/>
    <m/>
    <m/>
    <n v="0"/>
    <n v="0"/>
    <n v="0"/>
    <n v="0"/>
    <n v="0"/>
    <n v="0"/>
    <n v="0"/>
    <n v="0"/>
    <n v="0"/>
    <n v="0"/>
    <n v="0"/>
    <n v="0"/>
    <n v="0"/>
    <n v="0"/>
    <n v="0"/>
    <n v="0"/>
    <n v="0"/>
    <n v="0"/>
    <s v="MMR001CMP105"/>
    <x v="0"/>
    <x v="0"/>
    <s v="P4"/>
    <n v="0"/>
    <s v="No"/>
  </r>
  <r>
    <n v="52.733333333333334"/>
    <d v="2012-12-31T00:00:00"/>
    <x v="2"/>
    <s v="DRC"/>
    <s v="Kachin"/>
    <s v="Hpakant"/>
    <s v="Aye Mya Tharyar Church of Christ "/>
    <n v="16"/>
    <m/>
    <m/>
    <m/>
    <m/>
    <m/>
    <m/>
    <m/>
    <n v="0"/>
    <n v="0"/>
    <m/>
    <m/>
    <m/>
    <m/>
    <m/>
    <m/>
    <m/>
    <n v="0"/>
    <n v="0"/>
    <n v="0"/>
    <n v="0"/>
    <n v="0"/>
    <n v="0"/>
    <n v="0"/>
    <n v="0"/>
    <n v="0"/>
    <n v="0"/>
    <n v="0"/>
    <n v="0"/>
    <n v="0"/>
    <n v="0"/>
    <n v="0"/>
    <n v="0"/>
    <n v="0"/>
    <n v="0"/>
    <s v="MMR001CMP092"/>
    <x v="0"/>
    <x v="1"/>
    <s v=""/>
    <s v=""/>
    <s v="No"/>
  </r>
  <r>
    <n v="52.733333333333334"/>
    <d v="2012-12-31T00:00:00"/>
    <x v="2"/>
    <s v="DRC"/>
    <s v="Kachin"/>
    <s v="Hpakant"/>
    <s v="Baptist Church, Sai Ra village"/>
    <n v="3"/>
    <m/>
    <m/>
    <m/>
    <m/>
    <m/>
    <m/>
    <m/>
    <n v="0"/>
    <n v="0"/>
    <m/>
    <m/>
    <m/>
    <m/>
    <m/>
    <m/>
    <m/>
    <n v="0"/>
    <n v="0"/>
    <n v="0"/>
    <n v="0"/>
    <n v="0"/>
    <n v="0"/>
    <n v="0"/>
    <n v="0"/>
    <n v="0"/>
    <n v="0"/>
    <n v="0"/>
    <n v="0"/>
    <n v="0"/>
    <n v="0"/>
    <n v="0"/>
    <n v="0"/>
    <n v="0"/>
    <n v="0"/>
    <s v="MMR001CMP172"/>
    <x v="0"/>
    <x v="1"/>
    <s v=""/>
    <n v="0"/>
    <s v="No"/>
  </r>
  <r>
    <n v="52.733333333333334"/>
    <d v="2012-12-31T00:00:00"/>
    <x v="2"/>
    <s v="DRC"/>
    <s v="Kachin"/>
    <s v="Hpakant"/>
    <s v="Mashi Kahtawng Baptist  Church"/>
    <n v="57"/>
    <m/>
    <m/>
    <m/>
    <m/>
    <m/>
    <m/>
    <m/>
    <n v="0"/>
    <n v="0"/>
    <m/>
    <m/>
    <m/>
    <m/>
    <m/>
    <m/>
    <m/>
    <n v="0"/>
    <n v="0"/>
    <n v="0"/>
    <n v="0"/>
    <n v="0"/>
    <n v="0"/>
    <n v="0"/>
    <n v="0"/>
    <n v="0"/>
    <n v="0"/>
    <n v="0"/>
    <n v="0"/>
    <n v="0"/>
    <n v="0"/>
    <n v="0"/>
    <n v="0"/>
    <n v="0"/>
    <n v="0"/>
    <s v="MMR001CMP094"/>
    <x v="0"/>
    <x v="1"/>
    <s v=""/>
    <s v=""/>
    <s v="No"/>
  </r>
  <r>
    <n v="52.733333333333334"/>
    <d v="2012-12-31T00:00:00"/>
    <x v="2"/>
    <s v="DRC"/>
    <s v="Kachin"/>
    <s v="Hpakant"/>
    <s v="Mashi Kahtawng Catholic Church"/>
    <n v="2"/>
    <m/>
    <m/>
    <m/>
    <m/>
    <m/>
    <m/>
    <m/>
    <n v="0"/>
    <n v="0"/>
    <m/>
    <m/>
    <m/>
    <m/>
    <m/>
    <m/>
    <m/>
    <n v="0"/>
    <n v="0"/>
    <n v="0"/>
    <n v="0"/>
    <n v="0"/>
    <n v="0"/>
    <n v="0"/>
    <n v="0"/>
    <n v="0"/>
    <n v="0"/>
    <n v="0"/>
    <n v="0"/>
    <n v="0"/>
    <n v="0"/>
    <n v="0"/>
    <n v="0"/>
    <n v="0"/>
    <n v="0"/>
    <s v="MMR001CMP093"/>
    <x v="0"/>
    <x v="1"/>
    <s v=""/>
    <s v=""/>
    <s v="No"/>
  </r>
  <r>
    <n v="52.733333333333334"/>
    <d v="2012-12-31T00:00:00"/>
    <x v="2"/>
    <s v="DRC"/>
    <s v="Kachin"/>
    <s v="Hpakant"/>
    <s v="Maw Si Zar, Thiriyardanar Sein, Damma Compound, Lone Khin"/>
    <n v="3"/>
    <m/>
    <m/>
    <m/>
    <m/>
    <m/>
    <m/>
    <m/>
    <n v="0"/>
    <n v="0"/>
    <m/>
    <m/>
    <m/>
    <m/>
    <m/>
    <m/>
    <m/>
    <n v="0"/>
    <n v="0"/>
    <n v="0"/>
    <n v="0"/>
    <n v="0"/>
    <n v="0"/>
    <n v="0"/>
    <n v="0"/>
    <n v="0"/>
    <n v="0"/>
    <n v="0"/>
    <n v="0"/>
    <n v="0"/>
    <n v="0"/>
    <n v="0"/>
    <n v="0"/>
    <n v="0"/>
    <n v="0"/>
    <s v="MMR001CMP106"/>
    <x v="0"/>
    <x v="1"/>
    <s v=""/>
    <s v=""/>
    <s v="No"/>
  </r>
  <r>
    <n v="52.733333333333334"/>
    <d v="2012-12-31T00:00:00"/>
    <x v="2"/>
    <s v="DRC"/>
    <s v="Kachin"/>
    <s v="Hpakant"/>
    <s v="Maw Wan, Kachin Baptist Church"/>
    <n v="10"/>
    <m/>
    <m/>
    <m/>
    <m/>
    <m/>
    <m/>
    <m/>
    <n v="0"/>
    <n v="0"/>
    <m/>
    <m/>
    <m/>
    <m/>
    <m/>
    <m/>
    <m/>
    <n v="0"/>
    <n v="0"/>
    <n v="0"/>
    <n v="0"/>
    <n v="0"/>
    <n v="0"/>
    <n v="0"/>
    <n v="0"/>
    <n v="0"/>
    <n v="0"/>
    <n v="0"/>
    <n v="0"/>
    <n v="0"/>
    <n v="0"/>
    <n v="0"/>
    <n v="0"/>
    <n v="0"/>
    <n v="0"/>
    <s v="MMR001CMP085"/>
    <x v="0"/>
    <x v="1"/>
    <s v=""/>
    <s v=""/>
    <s v="No"/>
  </r>
  <r>
    <n v="52.733333333333334"/>
    <d v="2012-12-31T00:00:00"/>
    <x v="2"/>
    <s v="DRC"/>
    <s v="Kachin"/>
    <s v="Hpakant"/>
    <s v="May Di Ka Rama Monastery(Lon Khin)"/>
    <n v="5"/>
    <m/>
    <m/>
    <m/>
    <m/>
    <m/>
    <m/>
    <m/>
    <n v="0"/>
    <n v="0"/>
    <m/>
    <m/>
    <m/>
    <m/>
    <m/>
    <m/>
    <m/>
    <n v="0"/>
    <n v="0"/>
    <n v="0"/>
    <n v="0"/>
    <n v="0"/>
    <n v="0"/>
    <n v="0"/>
    <n v="0"/>
    <n v="0"/>
    <n v="0"/>
    <n v="0"/>
    <n v="0"/>
    <n v="0"/>
    <n v="0"/>
    <n v="0"/>
    <n v="0"/>
    <n v="0"/>
    <n v="0"/>
    <s v="MMR001CMP178"/>
    <x v="0"/>
    <x v="1"/>
    <s v=""/>
    <s v=""/>
    <s v="No"/>
  </r>
  <r>
    <n v="52.733333333333334"/>
    <d v="2012-12-31T00:00:00"/>
    <x v="2"/>
    <s v="DRC"/>
    <s v="Kachin"/>
    <s v="Hpakant"/>
    <s v="Muring Baptist Church, Awng Ra, Wa Ra Zut VT"/>
    <n v="1"/>
    <m/>
    <m/>
    <m/>
    <m/>
    <m/>
    <m/>
    <m/>
    <n v="0"/>
    <n v="0"/>
    <m/>
    <m/>
    <m/>
    <m/>
    <m/>
    <m/>
    <m/>
    <n v="0"/>
    <n v="0"/>
    <n v="0"/>
    <n v="0"/>
    <n v="0"/>
    <n v="0"/>
    <n v="0"/>
    <n v="0"/>
    <n v="0"/>
    <n v="0"/>
    <n v="0"/>
    <n v="0"/>
    <n v="0"/>
    <n v="0"/>
    <n v="0"/>
    <n v="0"/>
    <n v="0"/>
    <n v="0"/>
    <s v="MMR001CMP177"/>
    <x v="0"/>
    <x v="1"/>
    <s v=""/>
    <n v="0"/>
    <s v="No"/>
  </r>
  <r>
    <n v="52.733333333333334"/>
    <d v="2012-12-31T00:00:00"/>
    <x v="2"/>
    <s v="DRC"/>
    <s v="Kachin"/>
    <s v="Myitkyina"/>
    <s v="Myay Myint Baptist Church"/>
    <n v="12"/>
    <m/>
    <m/>
    <m/>
    <m/>
    <m/>
    <m/>
    <m/>
    <n v="0"/>
    <n v="0"/>
    <m/>
    <m/>
    <m/>
    <m/>
    <m/>
    <m/>
    <m/>
    <n v="0"/>
    <n v="0"/>
    <n v="0"/>
    <n v="0"/>
    <n v="0"/>
    <n v="0"/>
    <n v="0"/>
    <n v="0"/>
    <n v="0"/>
    <n v="0"/>
    <n v="0"/>
    <n v="0"/>
    <n v="0"/>
    <n v="0"/>
    <n v="0"/>
    <n v="0"/>
    <n v="0"/>
    <n v="0"/>
    <s v="MMR001CMP017"/>
    <x v="0"/>
    <x v="1"/>
    <s v="P4"/>
    <n v="0"/>
    <s v="No"/>
  </r>
  <r>
    <n v="52.733333333333334"/>
    <d v="2012-12-31T00:00:00"/>
    <x v="2"/>
    <s v="DRC"/>
    <s v="Kachin"/>
    <s v="Hpakant"/>
    <s v="Nga Pyaw Taw Roman Catholic Church"/>
    <n v="3"/>
    <m/>
    <m/>
    <m/>
    <m/>
    <m/>
    <m/>
    <m/>
    <n v="0"/>
    <n v="0"/>
    <m/>
    <m/>
    <m/>
    <m/>
    <m/>
    <m/>
    <m/>
    <n v="0"/>
    <n v="0"/>
    <n v="0"/>
    <n v="0"/>
    <n v="0"/>
    <n v="0"/>
    <n v="0"/>
    <n v="0"/>
    <n v="0"/>
    <n v="0"/>
    <n v="0"/>
    <n v="0"/>
    <n v="0"/>
    <n v="0"/>
    <n v="0"/>
    <n v="0"/>
    <n v="0"/>
    <n v="0"/>
    <s v="MMR001CMP083"/>
    <x v="0"/>
    <x v="1"/>
    <s v=""/>
    <s v=""/>
    <s v="No"/>
  </r>
  <r>
    <n v="52.733333333333334"/>
    <d v="2012-12-31T00:00:00"/>
    <x v="2"/>
    <s v="DRC"/>
    <s v="Kachin"/>
    <s v="Hpakant"/>
    <s v="Wrad(5) Christian Association"/>
    <n v="3"/>
    <m/>
    <m/>
    <m/>
    <m/>
    <m/>
    <m/>
    <m/>
    <n v="0"/>
    <n v="0"/>
    <m/>
    <m/>
    <m/>
    <m/>
    <m/>
    <m/>
    <m/>
    <n v="0"/>
    <n v="0"/>
    <n v="0"/>
    <n v="0"/>
    <n v="0"/>
    <n v="0"/>
    <n v="0"/>
    <n v="0"/>
    <n v="0"/>
    <n v="0"/>
    <n v="0"/>
    <n v="0"/>
    <n v="0"/>
    <n v="0"/>
    <n v="0"/>
    <n v="0"/>
    <n v="0"/>
    <n v="0"/>
    <s v="MMR001CMP175"/>
    <x v="0"/>
    <x v="1"/>
    <s v=""/>
    <s v=""/>
    <s v="No"/>
  </r>
  <r>
    <n v="52.533333333333331"/>
    <d v="2013-01-06T00:00:00"/>
    <x v="1"/>
    <s v="Solidarities"/>
    <s v="Kachin"/>
    <s v="Mansi"/>
    <s v="Mansi Baptist Church"/>
    <n v="351"/>
    <m/>
    <m/>
    <m/>
    <m/>
    <m/>
    <m/>
    <m/>
    <n v="0"/>
    <n v="0"/>
    <m/>
    <m/>
    <m/>
    <m/>
    <m/>
    <m/>
    <m/>
    <n v="0"/>
    <n v="0"/>
    <n v="0"/>
    <n v="0"/>
    <n v="0"/>
    <n v="0"/>
    <n v="0"/>
    <n v="0"/>
    <n v="0"/>
    <n v="0"/>
    <n v="0"/>
    <n v="0"/>
    <n v="0"/>
    <n v="0"/>
    <n v="0"/>
    <n v="0"/>
    <n v="0"/>
    <n v="0"/>
    <s v="MMR001CMP066"/>
    <x v="0"/>
    <x v="0"/>
    <s v="P4"/>
    <n v="0"/>
    <s v="No"/>
  </r>
  <r>
    <n v="52.466666666666669"/>
    <d v="2013-01-08T00:00:00"/>
    <x v="1"/>
    <s v="Solidarities"/>
    <s v="Kachin"/>
    <s v="Momauk"/>
    <s v="Loi Je Catholic Church"/>
    <n v="353"/>
    <m/>
    <m/>
    <m/>
    <m/>
    <m/>
    <m/>
    <m/>
    <n v="0"/>
    <n v="0"/>
    <m/>
    <m/>
    <m/>
    <m/>
    <m/>
    <m/>
    <m/>
    <n v="0"/>
    <n v="0"/>
    <n v="0"/>
    <n v="0"/>
    <n v="0"/>
    <n v="0"/>
    <n v="0"/>
    <n v="0"/>
    <n v="0"/>
    <n v="0"/>
    <n v="0"/>
    <n v="0"/>
    <n v="0"/>
    <n v="0"/>
    <n v="0"/>
    <n v="0"/>
    <n v="0"/>
    <n v="0"/>
    <s v="MMR001CMP069"/>
    <x v="0"/>
    <x v="0"/>
    <s v="P3"/>
    <n v="0"/>
    <s v="No"/>
  </r>
  <r>
    <n v="52.466666666666669"/>
    <d v="2013-01-08T00:00:00"/>
    <x v="1"/>
    <s v="Solidarities"/>
    <s v="Kachin"/>
    <s v="Bhamo"/>
    <s v="Yoe Kyi Monastery"/>
    <n v="132"/>
    <m/>
    <m/>
    <m/>
    <m/>
    <m/>
    <m/>
    <m/>
    <n v="0"/>
    <n v="0"/>
    <m/>
    <m/>
    <m/>
    <m/>
    <m/>
    <m/>
    <m/>
    <n v="0"/>
    <n v="0"/>
    <n v="0"/>
    <n v="0"/>
    <n v="0"/>
    <n v="0"/>
    <n v="0"/>
    <n v="0"/>
    <n v="0"/>
    <n v="0"/>
    <n v="0"/>
    <n v="0"/>
    <n v="0"/>
    <n v="0"/>
    <n v="0"/>
    <n v="0"/>
    <n v="0"/>
    <n v="0"/>
    <s v="MMR001CMP053"/>
    <x v="0"/>
    <x v="0"/>
    <s v="P4"/>
    <n v="0"/>
    <s v="No"/>
  </r>
  <r>
    <n v="52.43333333333333"/>
    <d v="2013-01-09T00:00:00"/>
    <x v="1"/>
    <s v="Solidarities"/>
    <s v="Kachin"/>
    <s v="Bhamo"/>
    <s v="Lisu Boarding-House"/>
    <n v="205"/>
    <m/>
    <m/>
    <m/>
    <m/>
    <m/>
    <m/>
    <m/>
    <n v="0"/>
    <n v="0"/>
    <m/>
    <m/>
    <m/>
    <m/>
    <m/>
    <m/>
    <m/>
    <n v="0"/>
    <n v="0"/>
    <n v="0"/>
    <n v="0"/>
    <n v="0"/>
    <n v="0"/>
    <n v="0"/>
    <n v="0"/>
    <n v="0"/>
    <n v="0"/>
    <n v="0"/>
    <n v="0"/>
    <n v="0"/>
    <n v="0"/>
    <n v="0"/>
    <n v="0"/>
    <n v="0"/>
    <n v="0"/>
    <s v="MMR001CMP049"/>
    <x v="0"/>
    <x v="0"/>
    <s v="P4"/>
    <n v="0"/>
    <s v="No"/>
  </r>
  <r>
    <n v="52.4"/>
    <d v="2013-01-10T00:00:00"/>
    <x v="1"/>
    <s v="Solidarities"/>
    <s v="Kachin"/>
    <s v="Bhamo"/>
    <s v="Htoi San Church"/>
    <n v="212"/>
    <m/>
    <m/>
    <m/>
    <m/>
    <m/>
    <m/>
    <m/>
    <n v="0"/>
    <n v="0"/>
    <m/>
    <m/>
    <m/>
    <m/>
    <m/>
    <m/>
    <m/>
    <n v="0"/>
    <n v="0"/>
    <n v="0"/>
    <n v="0"/>
    <n v="0"/>
    <n v="0"/>
    <n v="0"/>
    <n v="0"/>
    <n v="0"/>
    <n v="0"/>
    <n v="0"/>
    <n v="0"/>
    <n v="0"/>
    <n v="0"/>
    <n v="0"/>
    <n v="0"/>
    <n v="0"/>
    <n v="0"/>
    <s v="MMR001CMP052"/>
    <x v="0"/>
    <x v="0"/>
    <s v="P4"/>
    <n v="0"/>
    <s v="No"/>
  </r>
  <r>
    <n v="52.266666666666666"/>
    <d v="2013-01-14T00:00:00"/>
    <x v="1"/>
    <s v="Solidarities"/>
    <s v="Kachin"/>
    <s v="Bhamo"/>
    <s v="AD-2000 Tharthana Compound"/>
    <n v="940"/>
    <m/>
    <m/>
    <m/>
    <m/>
    <m/>
    <m/>
    <m/>
    <n v="0"/>
    <n v="0"/>
    <m/>
    <m/>
    <m/>
    <m/>
    <m/>
    <m/>
    <m/>
    <n v="0"/>
    <n v="0"/>
    <n v="0"/>
    <n v="0"/>
    <n v="0"/>
    <n v="0"/>
    <n v="0"/>
    <n v="0"/>
    <n v="0"/>
    <n v="0"/>
    <n v="0"/>
    <n v="0"/>
    <n v="0"/>
    <n v="0"/>
    <n v="0"/>
    <n v="0"/>
    <n v="0"/>
    <n v="0"/>
    <s v="MMR001CMP050"/>
    <x v="0"/>
    <x v="0"/>
    <s v="P4"/>
    <n v="0"/>
    <s v="No"/>
  </r>
  <r>
    <n v="52.2"/>
    <d v="2013-01-16T00:00:00"/>
    <x v="1"/>
    <s v="Solidarities"/>
    <s v="Kachin"/>
    <s v="Momauk"/>
    <s v="Momauk Baptist Church"/>
    <n v="1215"/>
    <m/>
    <m/>
    <m/>
    <m/>
    <m/>
    <m/>
    <m/>
    <n v="0"/>
    <n v="0"/>
    <m/>
    <m/>
    <m/>
    <m/>
    <m/>
    <m/>
    <m/>
    <n v="0"/>
    <n v="0"/>
    <n v="0"/>
    <n v="0"/>
    <n v="0"/>
    <n v="0"/>
    <n v="0"/>
    <n v="0"/>
    <n v="0"/>
    <n v="0"/>
    <n v="0"/>
    <n v="0"/>
    <n v="0"/>
    <n v="0"/>
    <n v="0"/>
    <n v="0"/>
    <n v="0"/>
    <n v="0"/>
    <s v="MMR001CMP056"/>
    <x v="0"/>
    <x v="0"/>
    <s v="P4"/>
    <n v="0"/>
    <s v="No"/>
  </r>
  <r>
    <n v="52.033333333333331"/>
    <d v="2013-01-21T00:00:00"/>
    <x v="1"/>
    <s v="Solidarities"/>
    <s v="Kachin"/>
    <s v="Bhamo"/>
    <s v="Nant Hlaing Church"/>
    <n v="85"/>
    <m/>
    <m/>
    <m/>
    <m/>
    <m/>
    <m/>
    <m/>
    <n v="0"/>
    <n v="0"/>
    <m/>
    <m/>
    <m/>
    <m/>
    <m/>
    <m/>
    <m/>
    <n v="0"/>
    <n v="0"/>
    <n v="0"/>
    <n v="0"/>
    <n v="0"/>
    <n v="0"/>
    <n v="0"/>
    <n v="0"/>
    <n v="0"/>
    <n v="0"/>
    <n v="0"/>
    <n v="0"/>
    <n v="0"/>
    <n v="0"/>
    <n v="0"/>
    <n v="0"/>
    <n v="0"/>
    <n v="0"/>
    <s v="MMR001CMP054"/>
    <x v="0"/>
    <x v="0"/>
    <s v="P4"/>
    <n v="0"/>
    <s v="No"/>
  </r>
  <r>
    <n v="52"/>
    <d v="2013-01-22T00:00:00"/>
    <x v="1"/>
    <s v="Solidarities"/>
    <s v="Kachin"/>
    <s v="Bhamo"/>
    <s v="Robert Church"/>
    <n v="1824"/>
    <m/>
    <m/>
    <m/>
    <m/>
    <m/>
    <m/>
    <m/>
    <n v="0"/>
    <n v="0"/>
    <m/>
    <m/>
    <m/>
    <m/>
    <m/>
    <m/>
    <m/>
    <n v="0"/>
    <n v="0"/>
    <n v="0"/>
    <n v="0"/>
    <n v="0"/>
    <n v="0"/>
    <n v="0"/>
    <n v="0"/>
    <n v="0"/>
    <n v="0"/>
    <n v="0"/>
    <n v="0"/>
    <n v="0"/>
    <n v="0"/>
    <n v="0"/>
    <n v="0"/>
    <n v="0"/>
    <n v="0"/>
    <s v="MMR001CMP047"/>
    <x v="0"/>
    <x v="0"/>
    <s v="P4"/>
    <n v="0"/>
    <s v="No"/>
  </r>
  <r>
    <n v="51.93333333333333"/>
    <d v="2013-01-24T00:00:00"/>
    <x v="1"/>
    <s v="Solidarities"/>
    <s v="Kachin"/>
    <s v="Momauk"/>
    <s v="Man Bung Catholic compound"/>
    <n v="200"/>
    <m/>
    <m/>
    <m/>
    <m/>
    <m/>
    <m/>
    <m/>
    <n v="0"/>
    <n v="0"/>
    <m/>
    <m/>
    <m/>
    <m/>
    <m/>
    <m/>
    <m/>
    <n v="0"/>
    <n v="0"/>
    <n v="0"/>
    <n v="0"/>
    <n v="0"/>
    <n v="0"/>
    <n v="0"/>
    <n v="0"/>
    <n v="0"/>
    <n v="0"/>
    <n v="0"/>
    <n v="0"/>
    <n v="0"/>
    <n v="0"/>
    <n v="0"/>
    <n v="0"/>
    <n v="0"/>
    <n v="0"/>
    <s v="MMR001CMP062"/>
    <x v="0"/>
    <x v="0"/>
    <s v="P4"/>
    <n v="0"/>
    <s v="No"/>
  </r>
  <r>
    <n v="51.93333333333333"/>
    <d v="2013-01-24T00:00:00"/>
    <x v="1"/>
    <s v="Solidarities"/>
    <s v="Kachin"/>
    <s v="Momauk"/>
    <s v="Momauk Catholic Church (St. Patrick)"/>
    <n v="793"/>
    <m/>
    <m/>
    <m/>
    <m/>
    <m/>
    <m/>
    <m/>
    <n v="0"/>
    <n v="0"/>
    <m/>
    <m/>
    <m/>
    <m/>
    <m/>
    <m/>
    <m/>
    <n v="0"/>
    <n v="0"/>
    <n v="0"/>
    <n v="0"/>
    <n v="0"/>
    <n v="0"/>
    <n v="0"/>
    <n v="0"/>
    <n v="0"/>
    <n v="0"/>
    <n v="0"/>
    <n v="0"/>
    <n v="0"/>
    <n v="0"/>
    <n v="0"/>
    <n v="0"/>
    <n v="0"/>
    <n v="0"/>
    <s v="MMR001CMP057"/>
    <x v="0"/>
    <x v="1"/>
    <s v="P4"/>
    <n v="0"/>
    <s v="No"/>
  </r>
  <r>
    <n v="51.9"/>
    <d v="2013-01-25T00:00:00"/>
    <x v="1"/>
    <s v="Solidarities"/>
    <s v="Kachin"/>
    <s v="Momauk"/>
    <s v="Ni Thaw Ka Monestry"/>
    <n v="75"/>
    <m/>
    <m/>
    <m/>
    <m/>
    <m/>
    <m/>
    <m/>
    <n v="0"/>
    <n v="0"/>
    <m/>
    <m/>
    <m/>
    <m/>
    <m/>
    <m/>
    <m/>
    <n v="0"/>
    <n v="0"/>
    <n v="0"/>
    <n v="0"/>
    <n v="0"/>
    <n v="0"/>
    <n v="0"/>
    <n v="0"/>
    <n v="0"/>
    <n v="0"/>
    <n v="0"/>
    <n v="0"/>
    <n v="0"/>
    <n v="0"/>
    <n v="0"/>
    <n v="0"/>
    <n v="0"/>
    <n v="0"/>
    <s v="MMR001CMP059"/>
    <x v="0"/>
    <x v="1"/>
    <s v="P4"/>
    <n v="0"/>
    <s v="No"/>
  </r>
  <r>
    <n v="51.766666666666666"/>
    <d v="2013-01-29T00:00:00"/>
    <x v="1"/>
    <s v="LDO"/>
    <s v="Kachin"/>
    <s v="Shwegu"/>
    <s v="Shwe Gu Catholic Church"/>
    <n v="177"/>
    <m/>
    <m/>
    <m/>
    <m/>
    <m/>
    <m/>
    <m/>
    <n v="0"/>
    <n v="0"/>
    <m/>
    <m/>
    <m/>
    <m/>
    <m/>
    <m/>
    <m/>
    <n v="0"/>
    <n v="0"/>
    <n v="0"/>
    <n v="0"/>
    <n v="0"/>
    <n v="0"/>
    <n v="0"/>
    <n v="0"/>
    <n v="0"/>
    <n v="0"/>
    <n v="0"/>
    <n v="0"/>
    <n v="0"/>
    <n v="0"/>
    <n v="0"/>
    <n v="0"/>
    <n v="0"/>
    <n v="0"/>
    <s v="MMR001CMP068"/>
    <x v="0"/>
    <x v="0"/>
    <s v="P4"/>
    <n v="0"/>
    <s v="No"/>
  </r>
  <r>
    <n v="51.733333333333334"/>
    <d v="2013-01-30T00:00:00"/>
    <x v="1"/>
    <s v="LDO"/>
    <s v="Kachin"/>
    <s v="Shwegu"/>
    <s v="Shwe Gu Baptist Church"/>
    <n v="272"/>
    <m/>
    <m/>
    <m/>
    <m/>
    <m/>
    <m/>
    <m/>
    <n v="0"/>
    <n v="0"/>
    <m/>
    <m/>
    <m/>
    <m/>
    <m/>
    <m/>
    <m/>
    <n v="0"/>
    <n v="0"/>
    <n v="0"/>
    <n v="0"/>
    <n v="0"/>
    <n v="0"/>
    <n v="0"/>
    <n v="0"/>
    <n v="0"/>
    <n v="0"/>
    <n v="0"/>
    <n v="0"/>
    <n v="0"/>
    <n v="0"/>
    <n v="0"/>
    <n v="0"/>
    <n v="0"/>
    <n v="0"/>
    <s v="MMR001CMP067"/>
    <x v="0"/>
    <x v="0"/>
    <s v="P4"/>
    <n v="0"/>
    <s v="No"/>
  </r>
  <r>
    <n v="51.7"/>
    <d v="2013-01-31T00:00:00"/>
    <x v="3"/>
    <s v="World Vision"/>
    <s v="Kachin"/>
    <s v="Waingmaw"/>
    <s v="Hkat Cho "/>
    <m/>
    <m/>
    <m/>
    <m/>
    <m/>
    <n v="256"/>
    <m/>
    <m/>
    <n v="0"/>
    <n v="0"/>
    <m/>
    <m/>
    <m/>
    <m/>
    <m/>
    <m/>
    <m/>
    <n v="0"/>
    <n v="0"/>
    <n v="0"/>
    <n v="0"/>
    <n v="0"/>
    <n v="0"/>
    <n v="0"/>
    <n v="0"/>
    <n v="0"/>
    <n v="0"/>
    <n v="0"/>
    <n v="0"/>
    <n v="0"/>
    <n v="0"/>
    <n v="0"/>
    <n v="0"/>
    <n v="0"/>
    <n v="0"/>
    <s v="MMR001CMP028"/>
    <x v="0"/>
    <x v="0"/>
    <s v="P4"/>
    <n v="0"/>
    <s v="No"/>
  </r>
  <r>
    <n v="51.7"/>
    <d v="2013-01-31T00:00:00"/>
    <x v="3"/>
    <s v="World Vision"/>
    <s v="Kachin"/>
    <s v="Waingmaw"/>
    <s v="Mading Baptist Church"/>
    <m/>
    <m/>
    <m/>
    <m/>
    <m/>
    <n v="42"/>
    <m/>
    <m/>
    <n v="0"/>
    <n v="0"/>
    <m/>
    <m/>
    <m/>
    <m/>
    <m/>
    <m/>
    <m/>
    <n v="0"/>
    <n v="0"/>
    <n v="0"/>
    <n v="0"/>
    <n v="0"/>
    <n v="0"/>
    <n v="0"/>
    <n v="0"/>
    <n v="0"/>
    <n v="0"/>
    <n v="0"/>
    <n v="0"/>
    <n v="0"/>
    <n v="0"/>
    <n v="0"/>
    <n v="0"/>
    <n v="0"/>
    <n v="0"/>
    <s v="MMR001CMP027"/>
    <x v="0"/>
    <x v="0"/>
    <s v="P4"/>
    <n v="0"/>
    <s v="No"/>
  </r>
  <r>
    <n v="51.7"/>
    <d v="2013-01-31T00:00:00"/>
    <x v="3"/>
    <s v="World Vision"/>
    <s v="Kachin"/>
    <s v="Waingmaw"/>
    <s v="Maina AG Church"/>
    <m/>
    <m/>
    <m/>
    <m/>
    <m/>
    <n v="128"/>
    <m/>
    <m/>
    <n v="0"/>
    <n v="0"/>
    <m/>
    <m/>
    <m/>
    <m/>
    <m/>
    <m/>
    <m/>
    <n v="0"/>
    <n v="0"/>
    <n v="0"/>
    <n v="0"/>
    <n v="0"/>
    <n v="0"/>
    <n v="0"/>
    <n v="0"/>
    <n v="0"/>
    <n v="0"/>
    <n v="0"/>
    <n v="0"/>
    <n v="0"/>
    <n v="0"/>
    <n v="0"/>
    <n v="0"/>
    <n v="0"/>
    <n v="0"/>
    <s v="MMR001CMP031"/>
    <x v="0"/>
    <x v="0"/>
    <s v="P4"/>
    <n v="0"/>
    <s v="No"/>
  </r>
  <r>
    <n v="51.7"/>
    <d v="2013-01-31T00:00:00"/>
    <x v="3"/>
    <s v="World Vision"/>
    <s v="Kachin"/>
    <s v="Waingmaw"/>
    <s v="Maina Catholic Church (St. Joseph)"/>
    <m/>
    <m/>
    <m/>
    <m/>
    <m/>
    <n v="442"/>
    <m/>
    <m/>
    <n v="0"/>
    <n v="0"/>
    <m/>
    <m/>
    <m/>
    <m/>
    <m/>
    <m/>
    <m/>
    <n v="0"/>
    <n v="0"/>
    <n v="0"/>
    <n v="0"/>
    <n v="0"/>
    <n v="0"/>
    <n v="0"/>
    <n v="0"/>
    <n v="0"/>
    <n v="0"/>
    <n v="0"/>
    <n v="0"/>
    <n v="0"/>
    <n v="0"/>
    <n v="0"/>
    <n v="0"/>
    <n v="0"/>
    <n v="0"/>
    <s v="MMR001CMP029"/>
    <x v="0"/>
    <x v="0"/>
    <s v="P4"/>
    <n v="0"/>
    <s v="No"/>
  </r>
  <r>
    <n v="51.7"/>
    <d v="2013-01-31T00:00:00"/>
    <x v="3"/>
    <s v="World Vision"/>
    <s v="Kachin"/>
    <s v="Waingmaw"/>
    <s v="Maina KBC (Bawng Ring)"/>
    <m/>
    <m/>
    <m/>
    <m/>
    <m/>
    <n v="324"/>
    <m/>
    <m/>
    <n v="0"/>
    <n v="0"/>
    <m/>
    <m/>
    <m/>
    <m/>
    <m/>
    <m/>
    <m/>
    <n v="0"/>
    <n v="0"/>
    <n v="0"/>
    <n v="0"/>
    <n v="0"/>
    <n v="0"/>
    <n v="0"/>
    <n v="0"/>
    <n v="0"/>
    <n v="0"/>
    <n v="0"/>
    <n v="0"/>
    <n v="0"/>
    <n v="0"/>
    <n v="0"/>
    <n v="0"/>
    <n v="0"/>
    <n v="0"/>
    <s v="MMR001CMP040"/>
    <x v="0"/>
    <x v="0"/>
    <s v="P4"/>
    <n v="0"/>
    <s v="No"/>
  </r>
  <r>
    <n v="51.7"/>
    <d v="2013-01-31T00:00:00"/>
    <x v="3"/>
    <s v="World Vision"/>
    <s v="Kachin"/>
    <s v="Waingmaw"/>
    <s v="Maina Lawang Baptist Church"/>
    <m/>
    <m/>
    <m/>
    <m/>
    <m/>
    <n v="94"/>
    <m/>
    <m/>
    <n v="0"/>
    <n v="0"/>
    <m/>
    <m/>
    <m/>
    <m/>
    <m/>
    <m/>
    <m/>
    <n v="0"/>
    <n v="0"/>
    <n v="0"/>
    <n v="0"/>
    <n v="0"/>
    <n v="0"/>
    <n v="0"/>
    <n v="0"/>
    <n v="0"/>
    <n v="0"/>
    <n v="0"/>
    <n v="0"/>
    <n v="0"/>
    <n v="0"/>
    <n v="0"/>
    <n v="0"/>
    <n v="0"/>
    <n v="0"/>
    <s v="MMR001CMP039"/>
    <x v="0"/>
    <x v="0"/>
    <s v="P4"/>
    <n v="0"/>
    <s v="No"/>
  </r>
  <r>
    <n v="51.7"/>
    <d v="2013-01-31T00:00:00"/>
    <x v="3"/>
    <s v="World Vision"/>
    <s v="Kachin"/>
    <s v="Waingmaw"/>
    <s v="Qtr. 2 Lhaovo Baptist Church"/>
    <m/>
    <m/>
    <m/>
    <m/>
    <m/>
    <n v="184"/>
    <m/>
    <m/>
    <n v="0"/>
    <n v="0"/>
    <m/>
    <m/>
    <m/>
    <m/>
    <m/>
    <m/>
    <m/>
    <n v="0"/>
    <n v="0"/>
    <n v="0"/>
    <n v="0"/>
    <n v="0"/>
    <n v="0"/>
    <n v="0"/>
    <n v="0"/>
    <n v="0"/>
    <n v="0"/>
    <n v="0"/>
    <n v="0"/>
    <n v="0"/>
    <n v="0"/>
    <n v="0"/>
    <n v="0"/>
    <n v="0"/>
    <n v="0"/>
    <s v="MMR001CMP032"/>
    <x v="0"/>
    <x v="0"/>
    <s v="P4"/>
    <n v="0"/>
    <s v="No"/>
  </r>
  <r>
    <n v="51.7"/>
    <d v="2013-01-31T00:00:00"/>
    <x v="3"/>
    <s v="World Vision"/>
    <s v="Kachin"/>
    <s v="Waingmaw"/>
    <s v="Qtr. 2 Myoma Baptist Church"/>
    <m/>
    <m/>
    <m/>
    <m/>
    <m/>
    <n v="242"/>
    <m/>
    <m/>
    <n v="0"/>
    <n v="0"/>
    <m/>
    <m/>
    <m/>
    <m/>
    <m/>
    <m/>
    <m/>
    <n v="0"/>
    <n v="0"/>
    <n v="0"/>
    <n v="0"/>
    <n v="0"/>
    <n v="0"/>
    <n v="0"/>
    <n v="0"/>
    <n v="0"/>
    <n v="0"/>
    <n v="0"/>
    <n v="0"/>
    <n v="0"/>
    <n v="0"/>
    <n v="0"/>
    <n v="0"/>
    <n v="0"/>
    <n v="0"/>
    <s v="MMR001CMP025"/>
    <x v="0"/>
    <x v="0"/>
    <s v="P4"/>
    <n v="0"/>
    <s v="No"/>
  </r>
  <r>
    <n v="51.7"/>
    <d v="2013-01-31T00:00:00"/>
    <x v="3"/>
    <s v="World Vision"/>
    <s v="Kachin"/>
    <s v="Waingmaw"/>
    <s v="Qtr. 3 Mu-yin  Baptist Church"/>
    <m/>
    <m/>
    <m/>
    <m/>
    <m/>
    <n v="54"/>
    <m/>
    <m/>
    <n v="0"/>
    <n v="0"/>
    <m/>
    <m/>
    <m/>
    <m/>
    <m/>
    <m/>
    <m/>
    <n v="0"/>
    <n v="0"/>
    <n v="0"/>
    <n v="0"/>
    <n v="0"/>
    <n v="0"/>
    <n v="0"/>
    <n v="0"/>
    <n v="0"/>
    <n v="0"/>
    <n v="0"/>
    <n v="0"/>
    <n v="0"/>
    <n v="0"/>
    <n v="0"/>
    <n v="0"/>
    <n v="0"/>
    <n v="0"/>
    <s v="MMR001CMP030"/>
    <x v="0"/>
    <x v="0"/>
    <s v="P4"/>
    <n v="0"/>
    <s v="No"/>
  </r>
  <r>
    <n v="51.7"/>
    <d v="2013-01-31T00:00:00"/>
    <x v="3"/>
    <s v="World Vision"/>
    <s v="Kachin"/>
    <s v="Waingmaw"/>
    <s v="Qtr. 4 Monestry (Thargaya Thayett Taw)"/>
    <m/>
    <m/>
    <m/>
    <m/>
    <m/>
    <n v="188"/>
    <m/>
    <m/>
    <n v="0"/>
    <n v="0"/>
    <m/>
    <m/>
    <m/>
    <m/>
    <m/>
    <m/>
    <m/>
    <n v="0"/>
    <n v="0"/>
    <n v="0"/>
    <n v="0"/>
    <n v="0"/>
    <n v="0"/>
    <n v="0"/>
    <n v="0"/>
    <n v="0"/>
    <n v="0"/>
    <n v="0"/>
    <n v="0"/>
    <n v="0"/>
    <n v="0"/>
    <n v="0"/>
    <n v="0"/>
    <n v="0"/>
    <n v="0"/>
    <s v="MMR001CMP026"/>
    <x v="0"/>
    <x v="0"/>
    <s v="P4"/>
    <n v="0"/>
    <s v="No"/>
  </r>
  <r>
    <n v="51.7"/>
    <d v="2013-01-31T00:00:00"/>
    <x v="3"/>
    <s v="World Vision"/>
    <s v="Kachin"/>
    <s v="Waingmaw"/>
    <s v="Shing Jai"/>
    <m/>
    <m/>
    <m/>
    <m/>
    <m/>
    <n v="358"/>
    <m/>
    <m/>
    <n v="0"/>
    <n v="0"/>
    <m/>
    <m/>
    <m/>
    <m/>
    <m/>
    <m/>
    <m/>
    <n v="0"/>
    <n v="0"/>
    <n v="0"/>
    <n v="0"/>
    <n v="0"/>
    <n v="0"/>
    <n v="0"/>
    <n v="0"/>
    <n v="0"/>
    <n v="0"/>
    <n v="0"/>
    <n v="0"/>
    <n v="0"/>
    <n v="0"/>
    <n v="0"/>
    <n v="0"/>
    <n v="0"/>
    <n v="0"/>
    <s v="MMR001CMP041"/>
    <x v="0"/>
    <x v="0"/>
    <s v="P1"/>
    <n v="0"/>
    <s v="No"/>
  </r>
  <r>
    <n v="51.7"/>
    <d v="2013-01-31T00:00:00"/>
    <x v="3"/>
    <s v="World Vision"/>
    <s v="Kachin"/>
    <s v="Waingmaw"/>
    <s v="Thargaya Lisu Baptist Church"/>
    <m/>
    <m/>
    <m/>
    <m/>
    <m/>
    <n v="122"/>
    <m/>
    <m/>
    <n v="0"/>
    <n v="0"/>
    <m/>
    <m/>
    <m/>
    <m/>
    <m/>
    <m/>
    <m/>
    <n v="0"/>
    <n v="0"/>
    <n v="0"/>
    <n v="0"/>
    <n v="0"/>
    <n v="0"/>
    <n v="0"/>
    <n v="0"/>
    <n v="0"/>
    <n v="0"/>
    <n v="0"/>
    <n v="0"/>
    <n v="0"/>
    <n v="0"/>
    <n v="0"/>
    <n v="0"/>
    <n v="0"/>
    <n v="0"/>
    <s v="MMR001CMP037"/>
    <x v="0"/>
    <x v="0"/>
    <s v="P4"/>
    <n v="0"/>
    <s v="No"/>
  </r>
  <r>
    <n v="51.7"/>
    <d v="2013-01-31T00:00:00"/>
    <x v="3"/>
    <s v="World Vision"/>
    <s v="Kachin"/>
    <s v="Waingmaw"/>
    <s v="Waingmaw AG Church"/>
    <m/>
    <m/>
    <m/>
    <m/>
    <m/>
    <n v="104"/>
    <m/>
    <m/>
    <n v="0"/>
    <n v="0"/>
    <m/>
    <m/>
    <m/>
    <m/>
    <m/>
    <m/>
    <m/>
    <n v="0"/>
    <n v="0"/>
    <n v="0"/>
    <n v="0"/>
    <n v="0"/>
    <n v="0"/>
    <n v="0"/>
    <n v="0"/>
    <n v="0"/>
    <n v="0"/>
    <n v="0"/>
    <n v="0"/>
    <n v="0"/>
    <n v="0"/>
    <n v="0"/>
    <n v="0"/>
    <n v="0"/>
    <n v="0"/>
    <s v="MMR001CMP038"/>
    <x v="0"/>
    <x v="0"/>
    <s v="P4"/>
    <n v="0"/>
    <s v="No"/>
  </r>
  <r>
    <n v="51.7"/>
    <d v="2013-01-31T00:00:00"/>
    <x v="3"/>
    <s v="World Vision"/>
    <s v="Kachin"/>
    <s v="Hpakant"/>
    <s v="Baptist Church, Naung Hmee VT"/>
    <m/>
    <m/>
    <m/>
    <m/>
    <m/>
    <n v="26"/>
    <m/>
    <m/>
    <n v="0"/>
    <n v="0"/>
    <m/>
    <m/>
    <m/>
    <m/>
    <m/>
    <m/>
    <m/>
    <n v="0"/>
    <n v="0"/>
    <n v="0"/>
    <n v="0"/>
    <n v="0"/>
    <n v="0"/>
    <n v="0"/>
    <n v="0"/>
    <n v="0"/>
    <n v="0"/>
    <n v="0"/>
    <n v="0"/>
    <n v="0"/>
    <n v="0"/>
    <n v="0"/>
    <n v="0"/>
    <n v="0"/>
    <n v="0"/>
    <s v="MMR001CMP188"/>
    <x v="0"/>
    <x v="1"/>
    <s v="P4"/>
    <s v=""/>
    <s v="No"/>
  </r>
  <r>
    <n v="51.7"/>
    <d v="2013-01-31T00:00:00"/>
    <x v="3"/>
    <s v="World Vision"/>
    <s v="Kachin"/>
    <s v="Waingmaw"/>
    <s v="Waingmaw Baptist Zonal Office"/>
    <m/>
    <m/>
    <m/>
    <m/>
    <m/>
    <n v="224"/>
    <m/>
    <m/>
    <n v="0"/>
    <n v="0"/>
    <m/>
    <m/>
    <m/>
    <m/>
    <m/>
    <m/>
    <m/>
    <n v="0"/>
    <n v="0"/>
    <n v="0"/>
    <n v="0"/>
    <n v="0"/>
    <n v="0"/>
    <n v="0"/>
    <n v="0"/>
    <n v="0"/>
    <n v="0"/>
    <n v="0"/>
    <n v="0"/>
    <n v="0"/>
    <n v="0"/>
    <n v="0"/>
    <n v="0"/>
    <n v="0"/>
    <n v="0"/>
    <s v="MMR001CMP036"/>
    <x v="0"/>
    <x v="1"/>
    <s v="P4"/>
    <n v="0"/>
    <s v="No"/>
  </r>
  <r>
    <n v="51.56666666666667"/>
    <d v="2013-02-04T00:00:00"/>
    <x v="4"/>
    <s v="MRCS"/>
    <s v="Kachin"/>
    <s v="Hpakant"/>
    <s v="5 Ward Baptist Church(lon Khin)"/>
    <m/>
    <m/>
    <m/>
    <m/>
    <m/>
    <m/>
    <n v="162"/>
    <m/>
    <n v="0"/>
    <n v="0"/>
    <m/>
    <m/>
    <m/>
    <m/>
    <m/>
    <m/>
    <m/>
    <n v="0"/>
    <n v="0"/>
    <n v="0"/>
    <n v="0"/>
    <n v="0"/>
    <n v="0"/>
    <n v="0"/>
    <n v="0"/>
    <n v="0"/>
    <n v="0"/>
    <n v="0"/>
    <n v="0"/>
    <n v="0"/>
    <n v="0"/>
    <n v="0"/>
    <n v="0"/>
    <n v="0"/>
    <n v="0"/>
    <s v="MMR001CMP179"/>
    <x v="0"/>
    <x v="1"/>
    <s v="P4"/>
    <n v="3.9248940036341615E-3"/>
    <s v="No"/>
  </r>
  <r>
    <n v="51.56666666666667"/>
    <d v="2013-02-04T00:00:00"/>
    <x v="4"/>
    <s v="MRCS"/>
    <s v="Kachin"/>
    <s v="Hpakant"/>
    <s v="5 Ward RC Church(lon Khin)"/>
    <m/>
    <m/>
    <m/>
    <m/>
    <m/>
    <m/>
    <n v="117"/>
    <m/>
    <n v="0"/>
    <n v="0"/>
    <m/>
    <m/>
    <m/>
    <m/>
    <m/>
    <m/>
    <m/>
    <n v="0"/>
    <n v="0"/>
    <n v="0"/>
    <n v="0"/>
    <n v="0"/>
    <n v="0"/>
    <n v="0"/>
    <n v="0"/>
    <n v="0"/>
    <n v="0"/>
    <n v="0"/>
    <n v="0"/>
    <n v="0"/>
    <n v="0"/>
    <n v="0"/>
    <n v="0"/>
    <n v="0"/>
    <n v="0"/>
    <s v="MMR001CMP168"/>
    <x v="0"/>
    <x v="0"/>
    <s v="P4"/>
    <n v="2.8346456692913387E-3"/>
    <s v="No"/>
  </r>
  <r>
    <n v="51.56666666666667"/>
    <d v="2013-02-04T00:00:00"/>
    <x v="4"/>
    <s v="MRCS"/>
    <s v="Kachin"/>
    <s v="Hpakant"/>
    <s v="Baptist Church, Hmaw Si Sar(Lon Khin)"/>
    <m/>
    <m/>
    <m/>
    <m/>
    <m/>
    <m/>
    <n v="106"/>
    <m/>
    <n v="0"/>
    <n v="0"/>
    <m/>
    <m/>
    <m/>
    <m/>
    <m/>
    <m/>
    <m/>
    <n v="0"/>
    <n v="0"/>
    <n v="0"/>
    <n v="0"/>
    <n v="0"/>
    <n v="0"/>
    <n v="0"/>
    <n v="0"/>
    <n v="0"/>
    <n v="0"/>
    <n v="0"/>
    <n v="0"/>
    <n v="0"/>
    <n v="0"/>
    <n v="0"/>
    <n v="0"/>
    <n v="0"/>
    <n v="0"/>
    <s v="MMR001CMP169"/>
    <x v="0"/>
    <x v="0"/>
    <s v="P4"/>
    <n v="2.5681405208964263E-3"/>
    <s v="No"/>
  </r>
  <r>
    <n v="51.56666666666667"/>
    <d v="2013-02-04T00:00:00"/>
    <x v="4"/>
    <s v="MRCS"/>
    <s v="Kachin"/>
    <s v="Hpakant"/>
    <s v="Dhama Rakhita, Nyein Chan Tar Yar Ward(Lon Khin)"/>
    <m/>
    <m/>
    <m/>
    <m/>
    <m/>
    <m/>
    <n v="58"/>
    <m/>
    <n v="0"/>
    <n v="0"/>
    <m/>
    <m/>
    <m/>
    <m/>
    <m/>
    <m/>
    <m/>
    <n v="0"/>
    <n v="0"/>
    <n v="0"/>
    <n v="0"/>
    <n v="0"/>
    <n v="0"/>
    <n v="0"/>
    <n v="0"/>
    <n v="0"/>
    <n v="0"/>
    <n v="0"/>
    <n v="0"/>
    <n v="0"/>
    <n v="0"/>
    <n v="0"/>
    <n v="0"/>
    <n v="0"/>
    <n v="0"/>
    <s v="MMR001CMP174"/>
    <x v="0"/>
    <x v="0"/>
    <s v="P4"/>
    <n v="1.4052089642640824E-3"/>
    <s v="No"/>
  </r>
  <r>
    <n v="51.56666666666667"/>
    <d v="2013-02-04T00:00:00"/>
    <x v="0"/>
    <s v="UNHCR"/>
    <s v="Kachin"/>
    <s v="Myitkyina"/>
    <s v="Pa Dauk Myaing(Pa La Na)"/>
    <m/>
    <m/>
    <n v="5"/>
    <n v="8"/>
    <n v="5"/>
    <n v="8"/>
    <n v="5"/>
    <n v="5"/>
    <n v="5"/>
    <n v="5"/>
    <m/>
    <m/>
    <m/>
    <m/>
    <m/>
    <m/>
    <m/>
    <n v="0"/>
    <n v="0"/>
    <n v="0"/>
    <n v="0"/>
    <n v="0"/>
    <n v="0"/>
    <n v="0"/>
    <n v="0"/>
    <n v="0"/>
    <n v="0"/>
    <n v="0"/>
    <n v="0"/>
    <n v="0"/>
    <n v="0"/>
    <n v="0"/>
    <n v="0"/>
    <n v="0"/>
    <n v="0"/>
    <s v="MMR001CMP162"/>
    <x v="0"/>
    <x v="0"/>
    <s v="P4"/>
    <n v="1.2122975463097663E-4"/>
    <s v="No"/>
  </r>
  <r>
    <n v="51.533333333333331"/>
    <d v="2013-02-05T00:00:00"/>
    <x v="4"/>
    <s v="MRCS"/>
    <s v="Kachin"/>
    <s v="Myitkyina"/>
    <s v="Jan Mai Kawng Baptist Church"/>
    <n v="22"/>
    <m/>
    <m/>
    <m/>
    <m/>
    <m/>
    <m/>
    <m/>
    <n v="0"/>
    <n v="0"/>
    <m/>
    <m/>
    <m/>
    <m/>
    <m/>
    <m/>
    <m/>
    <n v="0"/>
    <n v="0"/>
    <n v="0"/>
    <n v="0"/>
    <n v="0"/>
    <n v="0"/>
    <n v="0"/>
    <n v="0"/>
    <n v="0"/>
    <n v="0"/>
    <n v="0"/>
    <n v="0"/>
    <n v="0"/>
    <n v="0"/>
    <n v="0"/>
    <n v="0"/>
    <n v="0"/>
    <n v="0"/>
    <s v="MMR001CMP018"/>
    <x v="0"/>
    <x v="0"/>
    <s v="P4"/>
    <n v="0"/>
    <s v="No"/>
  </r>
  <r>
    <n v="51.533333333333331"/>
    <d v="2013-02-05T00:00:00"/>
    <x v="0"/>
    <s v="UNHCR"/>
    <s v="Kachin"/>
    <s v="Waingmaw"/>
    <s v="Maina AG Church"/>
    <m/>
    <m/>
    <n v="37"/>
    <n v="70"/>
    <n v="34"/>
    <n v="70"/>
    <n v="34"/>
    <n v="34"/>
    <n v="34"/>
    <n v="34"/>
    <m/>
    <m/>
    <m/>
    <m/>
    <m/>
    <m/>
    <m/>
    <n v="0"/>
    <n v="0"/>
    <n v="0"/>
    <n v="0"/>
    <n v="0"/>
    <n v="0"/>
    <n v="0"/>
    <n v="0"/>
    <n v="0"/>
    <n v="0"/>
    <n v="0"/>
    <n v="0"/>
    <n v="0"/>
    <n v="0"/>
    <n v="0"/>
    <n v="0"/>
    <n v="0"/>
    <n v="0"/>
    <s v="MMR001CMP031"/>
    <x v="0"/>
    <x v="0"/>
    <s v="P4"/>
    <n v="8.2014666152064838E-4"/>
    <s v="No"/>
  </r>
  <r>
    <n v="51.533333333333331"/>
    <d v="2013-02-05T00:00:00"/>
    <x v="4"/>
    <s v="MRCS"/>
    <s v="Kachin"/>
    <s v="Waingmaw"/>
    <s v="Maina Catholic Church (St. Joseph)"/>
    <n v="46"/>
    <m/>
    <m/>
    <m/>
    <m/>
    <m/>
    <m/>
    <m/>
    <n v="0"/>
    <n v="0"/>
    <m/>
    <m/>
    <m/>
    <m/>
    <m/>
    <m/>
    <m/>
    <n v="0"/>
    <n v="0"/>
    <n v="0"/>
    <n v="0"/>
    <n v="0"/>
    <n v="0"/>
    <n v="0"/>
    <n v="0"/>
    <n v="0"/>
    <n v="0"/>
    <n v="0"/>
    <n v="0"/>
    <n v="0"/>
    <n v="0"/>
    <n v="0"/>
    <n v="0"/>
    <n v="0"/>
    <n v="0"/>
    <s v="MMR001CMP029"/>
    <x v="0"/>
    <x v="0"/>
    <s v="P4"/>
    <n v="0"/>
    <s v="No"/>
  </r>
  <r>
    <n v="51.533333333333331"/>
    <d v="2013-02-05T00:00:00"/>
    <x v="0"/>
    <s v="UNHCR"/>
    <s v="Kachin"/>
    <s v="Myitkyina"/>
    <s v="Maw Hpawng Lhaovo Baptist Church"/>
    <m/>
    <m/>
    <n v="10"/>
    <n v="16"/>
    <n v="7"/>
    <n v="16"/>
    <n v="7"/>
    <n v="7"/>
    <n v="7"/>
    <n v="7"/>
    <m/>
    <m/>
    <m/>
    <m/>
    <m/>
    <m/>
    <m/>
    <n v="0"/>
    <n v="0"/>
    <n v="0"/>
    <n v="0"/>
    <n v="0"/>
    <n v="0"/>
    <n v="0"/>
    <n v="0"/>
    <n v="0"/>
    <n v="0"/>
    <n v="0"/>
    <n v="0"/>
    <n v="0"/>
    <n v="0"/>
    <n v="0"/>
    <n v="0"/>
    <n v="0"/>
    <n v="0"/>
    <s v="MMR001CMP021"/>
    <x v="0"/>
    <x v="0"/>
    <s v="P4"/>
    <n v="1.7149717029669011E-4"/>
    <s v="No"/>
  </r>
  <r>
    <n v="51.533333333333331"/>
    <d v="2013-02-05T00:00:00"/>
    <x v="4"/>
    <s v="MRCS"/>
    <s v="Kachin"/>
    <s v="Waingmaw"/>
    <s v="Qtr. 4 Monestry (Thargaya Thayett Taw)"/>
    <n v="20"/>
    <m/>
    <m/>
    <m/>
    <m/>
    <m/>
    <m/>
    <m/>
    <n v="0"/>
    <n v="0"/>
    <m/>
    <m/>
    <m/>
    <m/>
    <m/>
    <m/>
    <m/>
    <n v="0"/>
    <n v="0"/>
    <n v="0"/>
    <n v="0"/>
    <n v="0"/>
    <n v="0"/>
    <n v="0"/>
    <n v="0"/>
    <n v="0"/>
    <n v="0"/>
    <n v="0"/>
    <n v="0"/>
    <n v="0"/>
    <n v="0"/>
    <n v="0"/>
    <n v="0"/>
    <n v="0"/>
    <n v="0"/>
    <s v="MMR001CMP026"/>
    <x v="0"/>
    <x v="0"/>
    <s v="P4"/>
    <n v="0"/>
    <s v="No"/>
  </r>
  <r>
    <n v="51.533333333333331"/>
    <d v="2013-02-05T00:00:00"/>
    <x v="4"/>
    <s v="MRCS"/>
    <s v="Kachin"/>
    <s v="Myitkyina"/>
    <s v="Shatapru Sut Ngai Tawng"/>
    <n v="36"/>
    <m/>
    <m/>
    <m/>
    <m/>
    <m/>
    <m/>
    <m/>
    <n v="0"/>
    <n v="0"/>
    <m/>
    <m/>
    <m/>
    <m/>
    <m/>
    <m/>
    <m/>
    <n v="0"/>
    <n v="0"/>
    <n v="0"/>
    <n v="0"/>
    <n v="0"/>
    <n v="0"/>
    <n v="0"/>
    <n v="0"/>
    <n v="0"/>
    <n v="0"/>
    <n v="0"/>
    <n v="0"/>
    <n v="0"/>
    <n v="0"/>
    <n v="0"/>
    <n v="0"/>
    <n v="0"/>
    <n v="0"/>
    <s v="MMR001CMP006"/>
    <x v="0"/>
    <x v="0"/>
    <s v="P4"/>
    <n v="0"/>
    <s v="No"/>
  </r>
  <r>
    <n v="51.5"/>
    <d v="2013-02-06T00:00:00"/>
    <x v="0"/>
    <s v="UNHCR"/>
    <s v="Kachin"/>
    <s v="Waingmaw"/>
    <s v="Qtr. 2 Lhaovo Baptist Church"/>
    <m/>
    <m/>
    <n v="17"/>
    <n v="20"/>
    <n v="15"/>
    <n v="20"/>
    <n v="14"/>
    <n v="11"/>
    <n v="11"/>
    <n v="11"/>
    <m/>
    <m/>
    <m/>
    <m/>
    <m/>
    <m/>
    <m/>
    <n v="0"/>
    <n v="0"/>
    <n v="0"/>
    <n v="0"/>
    <n v="0"/>
    <n v="0"/>
    <n v="0"/>
    <n v="0"/>
    <n v="0"/>
    <n v="0"/>
    <n v="0"/>
    <n v="0"/>
    <n v="0"/>
    <n v="0"/>
    <n v="0"/>
    <n v="0"/>
    <n v="0"/>
    <n v="0"/>
    <s v="MMR001CMP032"/>
    <x v="0"/>
    <x v="0"/>
    <s v="P4"/>
    <n v="3.4376918354818908E-4"/>
    <s v="No"/>
  </r>
  <r>
    <n v="51.4"/>
    <d v="2013-02-09T00:00:00"/>
    <x v="4"/>
    <s v="MRCS"/>
    <s v="Kachin"/>
    <s v="Myitkyina"/>
    <s v="Jan Mai Kawng Baptist Church"/>
    <m/>
    <m/>
    <m/>
    <m/>
    <n v="177"/>
    <n v="10"/>
    <n v="10"/>
    <m/>
    <n v="0"/>
    <n v="0"/>
    <m/>
    <m/>
    <m/>
    <m/>
    <m/>
    <m/>
    <m/>
    <n v="0"/>
    <n v="0"/>
    <n v="0"/>
    <n v="0"/>
    <n v="0"/>
    <n v="0"/>
    <n v="0"/>
    <n v="0"/>
    <n v="0"/>
    <n v="0"/>
    <n v="0"/>
    <n v="0"/>
    <n v="0"/>
    <n v="0"/>
    <n v="0"/>
    <n v="0"/>
    <n v="0"/>
    <n v="0"/>
    <s v="MMR001CMP018"/>
    <x v="0"/>
    <x v="0"/>
    <s v="P4"/>
    <n v="2.4554941682013506E-4"/>
    <s v="No"/>
  </r>
  <r>
    <n v="51.4"/>
    <d v="2013-02-09T00:00:00"/>
    <x v="4"/>
    <s v="MRCS"/>
    <s v="Kachin"/>
    <s v="Myitkyina"/>
    <s v="Shatapru Sut Ngai Tawng"/>
    <m/>
    <m/>
    <m/>
    <m/>
    <n v="109"/>
    <n v="10"/>
    <n v="10"/>
    <m/>
    <n v="0"/>
    <n v="0"/>
    <m/>
    <m/>
    <m/>
    <m/>
    <m/>
    <m/>
    <m/>
    <n v="0"/>
    <n v="0"/>
    <n v="0"/>
    <n v="0"/>
    <n v="0"/>
    <n v="0"/>
    <n v="0"/>
    <n v="0"/>
    <n v="0"/>
    <n v="0"/>
    <n v="0"/>
    <n v="0"/>
    <n v="0"/>
    <n v="0"/>
    <n v="0"/>
    <n v="0"/>
    <n v="0"/>
    <n v="0"/>
    <s v="MMR001CMP006"/>
    <x v="0"/>
    <x v="0"/>
    <s v="P4"/>
    <n v="2.4536264599077438E-4"/>
    <s v="No"/>
  </r>
  <r>
    <n v="51.366666666666667"/>
    <d v="2013-02-10T00:00:00"/>
    <x v="4"/>
    <s v="MRCS"/>
    <s v="Kachin"/>
    <s v="Mohnyin"/>
    <s v="St. Patrick Catholic Church "/>
    <m/>
    <m/>
    <m/>
    <m/>
    <n v="20"/>
    <m/>
    <n v="12"/>
    <m/>
    <n v="0"/>
    <n v="0"/>
    <m/>
    <m/>
    <m/>
    <m/>
    <m/>
    <m/>
    <m/>
    <n v="0"/>
    <n v="0"/>
    <n v="0"/>
    <n v="0"/>
    <n v="0"/>
    <n v="0"/>
    <n v="0"/>
    <n v="0"/>
    <n v="0"/>
    <n v="0"/>
    <n v="0"/>
    <n v="0"/>
    <n v="0"/>
    <n v="0"/>
    <n v="0"/>
    <n v="0"/>
    <n v="0"/>
    <n v="0"/>
    <s v="MMR001CMP080"/>
    <x v="0"/>
    <x v="0"/>
    <s v="P4"/>
    <n v="2.9224811865273618E-4"/>
    <s v="No"/>
  </r>
  <r>
    <n v="51.366666666666667"/>
    <d v="2013-02-10T00:00:00"/>
    <x v="4"/>
    <s v="MRCS"/>
    <s v="Kachin"/>
    <s v="Mohnyin"/>
    <s v="Nant Mun"/>
    <m/>
    <m/>
    <m/>
    <m/>
    <n v="36"/>
    <m/>
    <n v="22"/>
    <m/>
    <n v="0"/>
    <n v="0"/>
    <m/>
    <m/>
    <m/>
    <m/>
    <m/>
    <m/>
    <m/>
    <n v="0"/>
    <n v="0"/>
    <n v="0"/>
    <n v="0"/>
    <n v="0"/>
    <n v="0"/>
    <n v="0"/>
    <n v="0"/>
    <n v="0"/>
    <n v="0"/>
    <n v="0"/>
    <n v="0"/>
    <n v="0"/>
    <n v="0"/>
    <n v="0"/>
    <n v="0"/>
    <n v="0"/>
    <n v="0"/>
    <s v="MMR001CMP081"/>
    <x v="0"/>
    <x v="1"/>
    <s v="P4"/>
    <n v="5.3699138372916109E-4"/>
    <s v="No"/>
  </r>
  <r>
    <n v="51.1"/>
    <d v="2013-02-18T00:00:00"/>
    <x v="0"/>
    <s v="UNHCR"/>
    <s v="Kachin"/>
    <s v="Hpakant"/>
    <s v="Hlaing Naung Baptist"/>
    <m/>
    <m/>
    <n v="30"/>
    <n v="0"/>
    <n v="0"/>
    <n v="0"/>
    <n v="0"/>
    <n v="0"/>
    <m/>
    <m/>
    <m/>
    <m/>
    <m/>
    <m/>
    <m/>
    <m/>
    <m/>
    <n v="0"/>
    <n v="0"/>
    <n v="0"/>
    <n v="0"/>
    <n v="0"/>
    <n v="0"/>
    <n v="0"/>
    <n v="0"/>
    <n v="0"/>
    <n v="0"/>
    <n v="0"/>
    <n v="0"/>
    <n v="0"/>
    <n v="0"/>
    <n v="0"/>
    <n v="0"/>
    <n v="0"/>
    <n v="0"/>
    <s v="MMR001CMP148"/>
    <x v="0"/>
    <x v="0"/>
    <s v="P4"/>
    <n v="0"/>
    <s v="No"/>
  </r>
  <r>
    <n v="51.1"/>
    <d v="2013-02-18T00:00:00"/>
    <x v="0"/>
    <s v="KBC"/>
    <s v="Shan_North"/>
    <s v="Kutkai"/>
    <s v="Kutkai downtown (KBC Church)"/>
    <m/>
    <m/>
    <n v="120"/>
    <n v="120"/>
    <n v="60"/>
    <n v="120"/>
    <n v="60"/>
    <n v="60"/>
    <n v="60"/>
    <n v="60"/>
    <m/>
    <m/>
    <m/>
    <m/>
    <m/>
    <m/>
    <m/>
    <n v="0"/>
    <n v="0"/>
    <n v="0"/>
    <n v="0"/>
    <n v="0"/>
    <n v="0"/>
    <n v="0"/>
    <n v="0"/>
    <n v="0"/>
    <n v="0"/>
    <n v="0"/>
    <n v="0"/>
    <n v="0"/>
    <n v="0"/>
    <n v="0"/>
    <n v="0"/>
    <n v="0"/>
    <n v="0"/>
    <s v="MMR015CMP016"/>
    <x v="0"/>
    <x v="0"/>
    <s v="P3"/>
    <n v="1.4547570555717194E-3"/>
    <s v="No"/>
  </r>
  <r>
    <n v="51.1"/>
    <d v="2013-02-18T00:00:00"/>
    <x v="0"/>
    <s v="KBC"/>
    <s v="Kachin"/>
    <s v="Mansi"/>
    <s v="Man Wing Baptist Church"/>
    <m/>
    <m/>
    <n v="221"/>
    <n v="221"/>
    <n v="110"/>
    <n v="221"/>
    <n v="110"/>
    <n v="110"/>
    <n v="110"/>
    <n v="110"/>
    <m/>
    <m/>
    <m/>
    <m/>
    <m/>
    <m/>
    <m/>
    <n v="0"/>
    <n v="0"/>
    <n v="0"/>
    <n v="0"/>
    <n v="0"/>
    <n v="0"/>
    <n v="0"/>
    <n v="0"/>
    <n v="0"/>
    <n v="0"/>
    <n v="0"/>
    <n v="0"/>
    <n v="0"/>
    <n v="0"/>
    <n v="0"/>
    <n v="0"/>
    <n v="0"/>
    <n v="0"/>
    <s v="MMR001CMP133"/>
    <x v="0"/>
    <x v="0"/>
    <s v="P4"/>
    <n v="2.6868588177821201E-3"/>
    <s v="No"/>
  </r>
  <r>
    <n v="51.1"/>
    <d v="2013-02-18T00:00:00"/>
    <x v="0"/>
    <s v="KBC"/>
    <s v="Shan_North"/>
    <s v="Manton"/>
    <s v="Mandung - Jinghpaw"/>
    <m/>
    <m/>
    <n v="57"/>
    <n v="57"/>
    <n v="29"/>
    <n v="57"/>
    <n v="29"/>
    <n v="29"/>
    <n v="29"/>
    <n v="29"/>
    <m/>
    <m/>
    <m/>
    <m/>
    <m/>
    <m/>
    <m/>
    <n v="0"/>
    <n v="0"/>
    <n v="0"/>
    <n v="0"/>
    <n v="0"/>
    <n v="0"/>
    <n v="0"/>
    <n v="0"/>
    <n v="0"/>
    <n v="0"/>
    <n v="0"/>
    <n v="0"/>
    <n v="0"/>
    <n v="0"/>
    <n v="0"/>
    <n v="0"/>
    <n v="0"/>
    <n v="0"/>
    <s v="MMR015CMP009"/>
    <x v="0"/>
    <x v="0"/>
    <s v="P2"/>
    <n v="7.0731707317073169E-4"/>
    <s v="No"/>
  </r>
  <r>
    <n v="51.1"/>
    <d v="2013-02-18T00:00:00"/>
    <x v="0"/>
    <s v="KBC"/>
    <s v="Shan_North"/>
    <s v="Kutkai"/>
    <s v="Mungji Pa Dabang (Baptist Church)         "/>
    <m/>
    <m/>
    <n v="93"/>
    <n v="93"/>
    <n v="46"/>
    <n v="93"/>
    <n v="46"/>
    <n v="46"/>
    <n v="46"/>
    <n v="46"/>
    <m/>
    <m/>
    <m/>
    <m/>
    <m/>
    <m/>
    <m/>
    <n v="0"/>
    <n v="0"/>
    <n v="0"/>
    <n v="0"/>
    <n v="0"/>
    <n v="0"/>
    <n v="0"/>
    <n v="0"/>
    <n v="0"/>
    <n v="0"/>
    <n v="0"/>
    <n v="0"/>
    <n v="0"/>
    <n v="0"/>
    <n v="0"/>
    <n v="0"/>
    <n v="0"/>
    <n v="0"/>
    <s v="MMR015CMP006"/>
    <x v="0"/>
    <x v="0"/>
    <s v="P1"/>
    <n v="1.1278103317233432E-3"/>
    <s v="No"/>
  </r>
  <r>
    <n v="51.1"/>
    <d v="2013-02-18T00:00:00"/>
    <x v="0"/>
    <s v="KBC"/>
    <s v="Shan_North"/>
    <s v="Namhkan"/>
    <s v="Nam Hkam - Nay Win Ni (Palawng)"/>
    <m/>
    <m/>
    <n v="118"/>
    <n v="118"/>
    <n v="59"/>
    <n v="118"/>
    <n v="59"/>
    <n v="59"/>
    <n v="59"/>
    <n v="59"/>
    <m/>
    <m/>
    <m/>
    <m/>
    <m/>
    <m/>
    <m/>
    <n v="0"/>
    <n v="0"/>
    <n v="0"/>
    <n v="0"/>
    <n v="0"/>
    <n v="0"/>
    <n v="0"/>
    <n v="0"/>
    <n v="0"/>
    <n v="0"/>
    <n v="0"/>
    <n v="0"/>
    <n v="0"/>
    <n v="0"/>
    <n v="0"/>
    <n v="0"/>
    <n v="0"/>
    <n v="0"/>
    <s v="MMR015CMP004"/>
    <x v="0"/>
    <x v="0"/>
    <s v="P3"/>
    <n v="1.4179624600447018E-3"/>
    <s v="No"/>
  </r>
  <r>
    <n v="51.1"/>
    <d v="2013-02-18T00:00:00"/>
    <x v="0"/>
    <s v="KBC"/>
    <s v="Shan_North"/>
    <s v="Namhkan"/>
    <s v="Nam Hkam (KBC Jaw Wang)"/>
    <m/>
    <m/>
    <n v="139"/>
    <n v="139"/>
    <n v="70"/>
    <n v="139"/>
    <n v="70"/>
    <n v="70"/>
    <n v="70"/>
    <n v="70"/>
    <m/>
    <m/>
    <m/>
    <m/>
    <m/>
    <m/>
    <m/>
    <n v="0"/>
    <n v="0"/>
    <n v="0"/>
    <n v="0"/>
    <n v="0"/>
    <n v="0"/>
    <n v="0"/>
    <n v="0"/>
    <n v="0"/>
    <n v="0"/>
    <n v="0"/>
    <n v="0"/>
    <n v="0"/>
    <n v="0"/>
    <n v="0"/>
    <n v="0"/>
    <n v="0"/>
    <n v="0"/>
    <s v="MMR015CMP001"/>
    <x v="0"/>
    <x v="0"/>
    <s v="P3"/>
    <n v="1.7124125446450413E-3"/>
    <s v="No"/>
  </r>
  <r>
    <n v="51.1"/>
    <d v="2013-02-18T00:00:00"/>
    <x v="0"/>
    <s v="KBC"/>
    <s v="Shan_North"/>
    <s v="Kutkai"/>
    <s v="Nam Hpak Ka Mare "/>
    <m/>
    <m/>
    <n v="86"/>
    <n v="86"/>
    <n v="43"/>
    <n v="86"/>
    <n v="43"/>
    <n v="43"/>
    <n v="43"/>
    <n v="43"/>
    <m/>
    <m/>
    <m/>
    <m/>
    <m/>
    <m/>
    <m/>
    <n v="0"/>
    <n v="0"/>
    <n v="0"/>
    <n v="0"/>
    <n v="0"/>
    <n v="0"/>
    <n v="0"/>
    <n v="0"/>
    <n v="0"/>
    <n v="0"/>
    <n v="0"/>
    <n v="0"/>
    <n v="0"/>
    <n v="0"/>
    <n v="0"/>
    <n v="0"/>
    <n v="0"/>
    <n v="0"/>
    <s v="MMR015CMP007"/>
    <x v="0"/>
    <x v="0"/>
    <s v="P3"/>
    <n v="1.0519105631390969E-3"/>
    <s v="No"/>
  </r>
  <r>
    <n v="51.1"/>
    <d v="2013-02-18T00:00:00"/>
    <x v="0"/>
    <s v="KBC"/>
    <s v="Shan_North"/>
    <s v="Namtu"/>
    <s v="Nam Tu RC"/>
    <m/>
    <m/>
    <n v="90"/>
    <n v="90"/>
    <n v="45"/>
    <n v="90"/>
    <n v="45"/>
    <n v="45"/>
    <n v="45"/>
    <n v="45"/>
    <m/>
    <m/>
    <m/>
    <m/>
    <m/>
    <m/>
    <m/>
    <n v="0"/>
    <n v="0"/>
    <n v="0"/>
    <n v="0"/>
    <n v="0"/>
    <n v="0"/>
    <n v="0"/>
    <n v="0"/>
    <n v="0"/>
    <n v="0"/>
    <n v="0"/>
    <n v="0"/>
    <n v="0"/>
    <n v="0"/>
    <n v="0"/>
    <n v="0"/>
    <n v="0"/>
    <n v="0"/>
    <s v="MMR015CMP210"/>
    <x v="0"/>
    <x v="0"/>
    <s v="P3"/>
    <s v=""/>
    <s v="No"/>
  </r>
  <r>
    <n v="51.1"/>
    <d v="2013-02-18T00:00:00"/>
    <x v="0"/>
    <s v="KBC"/>
    <s v="Shan_North"/>
    <s v="Muse"/>
    <s v="Munekoe Pa (Giwang) - Hka San (Mung  Go  Pa ) "/>
    <m/>
    <m/>
    <n v="60"/>
    <n v="60"/>
    <n v="30"/>
    <n v="60"/>
    <n v="30"/>
    <n v="30"/>
    <n v="30"/>
    <n v="30"/>
    <m/>
    <m/>
    <m/>
    <m/>
    <m/>
    <m/>
    <m/>
    <n v="0"/>
    <n v="0"/>
    <n v="0"/>
    <n v="0"/>
    <n v="0"/>
    <n v="0"/>
    <n v="0"/>
    <n v="0"/>
    <n v="0"/>
    <n v="0"/>
    <n v="0"/>
    <n v="0"/>
    <n v="0"/>
    <n v="0"/>
    <n v="0"/>
    <n v="0"/>
    <n v="0"/>
    <n v="0"/>
    <s v="MMR015CMP012"/>
    <x v="0"/>
    <x v="1"/>
    <s v="P1"/>
    <n v="7.3008688033876035E-4"/>
    <s v="No"/>
  </r>
  <r>
    <n v="51.1"/>
    <d v="2013-02-18T00:00:00"/>
    <x v="0"/>
    <s v="KBC"/>
    <s v="Shan_North"/>
    <s v="Namhkan"/>
    <s v="Nam Hkawng"/>
    <m/>
    <m/>
    <n v="16"/>
    <n v="16"/>
    <n v="8"/>
    <n v="16"/>
    <n v="8"/>
    <n v="8"/>
    <n v="8"/>
    <n v="8"/>
    <m/>
    <m/>
    <m/>
    <m/>
    <m/>
    <m/>
    <m/>
    <n v="0"/>
    <n v="0"/>
    <n v="0"/>
    <n v="0"/>
    <n v="0"/>
    <n v="0"/>
    <n v="0"/>
    <n v="0"/>
    <n v="0"/>
    <n v="0"/>
    <n v="0"/>
    <n v="0"/>
    <n v="0"/>
    <n v="0"/>
    <n v="0"/>
    <n v="0"/>
    <n v="0"/>
    <n v="0"/>
    <s v="MMR015CMP139"/>
    <x v="0"/>
    <x v="0"/>
    <s v="P2"/>
    <n v="1.961409272562336E-4"/>
    <s v="No"/>
  </r>
  <r>
    <n v="51.06666666666667"/>
    <d v="2013-02-19T00:00:00"/>
    <x v="0"/>
    <s v="UNHCR"/>
    <s v="Kachin"/>
    <s v="Hpakant"/>
    <s v="5 Ward Baptist Church(lon Khin)"/>
    <m/>
    <m/>
    <n v="18"/>
    <n v="30"/>
    <n v="17"/>
    <n v="64"/>
    <n v="17"/>
    <n v="17"/>
    <n v="17"/>
    <n v="17"/>
    <m/>
    <m/>
    <m/>
    <m/>
    <m/>
    <m/>
    <m/>
    <n v="0"/>
    <n v="0"/>
    <n v="0"/>
    <n v="0"/>
    <n v="0"/>
    <n v="0"/>
    <n v="0"/>
    <n v="0"/>
    <n v="0"/>
    <n v="0"/>
    <n v="0"/>
    <n v="0"/>
    <n v="0"/>
    <n v="0"/>
    <n v="0"/>
    <n v="0"/>
    <n v="0"/>
    <n v="0"/>
    <s v="MMR001CMP179"/>
    <x v="0"/>
    <x v="1"/>
    <s v="P4"/>
    <n v="4.1187159297395516E-4"/>
    <s v="No"/>
  </r>
  <r>
    <n v="51.06666666666667"/>
    <d v="2013-02-19T00:00:00"/>
    <x v="0"/>
    <s v="UNHCR"/>
    <s v="Kachin"/>
    <s v="Hpakant"/>
    <s v="Dhama Rakhita, Nyein Chan Tar Yar Ward(Lon Khin)"/>
    <m/>
    <m/>
    <n v="74"/>
    <n v="105"/>
    <n v="59"/>
    <n v="105"/>
    <n v="59"/>
    <n v="59"/>
    <n v="59"/>
    <n v="59"/>
    <m/>
    <m/>
    <m/>
    <m/>
    <m/>
    <m/>
    <m/>
    <n v="0"/>
    <n v="0"/>
    <n v="0"/>
    <n v="0"/>
    <n v="0"/>
    <n v="0"/>
    <n v="0"/>
    <n v="0"/>
    <n v="0"/>
    <n v="0"/>
    <n v="0"/>
    <n v="0"/>
    <n v="0"/>
    <n v="0"/>
    <n v="0"/>
    <n v="0"/>
    <n v="0"/>
    <n v="0"/>
    <s v="MMR001CMP174"/>
    <x v="0"/>
    <x v="0"/>
    <s v="P4"/>
    <n v="1.4294367050272563E-3"/>
    <s v="No"/>
  </r>
  <r>
    <n v="51.06666666666667"/>
    <d v="2013-02-19T00:00:00"/>
    <x v="0"/>
    <s v="UNHCR"/>
    <s v="Kachin"/>
    <s v="Hpakant"/>
    <s v="Nam Ma Phyit, COC"/>
    <m/>
    <m/>
    <n v="19"/>
    <n v="30"/>
    <n v="18"/>
    <n v="68"/>
    <n v="18"/>
    <n v="18"/>
    <n v="18"/>
    <n v="18"/>
    <m/>
    <m/>
    <m/>
    <m/>
    <m/>
    <m/>
    <m/>
    <n v="0"/>
    <n v="0"/>
    <n v="0"/>
    <n v="0"/>
    <n v="0"/>
    <n v="0"/>
    <n v="0"/>
    <n v="0"/>
    <n v="0"/>
    <n v="0"/>
    <n v="0"/>
    <n v="0"/>
    <n v="0"/>
    <n v="0"/>
    <n v="0"/>
    <n v="0"/>
    <n v="0"/>
    <n v="0"/>
    <s v="MMR001CMP192"/>
    <x v="0"/>
    <x v="0"/>
    <s v="P4"/>
    <n v="4.3609933373712904E-4"/>
    <s v="No"/>
  </r>
  <r>
    <n v="51.06666666666667"/>
    <d v="2013-02-19T00:00:00"/>
    <x v="0"/>
    <s v="UNHCR"/>
    <s v="Kachin"/>
    <s v="Hpakant"/>
    <s v="1 Ward, Sein Yadanar Company(Lon Khin)"/>
    <m/>
    <m/>
    <n v="3"/>
    <n v="7"/>
    <n v="4"/>
    <n v="7"/>
    <n v="4"/>
    <n v="4"/>
    <n v="4"/>
    <n v="4"/>
    <m/>
    <m/>
    <m/>
    <m/>
    <m/>
    <m/>
    <m/>
    <n v="0"/>
    <n v="0"/>
    <n v="0"/>
    <n v="0"/>
    <n v="0"/>
    <n v="0"/>
    <n v="0"/>
    <n v="0"/>
    <n v="0"/>
    <n v="0"/>
    <n v="0"/>
    <n v="0"/>
    <n v="0"/>
    <n v="0"/>
    <n v="0"/>
    <n v="0"/>
    <n v="0"/>
    <n v="0"/>
    <s v="MMR001CMP171"/>
    <x v="0"/>
    <x v="1"/>
    <s v=""/>
    <s v=""/>
    <s v="No"/>
  </r>
  <r>
    <n v="51.06666666666667"/>
    <d v="2013-02-19T00:00:00"/>
    <x v="0"/>
    <s v="UNHCR"/>
    <s v="Kachin"/>
    <s v="Hpakant"/>
    <s v="Anglican Church, Hmaw Si Sar"/>
    <m/>
    <m/>
    <n v="1"/>
    <n v="6"/>
    <n v="3"/>
    <n v="15"/>
    <n v="4"/>
    <n v="4"/>
    <n v="4"/>
    <n v="4"/>
    <m/>
    <m/>
    <m/>
    <m/>
    <m/>
    <m/>
    <m/>
    <n v="0"/>
    <n v="0"/>
    <n v="0"/>
    <n v="0"/>
    <n v="0"/>
    <n v="0"/>
    <n v="0"/>
    <n v="0"/>
    <n v="0"/>
    <n v="0"/>
    <n v="0"/>
    <n v="0"/>
    <n v="0"/>
    <n v="0"/>
    <n v="0"/>
    <n v="0"/>
    <n v="0"/>
    <n v="0"/>
    <s v="MMR001CMP173"/>
    <x v="0"/>
    <x v="1"/>
    <s v=""/>
    <s v=""/>
    <s v="No"/>
  </r>
  <r>
    <n v="51.06666666666667"/>
    <d v="2013-02-19T00:00:00"/>
    <x v="0"/>
    <s v="UNHCR"/>
    <s v="Kachin"/>
    <s v="Hpakant"/>
    <s v="Anglican Church, Hmaw Si Sar"/>
    <m/>
    <m/>
    <n v="92"/>
    <n v="130"/>
    <n v="67"/>
    <n v="130"/>
    <n v="67"/>
    <n v="67"/>
    <n v="67"/>
    <n v="67"/>
    <m/>
    <m/>
    <m/>
    <m/>
    <m/>
    <m/>
    <m/>
    <n v="0"/>
    <n v="0"/>
    <n v="0"/>
    <n v="0"/>
    <n v="0"/>
    <n v="0"/>
    <n v="0"/>
    <n v="0"/>
    <n v="0"/>
    <n v="0"/>
    <n v="0"/>
    <n v="0"/>
    <n v="0"/>
    <n v="0"/>
    <n v="0"/>
    <n v="0"/>
    <n v="0"/>
    <n v="0"/>
    <s v="MMR001CMP173"/>
    <x v="0"/>
    <x v="1"/>
    <s v=""/>
    <s v=""/>
    <s v="No"/>
  </r>
  <r>
    <n v="51.06666666666667"/>
    <d v="2013-02-19T00:00:00"/>
    <x v="0"/>
    <s v="UNHCR"/>
    <s v="Kachin"/>
    <s v="Hpakant"/>
    <s v="Away Yar Rama Monastery, Ka Day village"/>
    <m/>
    <m/>
    <n v="8"/>
    <n v="16"/>
    <n v="8"/>
    <n v="16"/>
    <n v="8"/>
    <n v="8"/>
    <n v="8"/>
    <n v="8"/>
    <m/>
    <m/>
    <m/>
    <m/>
    <m/>
    <m/>
    <m/>
    <n v="0"/>
    <n v="0"/>
    <n v="0"/>
    <n v="0"/>
    <n v="0"/>
    <n v="0"/>
    <n v="0"/>
    <n v="0"/>
    <n v="0"/>
    <n v="0"/>
    <n v="0"/>
    <n v="0"/>
    <n v="0"/>
    <n v="0"/>
    <n v="0"/>
    <n v="0"/>
    <n v="0"/>
    <n v="0"/>
    <s v="MMR001CMP170"/>
    <x v="0"/>
    <x v="1"/>
    <s v=""/>
    <s v=""/>
    <s v="No"/>
  </r>
  <r>
    <n v="51.06666666666667"/>
    <d v="2013-02-19T00:00:00"/>
    <x v="0"/>
    <s v="UNHCR"/>
    <s v="Kachin"/>
    <s v="Hpakant"/>
    <s v="May Di Ka Rama Monastery(Lon Khin)"/>
    <m/>
    <m/>
    <n v="9"/>
    <n v="21"/>
    <n v="9"/>
    <n v="21"/>
    <n v="9"/>
    <n v="9"/>
    <n v="9"/>
    <n v="9"/>
    <m/>
    <m/>
    <m/>
    <m/>
    <m/>
    <m/>
    <m/>
    <n v="0"/>
    <n v="0"/>
    <n v="0"/>
    <n v="0"/>
    <n v="0"/>
    <n v="0"/>
    <n v="0"/>
    <n v="0"/>
    <n v="0"/>
    <n v="0"/>
    <n v="0"/>
    <n v="0"/>
    <n v="0"/>
    <n v="0"/>
    <n v="0"/>
    <n v="0"/>
    <n v="0"/>
    <n v="0"/>
    <s v="MMR001CMP178"/>
    <x v="0"/>
    <x v="1"/>
    <s v=""/>
    <s v=""/>
    <s v="No"/>
  </r>
  <r>
    <n v="51.06666666666667"/>
    <d v="2013-02-19T00:00:00"/>
    <x v="0"/>
    <s v="UNHCR"/>
    <s v="Kachin"/>
    <s v="Hpakant"/>
    <s v="Wrad(5) Christian Association"/>
    <m/>
    <m/>
    <n v="2"/>
    <n v="3"/>
    <n v="2"/>
    <n v="7"/>
    <n v="2"/>
    <n v="2"/>
    <n v="2"/>
    <n v="2"/>
    <m/>
    <m/>
    <m/>
    <m/>
    <m/>
    <m/>
    <m/>
    <n v="0"/>
    <n v="0"/>
    <n v="0"/>
    <n v="0"/>
    <n v="0"/>
    <n v="0"/>
    <n v="0"/>
    <n v="0"/>
    <n v="0"/>
    <n v="0"/>
    <n v="0"/>
    <n v="0"/>
    <n v="0"/>
    <n v="0"/>
    <n v="0"/>
    <n v="0"/>
    <n v="0"/>
    <n v="0"/>
    <s v="MMR001CMP175"/>
    <x v="0"/>
    <x v="1"/>
    <s v=""/>
    <s v=""/>
    <s v="No"/>
  </r>
  <r>
    <n v="51.033333333333331"/>
    <d v="2013-02-20T00:00:00"/>
    <x v="0"/>
    <s v="UNHCR"/>
    <s v="Kachin"/>
    <s v="Hpakant"/>
    <s v="AG Church, Maw Wan"/>
    <m/>
    <m/>
    <m/>
    <n v="59"/>
    <n v="28"/>
    <n v="0"/>
    <n v="28"/>
    <n v="28"/>
    <n v="28"/>
    <n v="28"/>
    <m/>
    <m/>
    <m/>
    <m/>
    <m/>
    <m/>
    <m/>
    <n v="0"/>
    <n v="0"/>
    <n v="0"/>
    <n v="0"/>
    <n v="0"/>
    <n v="0"/>
    <n v="0"/>
    <n v="0"/>
    <n v="0"/>
    <n v="0"/>
    <n v="0"/>
    <n v="0"/>
    <n v="0"/>
    <n v="0"/>
    <n v="0"/>
    <n v="0"/>
    <n v="0"/>
    <n v="0"/>
    <s v="MMR001CMP190"/>
    <x v="0"/>
    <x v="0"/>
    <s v="P4"/>
    <n v="6.783767413688674E-4"/>
    <s v="No"/>
  </r>
  <r>
    <n v="51.033333333333331"/>
    <d v="2013-02-20T00:00:00"/>
    <x v="0"/>
    <s v="UNHCR"/>
    <s v="Kachin"/>
    <s v="Hpakant"/>
    <s v="Lisu Baptist Church, Maw Wan Ward"/>
    <m/>
    <m/>
    <n v="12"/>
    <n v="20"/>
    <n v="8"/>
    <n v="20"/>
    <n v="8"/>
    <n v="8"/>
    <n v="8"/>
    <n v="8"/>
    <m/>
    <m/>
    <m/>
    <m/>
    <m/>
    <m/>
    <m/>
    <n v="0"/>
    <n v="0"/>
    <n v="0"/>
    <n v="0"/>
    <n v="0"/>
    <n v="0"/>
    <n v="0"/>
    <n v="0"/>
    <n v="0"/>
    <n v="0"/>
    <n v="0"/>
    <n v="0"/>
    <n v="0"/>
    <n v="0"/>
    <n v="0"/>
    <n v="0"/>
    <n v="0"/>
    <n v="0"/>
    <s v="MMR001CMP167"/>
    <x v="0"/>
    <x v="0"/>
    <s v="P4"/>
    <n v="1.9382192610539067E-4"/>
    <s v="No"/>
  </r>
  <r>
    <n v="51.033333333333331"/>
    <d v="2013-02-20T00:00:00"/>
    <x v="0"/>
    <s v="UNHCR"/>
    <s v="Kachin"/>
    <s v="Hpakant"/>
    <s v="Nant Ma Hpit Catholic Church"/>
    <m/>
    <m/>
    <n v="35"/>
    <n v="0"/>
    <n v="0"/>
    <n v="0"/>
    <n v="0"/>
    <n v="0"/>
    <m/>
    <m/>
    <m/>
    <m/>
    <m/>
    <m/>
    <m/>
    <m/>
    <m/>
    <n v="0"/>
    <n v="0"/>
    <n v="0"/>
    <n v="0"/>
    <n v="0"/>
    <n v="0"/>
    <n v="0"/>
    <n v="0"/>
    <n v="0"/>
    <n v="0"/>
    <n v="0"/>
    <n v="0"/>
    <n v="0"/>
    <n v="0"/>
    <n v="0"/>
    <n v="0"/>
    <n v="0"/>
    <n v="0"/>
    <s v="MMR001CMP103"/>
    <x v="0"/>
    <x v="0"/>
    <s v="P4"/>
    <n v="0"/>
    <s v="No"/>
  </r>
  <r>
    <n v="51.033333333333331"/>
    <d v="2013-02-20T00:00:00"/>
    <x v="0"/>
    <s v="UNHCR"/>
    <s v="Kachin"/>
    <s v="Hpakant"/>
    <s v="Nant Ma Hpit Catholic Church"/>
    <m/>
    <m/>
    <n v="32"/>
    <n v="64"/>
    <n v="33"/>
    <n v="64"/>
    <n v="33"/>
    <n v="33"/>
    <n v="33"/>
    <n v="33"/>
    <m/>
    <m/>
    <m/>
    <m/>
    <m/>
    <m/>
    <m/>
    <n v="0"/>
    <n v="0"/>
    <n v="0"/>
    <n v="0"/>
    <n v="0"/>
    <n v="0"/>
    <n v="0"/>
    <n v="0"/>
    <n v="0"/>
    <n v="0"/>
    <n v="0"/>
    <n v="0"/>
    <n v="0"/>
    <n v="0"/>
    <n v="0"/>
    <n v="0"/>
    <n v="0"/>
    <n v="0"/>
    <s v="MMR001CMP103"/>
    <x v="0"/>
    <x v="0"/>
    <s v="P4"/>
    <n v="7.954298937016415E-4"/>
    <s v="No"/>
  </r>
  <r>
    <n v="51.033333333333331"/>
    <d v="2013-02-20T00:00:00"/>
    <x v="0"/>
    <s v="UNHCR"/>
    <s v="Kachin"/>
    <s v="Hpakant"/>
    <s v="Yumar Baptist Church"/>
    <m/>
    <m/>
    <n v="46"/>
    <n v="0"/>
    <n v="0"/>
    <n v="0"/>
    <n v="0"/>
    <n v="0"/>
    <m/>
    <m/>
    <m/>
    <m/>
    <m/>
    <m/>
    <m/>
    <m/>
    <m/>
    <n v="0"/>
    <n v="0"/>
    <n v="0"/>
    <n v="0"/>
    <n v="0"/>
    <n v="0"/>
    <n v="0"/>
    <n v="0"/>
    <n v="0"/>
    <n v="0"/>
    <n v="0"/>
    <n v="0"/>
    <n v="0"/>
    <n v="0"/>
    <n v="0"/>
    <n v="0"/>
    <n v="0"/>
    <n v="0"/>
    <s v="MMR001CMP105"/>
    <x v="0"/>
    <x v="0"/>
    <s v="P4"/>
    <n v="0"/>
    <s v="No"/>
  </r>
  <r>
    <n v="51.033333333333331"/>
    <d v="2013-02-20T00:00:00"/>
    <x v="0"/>
    <s v="UNHCR"/>
    <s v="Kachin"/>
    <s v="Hpakant"/>
    <s v="Aye Mya Tharyar Church of Christ "/>
    <m/>
    <m/>
    <n v="18"/>
    <n v="0"/>
    <n v="0"/>
    <n v="0"/>
    <n v="0"/>
    <n v="0"/>
    <m/>
    <m/>
    <m/>
    <m/>
    <m/>
    <m/>
    <m/>
    <m/>
    <m/>
    <n v="0"/>
    <n v="0"/>
    <n v="0"/>
    <n v="0"/>
    <n v="0"/>
    <n v="0"/>
    <n v="0"/>
    <n v="0"/>
    <n v="0"/>
    <n v="0"/>
    <n v="0"/>
    <n v="0"/>
    <n v="0"/>
    <n v="0"/>
    <n v="0"/>
    <n v="0"/>
    <n v="0"/>
    <n v="0"/>
    <s v="MMR001CMP092"/>
    <x v="0"/>
    <x v="1"/>
    <s v=""/>
    <s v=""/>
    <s v="No"/>
  </r>
  <r>
    <n v="51.033333333333331"/>
    <d v="2013-02-20T00:00:00"/>
    <x v="0"/>
    <s v="UNHCR"/>
    <s v="Kachin"/>
    <s v="Hpakant"/>
    <s v="Chin(Zomi) Baptist Church"/>
    <m/>
    <m/>
    <n v="13"/>
    <n v="28"/>
    <n v="15"/>
    <n v="28"/>
    <n v="15"/>
    <n v="15"/>
    <n v="15"/>
    <n v="15"/>
    <m/>
    <m/>
    <m/>
    <m/>
    <m/>
    <m/>
    <m/>
    <n v="0"/>
    <n v="0"/>
    <n v="0"/>
    <n v="0"/>
    <n v="0"/>
    <n v="0"/>
    <n v="0"/>
    <n v="0"/>
    <n v="0"/>
    <n v="0"/>
    <n v="0"/>
    <n v="0"/>
    <n v="0"/>
    <n v="0"/>
    <n v="0"/>
    <n v="0"/>
    <n v="0"/>
    <n v="0"/>
    <s v="MMR001CMP086"/>
    <x v="0"/>
    <x v="1"/>
    <s v=""/>
    <s v=""/>
    <s v="No"/>
  </r>
  <r>
    <n v="51.033333333333331"/>
    <d v="2013-02-20T00:00:00"/>
    <x v="0"/>
    <s v="UNHCR"/>
    <s v="Kachin"/>
    <s v="Hpakant"/>
    <s v="Mashi Kahtawng Baptist  Church"/>
    <m/>
    <m/>
    <n v="74"/>
    <n v="0"/>
    <n v="0"/>
    <n v="0"/>
    <n v="0"/>
    <n v="0"/>
    <m/>
    <m/>
    <m/>
    <m/>
    <m/>
    <m/>
    <m/>
    <m/>
    <m/>
    <n v="0"/>
    <n v="0"/>
    <n v="0"/>
    <n v="0"/>
    <n v="0"/>
    <n v="0"/>
    <n v="0"/>
    <n v="0"/>
    <n v="0"/>
    <n v="0"/>
    <n v="0"/>
    <n v="0"/>
    <n v="0"/>
    <n v="0"/>
    <n v="0"/>
    <n v="0"/>
    <n v="0"/>
    <n v="0"/>
    <s v="MMR001CMP094"/>
    <x v="0"/>
    <x v="1"/>
    <s v=""/>
    <s v=""/>
    <s v="No"/>
  </r>
  <r>
    <n v="51.033333333333331"/>
    <d v="2013-02-20T00:00:00"/>
    <x v="0"/>
    <s v="UNHCR"/>
    <s v="Kachin"/>
    <s v="Hpakant"/>
    <s v="Mashi Kahtawng Catholic Church"/>
    <m/>
    <m/>
    <n v="16"/>
    <n v="26"/>
    <n v="13"/>
    <n v="26"/>
    <n v="13"/>
    <n v="13"/>
    <n v="13"/>
    <n v="13"/>
    <m/>
    <m/>
    <m/>
    <m/>
    <m/>
    <m/>
    <m/>
    <n v="0"/>
    <n v="0"/>
    <n v="0"/>
    <n v="0"/>
    <n v="0"/>
    <n v="0"/>
    <n v="0"/>
    <n v="0"/>
    <n v="0"/>
    <n v="0"/>
    <n v="0"/>
    <n v="0"/>
    <n v="0"/>
    <n v="0"/>
    <n v="0"/>
    <n v="0"/>
    <n v="0"/>
    <n v="0"/>
    <s v="MMR001CMP093"/>
    <x v="0"/>
    <x v="1"/>
    <s v=""/>
    <s v=""/>
    <s v="No"/>
  </r>
  <r>
    <n v="51.033333333333331"/>
    <d v="2013-02-20T00:00:00"/>
    <x v="0"/>
    <s v="UNHCR"/>
    <s v="Kachin"/>
    <s v="Hpakant"/>
    <s v="Maw Wan, Kachin Baptist Church"/>
    <m/>
    <m/>
    <n v="85"/>
    <n v="138"/>
    <n v="65"/>
    <n v="138"/>
    <n v="65"/>
    <n v="65"/>
    <n v="65"/>
    <n v="65"/>
    <m/>
    <m/>
    <m/>
    <m/>
    <m/>
    <m/>
    <m/>
    <n v="0"/>
    <n v="0"/>
    <n v="0"/>
    <n v="0"/>
    <n v="0"/>
    <n v="0"/>
    <n v="0"/>
    <n v="0"/>
    <n v="0"/>
    <n v="0"/>
    <n v="0"/>
    <n v="0"/>
    <n v="0"/>
    <n v="0"/>
    <n v="0"/>
    <n v="0"/>
    <n v="0"/>
    <n v="0"/>
    <s v="MMR001CMP085"/>
    <x v="0"/>
    <x v="1"/>
    <s v=""/>
    <s v=""/>
    <s v="No"/>
  </r>
  <r>
    <n v="51.033333333333331"/>
    <d v="2013-02-20T00:00:00"/>
    <x v="0"/>
    <s v="UNHCR"/>
    <s v="Kachin"/>
    <s v="Hpakant"/>
    <s v="Nga Pyaw Taw Baptist Nursery School "/>
    <m/>
    <m/>
    <n v="175"/>
    <n v="0"/>
    <n v="0"/>
    <n v="0"/>
    <n v="0"/>
    <n v="0"/>
    <m/>
    <m/>
    <m/>
    <m/>
    <m/>
    <m/>
    <m/>
    <m/>
    <m/>
    <n v="0"/>
    <n v="0"/>
    <n v="0"/>
    <n v="0"/>
    <n v="0"/>
    <n v="0"/>
    <n v="0"/>
    <n v="0"/>
    <n v="0"/>
    <n v="0"/>
    <n v="0"/>
    <n v="0"/>
    <n v="0"/>
    <n v="0"/>
    <n v="0"/>
    <n v="0"/>
    <n v="0"/>
    <n v="0"/>
    <s v="MMR001CMP082"/>
    <x v="0"/>
    <x v="1"/>
    <s v=""/>
    <n v="0"/>
    <s v="No"/>
  </r>
  <r>
    <n v="51.033333333333331"/>
    <d v="2013-02-20T00:00:00"/>
    <x v="0"/>
    <s v="UNHCR"/>
    <s v="Kachin"/>
    <s v="Hpakant"/>
    <s v="Nga Pyaw Taw Roman Catholic Church"/>
    <m/>
    <m/>
    <n v="38"/>
    <n v="89"/>
    <n v="44"/>
    <n v="89"/>
    <n v="44"/>
    <n v="44"/>
    <n v="44"/>
    <n v="44"/>
    <m/>
    <m/>
    <m/>
    <m/>
    <m/>
    <m/>
    <m/>
    <n v="0"/>
    <n v="0"/>
    <n v="0"/>
    <n v="0"/>
    <n v="0"/>
    <n v="0"/>
    <n v="0"/>
    <n v="0"/>
    <n v="0"/>
    <n v="0"/>
    <n v="0"/>
    <n v="0"/>
    <n v="0"/>
    <n v="0"/>
    <n v="0"/>
    <n v="0"/>
    <n v="0"/>
    <n v="0"/>
    <s v="MMR001CMP083"/>
    <x v="0"/>
    <x v="1"/>
    <s v=""/>
    <s v=""/>
    <s v="No"/>
  </r>
  <r>
    <n v="51.033333333333331"/>
    <d v="2013-02-20T00:00:00"/>
    <x v="0"/>
    <s v="UNHCR"/>
    <s v="Kachin"/>
    <s v="Hpakant"/>
    <s v="Zomee Baptist Church camp, Hmaw Wan"/>
    <m/>
    <m/>
    <m/>
    <n v="11"/>
    <n v="6"/>
    <n v="0"/>
    <n v="6"/>
    <n v="6"/>
    <n v="6"/>
    <n v="6"/>
    <m/>
    <m/>
    <m/>
    <m/>
    <m/>
    <m/>
    <m/>
    <n v="0"/>
    <n v="0"/>
    <n v="0"/>
    <n v="0"/>
    <n v="0"/>
    <n v="0"/>
    <n v="0"/>
    <n v="0"/>
    <n v="0"/>
    <n v="0"/>
    <n v="0"/>
    <n v="0"/>
    <n v="0"/>
    <n v="0"/>
    <n v="0"/>
    <n v="0"/>
    <n v="0"/>
    <n v="0"/>
    <s v="MMR001CMP201"/>
    <x v="0"/>
    <x v="1"/>
    <s v=""/>
    <s v=""/>
    <s v="No"/>
  </r>
  <r>
    <n v="50.866666666666667"/>
    <d v="2013-02-25T00:00:00"/>
    <x v="0"/>
    <s v="Chipwe CM"/>
    <s v="Kachin"/>
    <s v="Chipwi"/>
    <s v="Chipwi KBC camp"/>
    <m/>
    <m/>
    <n v="11"/>
    <n v="17"/>
    <n v="7"/>
    <n v="17"/>
    <n v="7"/>
    <n v="7"/>
    <n v="7"/>
    <n v="7"/>
    <m/>
    <m/>
    <m/>
    <m/>
    <m/>
    <m/>
    <m/>
    <n v="0"/>
    <n v="0"/>
    <n v="0"/>
    <n v="0"/>
    <n v="0"/>
    <n v="0"/>
    <n v="0"/>
    <n v="0"/>
    <n v="0"/>
    <n v="0"/>
    <n v="0"/>
    <n v="0"/>
    <n v="0"/>
    <n v="0"/>
    <n v="0"/>
    <n v="0"/>
    <n v="0"/>
    <n v="0"/>
    <s v="MMR001CMP042"/>
    <x v="0"/>
    <x v="0"/>
    <s v="P1"/>
    <n v="1.6972165648336727E-4"/>
    <s v="No"/>
  </r>
  <r>
    <n v="50.866666666666667"/>
    <d v="2013-02-25T00:00:00"/>
    <x v="4"/>
    <s v="MRCS"/>
    <s v="Kachin"/>
    <s v="Waingmaw"/>
    <s v="Hkat Cho "/>
    <m/>
    <m/>
    <m/>
    <m/>
    <n v="1"/>
    <m/>
    <m/>
    <m/>
    <n v="0"/>
    <n v="0"/>
    <m/>
    <m/>
    <m/>
    <m/>
    <m/>
    <m/>
    <m/>
    <n v="0"/>
    <n v="0"/>
    <n v="0"/>
    <n v="0"/>
    <n v="0"/>
    <n v="0"/>
    <n v="0"/>
    <n v="0"/>
    <n v="0"/>
    <n v="0"/>
    <n v="0"/>
    <n v="0"/>
    <n v="0"/>
    <n v="0"/>
    <n v="0"/>
    <n v="0"/>
    <n v="0"/>
    <n v="0"/>
    <s v="MMR001CMP028"/>
    <x v="0"/>
    <x v="0"/>
    <s v="P4"/>
    <n v="0"/>
    <s v="No"/>
  </r>
  <r>
    <n v="50.866666666666667"/>
    <d v="2013-02-25T00:00:00"/>
    <x v="0"/>
    <s v="Chipwe CM"/>
    <s v="Kachin"/>
    <s v="Chipwi"/>
    <s v="Hpare Hkyer - BP6"/>
    <m/>
    <m/>
    <n v="11"/>
    <n v="17"/>
    <n v="7"/>
    <n v="17"/>
    <n v="7"/>
    <n v="7"/>
    <n v="7"/>
    <n v="7"/>
    <m/>
    <m/>
    <m/>
    <m/>
    <m/>
    <m/>
    <m/>
    <n v="0"/>
    <n v="0"/>
    <n v="0"/>
    <n v="0"/>
    <n v="0"/>
    <n v="0"/>
    <n v="0"/>
    <n v="0"/>
    <n v="0"/>
    <n v="0"/>
    <n v="0"/>
    <n v="0"/>
    <n v="0"/>
    <n v="0"/>
    <n v="0"/>
    <n v="0"/>
    <n v="0"/>
    <n v="0"/>
    <s v="MMR001CMP043"/>
    <x v="0"/>
    <x v="0"/>
    <s v="P1"/>
    <n v="1.7060687301974166E-4"/>
    <s v="No"/>
  </r>
  <r>
    <n v="50.866666666666667"/>
    <d v="2013-02-25T00:00:00"/>
    <x v="0"/>
    <s v="Chipwe CM"/>
    <s v="Kachin"/>
    <s v="Chipwi"/>
    <s v="Lan Jaw "/>
    <m/>
    <m/>
    <n v="11"/>
    <n v="17"/>
    <n v="7"/>
    <n v="17"/>
    <n v="7"/>
    <n v="7"/>
    <n v="7"/>
    <n v="7"/>
    <m/>
    <m/>
    <m/>
    <m/>
    <m/>
    <m/>
    <m/>
    <n v="0"/>
    <n v="0"/>
    <n v="0"/>
    <n v="0"/>
    <n v="0"/>
    <n v="0"/>
    <n v="0"/>
    <n v="0"/>
    <n v="0"/>
    <n v="0"/>
    <n v="0"/>
    <n v="0"/>
    <n v="0"/>
    <n v="0"/>
    <n v="0"/>
    <n v="0"/>
    <n v="0"/>
    <n v="0"/>
    <s v="MMR001CMP045"/>
    <x v="0"/>
    <x v="0"/>
    <s v="P1"/>
    <s v=""/>
    <s v="No"/>
  </r>
  <r>
    <n v="50.866666666666667"/>
    <d v="2013-02-25T00:00:00"/>
    <x v="0"/>
    <s v="Chipwe CM"/>
    <s v="Kachin"/>
    <s v="Chipwi"/>
    <s v="Lhaovao Baptist Church (LBC)"/>
    <m/>
    <m/>
    <n v="12"/>
    <n v="17"/>
    <n v="7"/>
    <n v="17"/>
    <n v="7"/>
    <n v="7"/>
    <n v="7"/>
    <n v="7"/>
    <m/>
    <m/>
    <m/>
    <m/>
    <m/>
    <m/>
    <m/>
    <n v="0"/>
    <n v="0"/>
    <n v="0"/>
    <n v="0"/>
    <n v="0"/>
    <n v="0"/>
    <n v="0"/>
    <n v="0"/>
    <n v="0"/>
    <n v="0"/>
    <n v="0"/>
    <n v="0"/>
    <n v="0"/>
    <n v="0"/>
    <n v="0"/>
    <n v="0"/>
    <n v="0"/>
    <n v="0"/>
    <s v="MMR001CMP195"/>
    <x v="0"/>
    <x v="0"/>
    <s v="P1"/>
    <n v="1.7098192476795311E-4"/>
    <s v="No"/>
  </r>
  <r>
    <n v="50.866666666666667"/>
    <d v="2013-02-25T00:00:00"/>
    <x v="4"/>
    <s v="MRCS"/>
    <s v="Kachin"/>
    <s v="Waingmaw"/>
    <s v="Maina KBC (Bawng Ring)"/>
    <m/>
    <m/>
    <n v="235"/>
    <m/>
    <n v="174"/>
    <m/>
    <n v="61"/>
    <m/>
    <n v="0"/>
    <n v="0"/>
    <m/>
    <m/>
    <m/>
    <m/>
    <m/>
    <m/>
    <m/>
    <n v="0"/>
    <n v="0"/>
    <n v="0"/>
    <n v="0"/>
    <n v="0"/>
    <n v="0"/>
    <n v="0"/>
    <n v="0"/>
    <n v="0"/>
    <n v="0"/>
    <n v="0"/>
    <n v="0"/>
    <n v="0"/>
    <n v="0"/>
    <n v="0"/>
    <n v="0"/>
    <n v="0"/>
    <n v="0"/>
    <s v="MMR001CMP040"/>
    <x v="0"/>
    <x v="0"/>
    <s v="P4"/>
    <n v="1.4855946031514088E-3"/>
    <s v="No"/>
  </r>
  <r>
    <n v="50.866666666666667"/>
    <d v="2013-02-25T00:00:00"/>
    <x v="0"/>
    <s v="Chipwe CM"/>
    <s v="Kachin"/>
    <s v="Chipwi"/>
    <s v="Gant Gwin"/>
    <m/>
    <m/>
    <n v="11"/>
    <n v="17"/>
    <n v="7"/>
    <n v="17"/>
    <n v="7"/>
    <n v="7"/>
    <n v="7"/>
    <n v="7"/>
    <m/>
    <m/>
    <m/>
    <m/>
    <m/>
    <m/>
    <m/>
    <n v="0"/>
    <n v="0"/>
    <n v="0"/>
    <n v="0"/>
    <n v="0"/>
    <n v="0"/>
    <n v="0"/>
    <n v="0"/>
    <n v="0"/>
    <n v="0"/>
    <n v="0"/>
    <n v="0"/>
    <n v="0"/>
    <n v="0"/>
    <n v="0"/>
    <n v="0"/>
    <n v="0"/>
    <n v="0"/>
    <s v="MMR001CMP046"/>
    <x v="0"/>
    <x v="1"/>
    <s v="P1"/>
    <s v=""/>
    <s v="No"/>
  </r>
  <r>
    <n v="50.866666666666667"/>
    <d v="2013-02-25T00:00:00"/>
    <x v="0"/>
    <s v="Chipwe CM"/>
    <s v="Kachin"/>
    <s v="Chipwi"/>
    <s v="Women's Affairs Association Building"/>
    <m/>
    <m/>
    <n v="12"/>
    <n v="18"/>
    <n v="8"/>
    <n v="18"/>
    <n v="8"/>
    <n v="8"/>
    <n v="8"/>
    <n v="8"/>
    <m/>
    <m/>
    <m/>
    <m/>
    <m/>
    <m/>
    <m/>
    <n v="0"/>
    <n v="0"/>
    <n v="0"/>
    <n v="0"/>
    <n v="0"/>
    <n v="0"/>
    <n v="0"/>
    <n v="0"/>
    <n v="0"/>
    <n v="0"/>
    <n v="0"/>
    <n v="0"/>
    <n v="0"/>
    <n v="0"/>
    <n v="0"/>
    <n v="0"/>
    <n v="0"/>
    <n v="0"/>
    <s v="MMR001CMP044"/>
    <x v="0"/>
    <x v="1"/>
    <s v=""/>
    <s v=""/>
    <s v="No"/>
  </r>
  <r>
    <n v="50.833333333333336"/>
    <d v="2013-02-26T00:00:00"/>
    <x v="4"/>
    <s v="MRCS"/>
    <s v="Kachin"/>
    <s v="Waingmaw"/>
    <s v="Hkat Cho "/>
    <m/>
    <m/>
    <n v="136"/>
    <m/>
    <n v="66"/>
    <m/>
    <n v="70"/>
    <m/>
    <n v="0"/>
    <n v="0"/>
    <m/>
    <m/>
    <m/>
    <m/>
    <m/>
    <m/>
    <m/>
    <n v="0"/>
    <n v="0"/>
    <n v="0"/>
    <n v="0"/>
    <n v="0"/>
    <n v="0"/>
    <n v="0"/>
    <n v="0"/>
    <n v="0"/>
    <n v="0"/>
    <n v="0"/>
    <n v="0"/>
    <n v="0"/>
    <n v="0"/>
    <n v="0"/>
    <n v="0"/>
    <n v="0"/>
    <n v="0"/>
    <s v="MMR001CMP028"/>
    <x v="0"/>
    <x v="0"/>
    <s v="P4"/>
    <n v="1.7201130359995086E-3"/>
    <s v="No"/>
  </r>
  <r>
    <n v="50.833333333333336"/>
    <d v="2013-02-26T00:00:00"/>
    <x v="4"/>
    <s v="MRCS"/>
    <s v="Kachin"/>
    <s v="Myitkyina"/>
    <s v="Jan Mai Kawng Catholic Church"/>
    <m/>
    <m/>
    <n v="99"/>
    <m/>
    <n v="99"/>
    <m/>
    <m/>
    <m/>
    <n v="0"/>
    <n v="0"/>
    <m/>
    <m/>
    <m/>
    <m/>
    <m/>
    <m/>
    <m/>
    <n v="0"/>
    <n v="0"/>
    <n v="0"/>
    <n v="0"/>
    <n v="0"/>
    <n v="0"/>
    <n v="0"/>
    <n v="0"/>
    <n v="0"/>
    <n v="0"/>
    <n v="0"/>
    <n v="0"/>
    <n v="0"/>
    <n v="0"/>
    <n v="0"/>
    <n v="0"/>
    <n v="0"/>
    <n v="0"/>
    <s v="MMR001CMP019"/>
    <x v="0"/>
    <x v="0"/>
    <s v="P4"/>
    <n v="0"/>
    <s v="No"/>
  </r>
  <r>
    <n v="50.8"/>
    <d v="2013-02-27T00:00:00"/>
    <x v="0"/>
    <s v="UNHCR"/>
    <s v="Kachin"/>
    <s v="Waingmaw"/>
    <s v="Maina AG Church"/>
    <m/>
    <m/>
    <n v="23"/>
    <n v="40"/>
    <n v="18"/>
    <n v="40"/>
    <n v="18"/>
    <n v="18"/>
    <n v="18"/>
    <n v="18"/>
    <m/>
    <m/>
    <m/>
    <m/>
    <m/>
    <m/>
    <m/>
    <n v="0"/>
    <n v="0"/>
    <n v="0"/>
    <n v="0"/>
    <n v="0"/>
    <n v="0"/>
    <n v="0"/>
    <n v="0"/>
    <n v="0"/>
    <n v="0"/>
    <n v="0"/>
    <n v="0"/>
    <n v="0"/>
    <n v="0"/>
    <n v="0"/>
    <n v="0"/>
    <n v="0"/>
    <n v="0"/>
    <s v="MMR001CMP031"/>
    <x v="0"/>
    <x v="0"/>
    <s v="P4"/>
    <n v="4.3419529139328446E-4"/>
    <s v="No"/>
  </r>
  <r>
    <n v="50.8"/>
    <d v="2013-02-27T00:00:00"/>
    <x v="1"/>
    <s v="Solidarities"/>
    <s v="Kachin"/>
    <s v="Mansi"/>
    <s v="Man Wing Baptist Church"/>
    <n v="595"/>
    <m/>
    <m/>
    <m/>
    <m/>
    <m/>
    <m/>
    <m/>
    <n v="0"/>
    <n v="0"/>
    <m/>
    <m/>
    <m/>
    <m/>
    <m/>
    <m/>
    <m/>
    <n v="0"/>
    <n v="0"/>
    <n v="0"/>
    <n v="0"/>
    <n v="0"/>
    <n v="0"/>
    <n v="0"/>
    <n v="0"/>
    <n v="0"/>
    <n v="0"/>
    <n v="0"/>
    <n v="0"/>
    <n v="0"/>
    <n v="0"/>
    <n v="0"/>
    <n v="0"/>
    <n v="0"/>
    <n v="0"/>
    <s v="MMR001CMP133"/>
    <x v="0"/>
    <x v="0"/>
    <s v="P4"/>
    <n v="0"/>
    <s v="No"/>
  </r>
  <r>
    <n v="50.7"/>
    <d v="2013-03-02T00:00:00"/>
    <x v="1"/>
    <s v="Solidarities"/>
    <s v="Kachin"/>
    <s v="Momauk"/>
    <s v="Loi Je Baptist Church"/>
    <n v="3"/>
    <m/>
    <m/>
    <m/>
    <m/>
    <m/>
    <m/>
    <m/>
    <n v="0"/>
    <n v="0"/>
    <m/>
    <m/>
    <m/>
    <m/>
    <m/>
    <m/>
    <m/>
    <n v="0"/>
    <n v="0"/>
    <n v="0"/>
    <n v="0"/>
    <n v="0"/>
    <n v="0"/>
    <n v="0"/>
    <n v="0"/>
    <n v="0"/>
    <n v="0"/>
    <n v="0"/>
    <n v="0"/>
    <n v="0"/>
    <n v="0"/>
    <n v="0"/>
    <n v="0"/>
    <n v="0"/>
    <n v="0"/>
    <s v="MMR001CMP071"/>
    <x v="0"/>
    <x v="0"/>
    <s v="P3"/>
    <n v="0"/>
    <s v="No"/>
  </r>
  <r>
    <n v="50.7"/>
    <d v="2013-03-02T00:00:00"/>
    <x v="1"/>
    <s v="Solidarities"/>
    <s v="Kachin"/>
    <s v="Momauk"/>
    <s v="Loi Je Lisu Camp"/>
    <n v="368"/>
    <m/>
    <m/>
    <m/>
    <m/>
    <m/>
    <m/>
    <m/>
    <n v="0"/>
    <n v="0"/>
    <m/>
    <m/>
    <m/>
    <m/>
    <m/>
    <m/>
    <m/>
    <n v="0"/>
    <n v="0"/>
    <n v="0"/>
    <n v="0"/>
    <n v="0"/>
    <n v="0"/>
    <n v="0"/>
    <n v="0"/>
    <n v="0"/>
    <n v="0"/>
    <n v="0"/>
    <n v="0"/>
    <n v="0"/>
    <n v="0"/>
    <n v="0"/>
    <n v="0"/>
    <n v="0"/>
    <n v="0"/>
    <s v="MMR001CMP070"/>
    <x v="0"/>
    <x v="0"/>
    <s v="P3"/>
    <n v="0"/>
    <s v="No"/>
  </r>
  <r>
    <n v="50.7"/>
    <d v="2013-03-02T00:00:00"/>
    <x v="1"/>
    <s v="Solidarities"/>
    <s v="Kachin"/>
    <s v="Mansi"/>
    <s v="Man Wing Catholic Church"/>
    <n v="1542"/>
    <m/>
    <m/>
    <m/>
    <m/>
    <m/>
    <m/>
    <m/>
    <n v="0"/>
    <n v="0"/>
    <m/>
    <m/>
    <m/>
    <m/>
    <m/>
    <m/>
    <m/>
    <n v="0"/>
    <n v="0"/>
    <n v="0"/>
    <n v="0"/>
    <n v="0"/>
    <n v="0"/>
    <n v="0"/>
    <n v="0"/>
    <n v="0"/>
    <n v="0"/>
    <n v="0"/>
    <n v="0"/>
    <n v="0"/>
    <n v="0"/>
    <n v="0"/>
    <n v="0"/>
    <n v="0"/>
    <n v="0"/>
    <s v="MMR001CMP132"/>
    <x v="0"/>
    <x v="0"/>
    <s v="P4"/>
    <n v="0"/>
    <s v="No"/>
  </r>
  <r>
    <n v="50.666666666666664"/>
    <d v="2013-03-03T00:00:00"/>
    <x v="1"/>
    <s v="Solidarities"/>
    <s v="Kachin"/>
    <s v="Momauk"/>
    <s v="Seng Ja "/>
    <n v="33"/>
    <m/>
    <m/>
    <m/>
    <m/>
    <m/>
    <m/>
    <m/>
    <n v="0"/>
    <n v="0"/>
    <m/>
    <m/>
    <m/>
    <m/>
    <m/>
    <m/>
    <m/>
    <n v="0"/>
    <n v="0"/>
    <n v="0"/>
    <n v="0"/>
    <n v="0"/>
    <n v="0"/>
    <n v="0"/>
    <n v="0"/>
    <n v="0"/>
    <n v="0"/>
    <n v="0"/>
    <n v="0"/>
    <n v="0"/>
    <n v="0"/>
    <n v="0"/>
    <n v="0"/>
    <n v="0"/>
    <n v="0"/>
    <s v="MMR001CMP073"/>
    <x v="0"/>
    <x v="0"/>
    <s v="P3"/>
    <n v="0"/>
    <s v="No"/>
  </r>
  <r>
    <n v="50.56666666666667"/>
    <d v="2013-03-06T00:00:00"/>
    <x v="0"/>
    <s v="UNHCR"/>
    <s v="Kachin"/>
    <s v="Waingmaw"/>
    <s v="Maina KBC (Bawng Ring)"/>
    <m/>
    <m/>
    <n v="34"/>
    <n v="73"/>
    <n v="38"/>
    <n v="73"/>
    <n v="38"/>
    <n v="33"/>
    <n v="33"/>
    <n v="33"/>
    <m/>
    <m/>
    <m/>
    <m/>
    <m/>
    <m/>
    <m/>
    <n v="0"/>
    <n v="0"/>
    <n v="0"/>
    <n v="0"/>
    <n v="0"/>
    <n v="0"/>
    <n v="0"/>
    <n v="0"/>
    <n v="0"/>
    <n v="0"/>
    <n v="0"/>
    <n v="0"/>
    <n v="0"/>
    <n v="0"/>
    <n v="0"/>
    <n v="0"/>
    <n v="0"/>
    <n v="0"/>
    <s v="MMR001CMP040"/>
    <x v="0"/>
    <x v="0"/>
    <s v="P4"/>
    <n v="9.2545237573366456E-4"/>
    <s v="No"/>
  </r>
  <r>
    <n v="50.56666666666667"/>
    <d v="2013-03-06T00:00:00"/>
    <x v="0"/>
    <s v="UNHCR"/>
    <s v="Kachin"/>
    <s v="Waingmaw"/>
    <s v="Qtr. 2 Lhaovo Baptist Church"/>
    <m/>
    <m/>
    <n v="6"/>
    <n v="11"/>
    <n v="5"/>
    <n v="11"/>
    <n v="5"/>
    <n v="5"/>
    <n v="5"/>
    <n v="5"/>
    <m/>
    <m/>
    <m/>
    <m/>
    <m/>
    <m/>
    <m/>
    <n v="0"/>
    <n v="0"/>
    <n v="0"/>
    <n v="0"/>
    <n v="0"/>
    <n v="0"/>
    <n v="0"/>
    <n v="0"/>
    <n v="0"/>
    <n v="0"/>
    <n v="0"/>
    <n v="0"/>
    <n v="0"/>
    <n v="0"/>
    <n v="0"/>
    <n v="0"/>
    <n v="0"/>
    <n v="0"/>
    <s v="MMR001CMP032"/>
    <x v="0"/>
    <x v="0"/>
    <s v="P4"/>
    <n v="1.2277470841006753E-4"/>
    <s v="No"/>
  </r>
  <r>
    <n v="50.1"/>
    <d v="2013-03-20T00:00:00"/>
    <x v="0"/>
    <s v="UNHCR"/>
    <s v="Kachin"/>
    <s v="Hpakant"/>
    <s v="AG Church, Maw Wan"/>
    <m/>
    <m/>
    <n v="24"/>
    <n v="17"/>
    <n v="17"/>
    <n v="41"/>
    <n v="17"/>
    <n v="41"/>
    <n v="41"/>
    <n v="41"/>
    <m/>
    <m/>
    <m/>
    <m/>
    <m/>
    <m/>
    <m/>
    <n v="0"/>
    <n v="0"/>
    <n v="0"/>
    <n v="0"/>
    <n v="0"/>
    <n v="0"/>
    <n v="0"/>
    <n v="0"/>
    <n v="0"/>
    <n v="0"/>
    <n v="0"/>
    <n v="0"/>
    <n v="0"/>
    <n v="0"/>
    <n v="0"/>
    <n v="0"/>
    <n v="0"/>
    <n v="0"/>
    <s v="MMR001CMP190"/>
    <x v="0"/>
    <x v="0"/>
    <s v="P4"/>
    <n v="4.1187159297395516E-4"/>
    <s v="No"/>
  </r>
  <r>
    <n v="50.1"/>
    <d v="2013-03-20T00:00:00"/>
    <x v="0"/>
    <s v="UNHCR"/>
    <s v="Kachin"/>
    <s v="Hpakant"/>
    <s v="Chin Church, Seik Mu"/>
    <m/>
    <m/>
    <n v="3"/>
    <n v="8"/>
    <n v="8"/>
    <n v="15"/>
    <n v="8"/>
    <n v="15"/>
    <n v="15"/>
    <n v="15"/>
    <m/>
    <m/>
    <m/>
    <m/>
    <m/>
    <m/>
    <m/>
    <n v="0"/>
    <n v="0"/>
    <n v="0"/>
    <n v="0"/>
    <n v="0"/>
    <n v="0"/>
    <n v="0"/>
    <n v="0"/>
    <n v="0"/>
    <n v="0"/>
    <n v="0"/>
    <n v="0"/>
    <n v="0"/>
    <n v="0"/>
    <n v="0"/>
    <n v="0"/>
    <n v="0"/>
    <n v="0"/>
    <s v="MMR001CMP109"/>
    <x v="0"/>
    <x v="0"/>
    <s v="P4"/>
    <n v="1.9283148938221612E-4"/>
    <s v="No"/>
  </r>
  <r>
    <n v="50.1"/>
    <d v="2013-03-20T00:00:00"/>
    <x v="0"/>
    <s v="UNHCR"/>
    <s v="Kachin"/>
    <s v="Hpakant"/>
    <s v="Lisu Baptist Church, Maw Wan Ward"/>
    <m/>
    <m/>
    <n v="32"/>
    <n v="27"/>
    <n v="27"/>
    <n v="66"/>
    <n v="27"/>
    <n v="66"/>
    <n v="66"/>
    <n v="66"/>
    <m/>
    <m/>
    <m/>
    <m/>
    <m/>
    <m/>
    <m/>
    <n v="0"/>
    <n v="0"/>
    <n v="0"/>
    <n v="0"/>
    <n v="0"/>
    <n v="0"/>
    <n v="0"/>
    <n v="0"/>
    <n v="0"/>
    <n v="0"/>
    <n v="0"/>
    <n v="0"/>
    <n v="0"/>
    <n v="0"/>
    <n v="0"/>
    <n v="0"/>
    <n v="0"/>
    <n v="0"/>
    <s v="MMR001CMP167"/>
    <x v="0"/>
    <x v="0"/>
    <s v="P4"/>
    <n v="6.5414900060569347E-4"/>
    <s v="No"/>
  </r>
  <r>
    <n v="50.1"/>
    <d v="2013-03-20T00:00:00"/>
    <x v="0"/>
    <s v="UNHCR"/>
    <s v="Kachin"/>
    <s v="Hpakant"/>
    <s v="Maw Wan, Mu-yin Baptist Church"/>
    <m/>
    <m/>
    <n v="17"/>
    <n v="17"/>
    <n v="17"/>
    <n v="41"/>
    <n v="17"/>
    <n v="41"/>
    <n v="41"/>
    <n v="41"/>
    <m/>
    <m/>
    <m/>
    <m/>
    <m/>
    <m/>
    <m/>
    <n v="0"/>
    <n v="0"/>
    <n v="0"/>
    <n v="0"/>
    <n v="0"/>
    <n v="0"/>
    <n v="0"/>
    <n v="0"/>
    <n v="0"/>
    <n v="0"/>
    <n v="0"/>
    <n v="0"/>
    <n v="0"/>
    <n v="0"/>
    <n v="0"/>
    <n v="0"/>
    <n v="0"/>
    <n v="0"/>
    <s v="MMR001CMP091"/>
    <x v="0"/>
    <x v="0"/>
    <s v="P4"/>
    <n v="4.1340401731433294E-4"/>
    <s v="No"/>
  </r>
  <r>
    <n v="50.1"/>
    <d v="2013-03-20T00:00:00"/>
    <x v="0"/>
    <s v="UNHCR"/>
    <s v="Kachin"/>
    <s v="Hpakant"/>
    <s v="Ward 2 Sai Taung Baptist Church, Seik Mu "/>
    <m/>
    <m/>
    <n v="124"/>
    <n v="117"/>
    <n v="121"/>
    <n v="227"/>
    <n v="122"/>
    <n v="263"/>
    <n v="263"/>
    <n v="263"/>
    <m/>
    <m/>
    <m/>
    <m/>
    <m/>
    <m/>
    <m/>
    <n v="0"/>
    <n v="0"/>
    <n v="0"/>
    <n v="0"/>
    <n v="0"/>
    <n v="0"/>
    <n v="0"/>
    <n v="0"/>
    <n v="0"/>
    <n v="0"/>
    <n v="0"/>
    <n v="0"/>
    <n v="0"/>
    <n v="0"/>
    <n v="0"/>
    <n v="0"/>
    <n v="0"/>
    <n v="0"/>
    <s v="MMR001CMP184"/>
    <x v="0"/>
    <x v="0"/>
    <s v="P4"/>
    <n v="2.9557843731072078E-3"/>
    <s v="No"/>
  </r>
  <r>
    <n v="50.1"/>
    <d v="2013-03-20T00:00:00"/>
    <x v="0"/>
    <s v="UNHCR"/>
    <s v="Kachin"/>
    <s v="Hpakant"/>
    <s v="Anglican Church, Hmaw Si Sar"/>
    <m/>
    <m/>
    <n v="38"/>
    <n v="11"/>
    <n v="11"/>
    <n v="87"/>
    <n v="11"/>
    <n v="26"/>
    <n v="26"/>
    <n v="26"/>
    <m/>
    <m/>
    <m/>
    <m/>
    <m/>
    <m/>
    <m/>
    <n v="0"/>
    <n v="0"/>
    <n v="0"/>
    <n v="0"/>
    <n v="0"/>
    <n v="0"/>
    <n v="0"/>
    <n v="0"/>
    <n v="0"/>
    <n v="0"/>
    <n v="0"/>
    <n v="0"/>
    <n v="0"/>
    <n v="0"/>
    <n v="0"/>
    <n v="0"/>
    <n v="0"/>
    <n v="0"/>
    <s v="MMR001CMP173"/>
    <x v="0"/>
    <x v="1"/>
    <s v=""/>
    <s v=""/>
    <s v="No"/>
  </r>
  <r>
    <n v="50.1"/>
    <d v="2013-03-20T00:00:00"/>
    <x v="0"/>
    <s v="UNHCR"/>
    <s v="Kachin"/>
    <s v="Hpakant"/>
    <s v="Chin(Zomi) Baptist Church"/>
    <m/>
    <m/>
    <n v="9"/>
    <n v="6"/>
    <n v="6"/>
    <n v="15"/>
    <n v="6"/>
    <n v="15"/>
    <n v="15"/>
    <n v="15"/>
    <m/>
    <m/>
    <m/>
    <m/>
    <m/>
    <m/>
    <m/>
    <n v="0"/>
    <n v="0"/>
    <n v="0"/>
    <n v="0"/>
    <n v="0"/>
    <n v="0"/>
    <n v="0"/>
    <n v="0"/>
    <n v="0"/>
    <n v="0"/>
    <n v="0"/>
    <n v="0"/>
    <n v="0"/>
    <n v="0"/>
    <n v="0"/>
    <n v="0"/>
    <n v="0"/>
    <n v="0"/>
    <s v="MMR001CMP086"/>
    <x v="0"/>
    <x v="1"/>
    <s v=""/>
    <s v=""/>
    <s v="No"/>
  </r>
  <r>
    <n v="50.1"/>
    <d v="2013-03-20T00:00:00"/>
    <x v="0"/>
    <s v="UNHCR"/>
    <s v="Kachin"/>
    <s v="Hpakant"/>
    <s v="Maw Wan, Kachin Baptist Church"/>
    <m/>
    <m/>
    <n v="18"/>
    <n v="17"/>
    <n v="17"/>
    <n v="42"/>
    <n v="17"/>
    <n v="42"/>
    <n v="42"/>
    <n v="42"/>
    <m/>
    <m/>
    <m/>
    <m/>
    <m/>
    <m/>
    <m/>
    <n v="0"/>
    <n v="0"/>
    <n v="0"/>
    <n v="0"/>
    <n v="0"/>
    <n v="0"/>
    <n v="0"/>
    <n v="0"/>
    <n v="0"/>
    <n v="0"/>
    <n v="0"/>
    <n v="0"/>
    <n v="0"/>
    <n v="0"/>
    <n v="0"/>
    <n v="0"/>
    <n v="0"/>
    <n v="0"/>
    <s v="MMR001CMP085"/>
    <x v="0"/>
    <x v="1"/>
    <s v=""/>
    <s v=""/>
    <s v="No"/>
  </r>
  <r>
    <n v="50.1"/>
    <d v="2013-03-20T00:00:00"/>
    <x v="0"/>
    <s v="UNHCR"/>
    <s v="Kachin"/>
    <s v="Hpakant"/>
    <s v="Muring Baptist Church, Awng Ra, Wa Ra Zut VT"/>
    <m/>
    <m/>
    <n v="48"/>
    <n v="48"/>
    <n v="48"/>
    <n v="98"/>
    <n v="48"/>
    <n v="98"/>
    <n v="98"/>
    <n v="98"/>
    <m/>
    <m/>
    <m/>
    <m/>
    <m/>
    <m/>
    <m/>
    <n v="0"/>
    <n v="0"/>
    <n v="0"/>
    <n v="0"/>
    <n v="0"/>
    <n v="0"/>
    <n v="0"/>
    <n v="0"/>
    <n v="0"/>
    <n v="0"/>
    <n v="0"/>
    <n v="0"/>
    <n v="0"/>
    <n v="0"/>
    <n v="0"/>
    <n v="0"/>
    <n v="0"/>
    <n v="0"/>
    <s v="MMR001CMP177"/>
    <x v="0"/>
    <x v="1"/>
    <s v=""/>
    <n v="1.162931556632344E-3"/>
    <s v="No"/>
  </r>
  <r>
    <n v="50.1"/>
    <d v="2013-03-20T00:00:00"/>
    <x v="0"/>
    <s v="UNHCR"/>
    <s v="Kachin"/>
    <s v="Hpakant"/>
    <s v="Wrad(5) Christian Association"/>
    <m/>
    <m/>
    <n v="34"/>
    <n v="26"/>
    <n v="26"/>
    <n v="60"/>
    <n v="26"/>
    <n v="60"/>
    <n v="60"/>
    <n v="60"/>
    <m/>
    <m/>
    <m/>
    <m/>
    <m/>
    <m/>
    <m/>
    <n v="0"/>
    <n v="0"/>
    <n v="0"/>
    <n v="0"/>
    <n v="0"/>
    <n v="0"/>
    <n v="0"/>
    <n v="0"/>
    <n v="0"/>
    <n v="0"/>
    <n v="0"/>
    <n v="0"/>
    <n v="0"/>
    <n v="0"/>
    <n v="0"/>
    <n v="0"/>
    <n v="0"/>
    <n v="0"/>
    <s v="MMR001CMP175"/>
    <x v="0"/>
    <x v="1"/>
    <s v=""/>
    <s v=""/>
    <s v="No"/>
  </r>
  <r>
    <n v="50.1"/>
    <d v="2013-03-20T00:00:00"/>
    <x v="0"/>
    <s v="UNHCR"/>
    <s v="Kachin"/>
    <s v="Hpakant"/>
    <s v="Zomee Baptist Church camp, Hmaw Wan"/>
    <m/>
    <m/>
    <n v="6"/>
    <n v="0"/>
    <n v="0"/>
    <n v="11"/>
    <n v="0"/>
    <n v="0"/>
    <m/>
    <m/>
    <m/>
    <m/>
    <m/>
    <m/>
    <m/>
    <m/>
    <m/>
    <n v="0"/>
    <n v="0"/>
    <n v="0"/>
    <n v="0"/>
    <n v="0"/>
    <n v="0"/>
    <n v="0"/>
    <n v="0"/>
    <n v="0"/>
    <n v="0"/>
    <n v="0"/>
    <n v="0"/>
    <n v="0"/>
    <n v="0"/>
    <n v="0"/>
    <n v="0"/>
    <n v="0"/>
    <n v="0"/>
    <s v="MMR001CMP201"/>
    <x v="0"/>
    <x v="1"/>
    <s v=""/>
    <s v=""/>
    <s v="No"/>
  </r>
  <r>
    <n v="50.06666666666667"/>
    <d v="2013-03-21T00:00:00"/>
    <x v="0"/>
    <s v="UNHCR"/>
    <s v="Kachin"/>
    <s v="Hpakant"/>
    <s v="Lisu Baptist Church, Maw Shan Vil,. Seik Mu"/>
    <m/>
    <m/>
    <n v="34"/>
    <n v="40"/>
    <n v="40"/>
    <n v="75"/>
    <n v="40"/>
    <n v="75"/>
    <n v="75"/>
    <n v="75"/>
    <m/>
    <m/>
    <m/>
    <m/>
    <m/>
    <m/>
    <m/>
    <n v="0"/>
    <n v="0"/>
    <n v="0"/>
    <n v="0"/>
    <n v="0"/>
    <n v="0"/>
    <n v="0"/>
    <n v="0"/>
    <n v="0"/>
    <n v="0"/>
    <n v="0"/>
    <n v="0"/>
    <n v="0"/>
    <n v="0"/>
    <n v="0"/>
    <n v="0"/>
    <n v="0"/>
    <n v="0"/>
    <s v="MMR001CMP181"/>
    <x v="0"/>
    <x v="0"/>
    <s v="P4"/>
    <n v="9.6910963052695336E-4"/>
    <s v="No"/>
  </r>
  <r>
    <n v="50.06666666666667"/>
    <d v="2013-03-21T00:00:00"/>
    <x v="0"/>
    <s v="UNHCR"/>
    <s v="Kachin"/>
    <s v="Hpakant"/>
    <s v="Rawan Baptist Church, Maw Shan Vil., Seik Mu"/>
    <m/>
    <m/>
    <n v="15"/>
    <n v="8"/>
    <n v="8"/>
    <n v="17"/>
    <n v="8"/>
    <n v="17"/>
    <n v="17"/>
    <n v="17"/>
    <m/>
    <m/>
    <m/>
    <m/>
    <m/>
    <m/>
    <m/>
    <n v="0"/>
    <n v="0"/>
    <n v="0"/>
    <n v="0"/>
    <n v="0"/>
    <n v="0"/>
    <n v="0"/>
    <n v="0"/>
    <n v="0"/>
    <n v="0"/>
    <n v="0"/>
    <n v="0"/>
    <n v="0"/>
    <n v="0"/>
    <n v="0"/>
    <n v="0"/>
    <n v="0"/>
    <n v="0"/>
    <s v="MMR001CMP182"/>
    <x v="0"/>
    <x v="0"/>
    <s v="P4"/>
    <n v="1.9382192610539067E-4"/>
    <s v="No"/>
  </r>
  <r>
    <n v="49.8"/>
    <d v="2013-03-29T00:00:00"/>
    <x v="4"/>
    <s v="MRCS"/>
    <s v="Kachin"/>
    <s v="Sumprabum"/>
    <s v="Sumprabum"/>
    <m/>
    <m/>
    <n v="6"/>
    <m/>
    <m/>
    <m/>
    <n v="6"/>
    <m/>
    <n v="0"/>
    <n v="0"/>
    <m/>
    <m/>
    <m/>
    <m/>
    <m/>
    <m/>
    <m/>
    <n v="0"/>
    <n v="0"/>
    <n v="0"/>
    <n v="0"/>
    <n v="0"/>
    <n v="0"/>
    <n v="0"/>
    <n v="0"/>
    <n v="0"/>
    <n v="0"/>
    <n v="0"/>
    <n v="0"/>
    <n v="0"/>
    <n v="0"/>
    <n v="0"/>
    <n v="0"/>
    <n v="0"/>
    <n v="0"/>
    <s v="MMR001CMP206"/>
    <x v="0"/>
    <x v="0"/>
    <s v="P4"/>
    <s v=""/>
    <s v="No"/>
  </r>
  <r>
    <n v="49.633333333333333"/>
    <d v="2013-04-03T00:00:00"/>
    <x v="0"/>
    <s v="UNHCR"/>
    <s v="Kachin"/>
    <s v="Waingmaw"/>
    <s v="Maina AG Church"/>
    <m/>
    <m/>
    <n v="15"/>
    <n v="22"/>
    <n v="11"/>
    <n v="22"/>
    <n v="11"/>
    <n v="11"/>
    <n v="11"/>
    <n v="11"/>
    <m/>
    <m/>
    <m/>
    <m/>
    <m/>
    <m/>
    <m/>
    <n v="0"/>
    <n v="0"/>
    <n v="0"/>
    <n v="0"/>
    <n v="0"/>
    <n v="0"/>
    <n v="0"/>
    <n v="0"/>
    <n v="0"/>
    <n v="0"/>
    <n v="0"/>
    <n v="0"/>
    <n v="0"/>
    <n v="0"/>
    <n v="0"/>
    <n v="0"/>
    <n v="0"/>
    <n v="0"/>
    <s v="MMR001CMP031"/>
    <x v="0"/>
    <x v="0"/>
    <s v="P4"/>
    <n v="2.6534156696256272E-4"/>
    <s v="No"/>
  </r>
  <r>
    <n v="49.633333333333333"/>
    <d v="2013-04-03T00:00:00"/>
    <x v="0"/>
    <s v="UNHCR"/>
    <s v="Kachin"/>
    <s v="Waingmaw"/>
    <s v="Waingmaw AG Church"/>
    <m/>
    <m/>
    <n v="4"/>
    <n v="7"/>
    <n v="3"/>
    <n v="7"/>
    <n v="3"/>
    <n v="3"/>
    <n v="3"/>
    <n v="3"/>
    <m/>
    <m/>
    <m/>
    <m/>
    <m/>
    <m/>
    <m/>
    <n v="0"/>
    <n v="0"/>
    <n v="0"/>
    <n v="0"/>
    <n v="0"/>
    <n v="0"/>
    <n v="0"/>
    <n v="0"/>
    <n v="0"/>
    <n v="0"/>
    <n v="0"/>
    <n v="0"/>
    <n v="0"/>
    <n v="0"/>
    <n v="0"/>
    <n v="0"/>
    <n v="0"/>
    <n v="0"/>
    <s v="MMR001CMP038"/>
    <x v="0"/>
    <x v="0"/>
    <s v="P4"/>
    <n v="7.3443008225616919E-5"/>
    <s v="No"/>
  </r>
  <r>
    <n v="48.5"/>
    <d v="2013-05-07T00:00:00"/>
    <x v="5"/>
    <s v="KMSS"/>
    <s v="Kachin"/>
    <s v="Myitkyina"/>
    <s v="Pa Dauk Myaing(Pa La Na)"/>
    <n v="149"/>
    <m/>
    <m/>
    <m/>
    <m/>
    <m/>
    <m/>
    <m/>
    <m/>
    <m/>
    <m/>
    <m/>
    <m/>
    <m/>
    <m/>
    <m/>
    <m/>
    <n v="0"/>
    <n v="0"/>
    <n v="0"/>
    <n v="0"/>
    <n v="0"/>
    <n v="0"/>
    <n v="0"/>
    <n v="0"/>
    <n v="0"/>
    <n v="0"/>
    <n v="0"/>
    <n v="0"/>
    <n v="0"/>
    <n v="0"/>
    <n v="0"/>
    <n v="0"/>
    <n v="0"/>
    <n v="0"/>
    <s v="MMR001CMP162"/>
    <x v="0"/>
    <x v="0"/>
    <s v="P4"/>
    <n v="0"/>
    <s v="No"/>
  </r>
  <r>
    <n v="48.466666666666669"/>
    <d v="2013-05-08T00:00:00"/>
    <x v="5"/>
    <s v="KMSS"/>
    <s v="Kachin"/>
    <s v="Waingmaw"/>
    <s v="Maina Catholic Church (St. Joseph)"/>
    <n v="1062"/>
    <m/>
    <m/>
    <m/>
    <m/>
    <m/>
    <m/>
    <m/>
    <m/>
    <m/>
    <m/>
    <m/>
    <m/>
    <m/>
    <m/>
    <m/>
    <m/>
    <n v="0"/>
    <n v="0"/>
    <n v="0"/>
    <n v="0"/>
    <n v="0"/>
    <n v="0"/>
    <n v="0"/>
    <n v="0"/>
    <n v="0"/>
    <n v="0"/>
    <n v="0"/>
    <n v="0"/>
    <n v="0"/>
    <n v="0"/>
    <n v="0"/>
    <n v="0"/>
    <n v="0"/>
    <n v="0"/>
    <s v="MMR001CMP029"/>
    <x v="0"/>
    <x v="0"/>
    <s v="P4"/>
    <n v="0"/>
    <s v="No"/>
  </r>
  <r>
    <n v="48.43333333333333"/>
    <d v="2013-05-09T00:00:00"/>
    <x v="5"/>
    <s v="KMSS"/>
    <s v="Kachin"/>
    <s v="Myitkyina"/>
    <s v="Jan Mai Kawng Catholic Church"/>
    <n v="460"/>
    <m/>
    <m/>
    <m/>
    <m/>
    <m/>
    <m/>
    <m/>
    <m/>
    <m/>
    <m/>
    <m/>
    <m/>
    <m/>
    <m/>
    <m/>
    <m/>
    <n v="0"/>
    <n v="0"/>
    <n v="0"/>
    <n v="0"/>
    <n v="0"/>
    <n v="0"/>
    <n v="0"/>
    <n v="0"/>
    <n v="0"/>
    <n v="0"/>
    <n v="0"/>
    <n v="0"/>
    <n v="0"/>
    <n v="0"/>
    <n v="0"/>
    <n v="0"/>
    <n v="0"/>
    <n v="0"/>
    <s v="MMR001CMP019"/>
    <x v="0"/>
    <x v="0"/>
    <s v="P4"/>
    <n v="0"/>
    <s v="No"/>
  </r>
  <r>
    <n v="48.43333333333333"/>
    <d v="2013-05-09T00:00:00"/>
    <x v="5"/>
    <s v="KMSS"/>
    <s v="Kachin"/>
    <s v="Myitkyina"/>
    <s v="Nan Kway St. John Catholic Church"/>
    <n v="324"/>
    <m/>
    <m/>
    <m/>
    <m/>
    <m/>
    <m/>
    <m/>
    <m/>
    <m/>
    <m/>
    <m/>
    <m/>
    <m/>
    <m/>
    <m/>
    <m/>
    <n v="0"/>
    <n v="0"/>
    <n v="0"/>
    <n v="0"/>
    <n v="0"/>
    <n v="0"/>
    <n v="0"/>
    <n v="0"/>
    <n v="0"/>
    <n v="0"/>
    <n v="0"/>
    <n v="0"/>
    <n v="0"/>
    <n v="0"/>
    <n v="0"/>
    <n v="0"/>
    <n v="0"/>
    <n v="0"/>
    <s v="MMR001CMP024"/>
    <x v="0"/>
    <x v="0"/>
    <s v="P4"/>
    <n v="0"/>
    <s v="No"/>
  </r>
  <r>
    <n v="48.366666666666667"/>
    <d v="2013-05-11T00:00:00"/>
    <x v="5"/>
    <s v="KMSS"/>
    <s v="Kachin"/>
    <s v="Waingmaw"/>
    <s v="Post 6 Camp"/>
    <n v="490"/>
    <m/>
    <m/>
    <m/>
    <m/>
    <m/>
    <m/>
    <m/>
    <m/>
    <m/>
    <m/>
    <m/>
    <m/>
    <m/>
    <m/>
    <m/>
    <m/>
    <n v="0"/>
    <n v="0"/>
    <n v="0"/>
    <n v="0"/>
    <n v="0"/>
    <n v="0"/>
    <n v="0"/>
    <n v="0"/>
    <n v="0"/>
    <n v="0"/>
    <n v="0"/>
    <n v="0"/>
    <n v="0"/>
    <n v="0"/>
    <n v="0"/>
    <n v="0"/>
    <n v="0"/>
    <n v="0"/>
    <s v="MMR001CMP160"/>
    <x v="0"/>
    <x v="0"/>
    <s v="P1"/>
    <n v="0"/>
    <s v="No"/>
  </r>
  <r>
    <n v="48.266666666666666"/>
    <d v="2013-05-14T00:00:00"/>
    <x v="5"/>
    <s v="KMSS"/>
    <s v="Kachin"/>
    <s v="Waingmaw"/>
    <s v="Border Post 8"/>
    <n v="604"/>
    <m/>
    <m/>
    <m/>
    <m/>
    <m/>
    <m/>
    <m/>
    <m/>
    <m/>
    <m/>
    <m/>
    <m/>
    <m/>
    <m/>
    <m/>
    <m/>
    <n v="0"/>
    <n v="0"/>
    <n v="0"/>
    <n v="0"/>
    <n v="0"/>
    <n v="0"/>
    <n v="0"/>
    <n v="0"/>
    <n v="0"/>
    <n v="0"/>
    <n v="0"/>
    <n v="0"/>
    <n v="0"/>
    <n v="0"/>
    <n v="0"/>
    <n v="0"/>
    <n v="0"/>
    <n v="0"/>
    <s v="MMR001CMP113"/>
    <x v="0"/>
    <x v="0"/>
    <s v="P1"/>
    <n v="0"/>
    <s v="No"/>
  </r>
  <r>
    <n v="48.2"/>
    <d v="2013-05-16T00:00:00"/>
    <x v="5"/>
    <s v="KMSS"/>
    <s v="Kachin"/>
    <s v="Hpakant"/>
    <s v="Nant Ma Hpit Catholic Church"/>
    <n v="423"/>
    <m/>
    <m/>
    <m/>
    <m/>
    <m/>
    <m/>
    <m/>
    <m/>
    <m/>
    <m/>
    <m/>
    <m/>
    <m/>
    <m/>
    <m/>
    <m/>
    <n v="0"/>
    <n v="0"/>
    <n v="0"/>
    <n v="0"/>
    <n v="0"/>
    <n v="0"/>
    <n v="0"/>
    <n v="0"/>
    <n v="0"/>
    <n v="0"/>
    <n v="0"/>
    <n v="0"/>
    <n v="0"/>
    <n v="0"/>
    <n v="0"/>
    <n v="0"/>
    <n v="0"/>
    <n v="0"/>
    <s v="MMR001CMP103"/>
    <x v="0"/>
    <x v="0"/>
    <s v="P4"/>
    <n v="0"/>
    <s v="No"/>
  </r>
  <r>
    <n v="48.2"/>
    <d v="2013-05-16T00:00:00"/>
    <x v="5"/>
    <s v="KMSS"/>
    <s v="Kachin"/>
    <s v="Hpakant"/>
    <s v="Lawng Hkang"/>
    <n v="394"/>
    <m/>
    <m/>
    <m/>
    <m/>
    <m/>
    <m/>
    <m/>
    <m/>
    <m/>
    <m/>
    <m/>
    <m/>
    <m/>
    <m/>
    <m/>
    <m/>
    <n v="0"/>
    <n v="0"/>
    <n v="0"/>
    <n v="0"/>
    <n v="0"/>
    <n v="0"/>
    <n v="0"/>
    <n v="0"/>
    <n v="0"/>
    <n v="0"/>
    <n v="0"/>
    <n v="0"/>
    <n v="0"/>
    <n v="0"/>
    <n v="0"/>
    <n v="0"/>
    <n v="0"/>
    <n v="0"/>
    <s v=""/>
    <x v="1"/>
    <x v="2"/>
    <s v=""/>
    <s v=""/>
    <s v="No"/>
  </r>
  <r>
    <n v="48.2"/>
    <d v="2013-05-16T00:00:00"/>
    <x v="5"/>
    <s v="KMSS"/>
    <s v="Kachin"/>
    <s v="Hpakant"/>
    <s v="Ward 2 Cahotlic Church, Seik Mu"/>
    <n v="103"/>
    <m/>
    <m/>
    <m/>
    <m/>
    <m/>
    <m/>
    <m/>
    <m/>
    <m/>
    <m/>
    <m/>
    <m/>
    <m/>
    <m/>
    <m/>
    <m/>
    <n v="0"/>
    <n v="0"/>
    <n v="0"/>
    <n v="0"/>
    <n v="0"/>
    <n v="0"/>
    <n v="0"/>
    <n v="0"/>
    <n v="0"/>
    <n v="0"/>
    <n v="0"/>
    <n v="0"/>
    <n v="0"/>
    <n v="0"/>
    <n v="0"/>
    <n v="0"/>
    <n v="0"/>
    <n v="0"/>
    <s v="MMR001CMP185"/>
    <x v="0"/>
    <x v="1"/>
    <s v=""/>
    <n v="0"/>
    <s v="No"/>
  </r>
  <r>
    <n v="48"/>
    <d v="2013-05-22T00:00:00"/>
    <x v="5"/>
    <s v="KMSS"/>
    <s v="Kachin"/>
    <s v="Chipwi"/>
    <s v="Chipwi KBC camp"/>
    <n v="510"/>
    <m/>
    <m/>
    <m/>
    <m/>
    <m/>
    <m/>
    <m/>
    <m/>
    <m/>
    <m/>
    <m/>
    <m/>
    <m/>
    <m/>
    <m/>
    <m/>
    <n v="0"/>
    <n v="0"/>
    <n v="0"/>
    <n v="0"/>
    <n v="0"/>
    <n v="0"/>
    <n v="0"/>
    <n v="0"/>
    <n v="0"/>
    <n v="0"/>
    <n v="0"/>
    <n v="0"/>
    <n v="0"/>
    <n v="0"/>
    <n v="0"/>
    <n v="0"/>
    <n v="0"/>
    <n v="0"/>
    <s v="MMR001CMP042"/>
    <x v="0"/>
    <x v="0"/>
    <s v="P1"/>
    <n v="0"/>
    <s v="No"/>
  </r>
  <r>
    <n v="48"/>
    <d v="2013-05-22T00:00:00"/>
    <x v="0"/>
    <s v="UNHCR"/>
    <s v="Kachin"/>
    <s v="Chipwi"/>
    <s v="Chipwi KBC camp"/>
    <m/>
    <m/>
    <n v="80"/>
    <n v="84"/>
    <n v="41"/>
    <n v="84"/>
    <n v="41"/>
    <n v="41"/>
    <n v="41"/>
    <n v="41"/>
    <m/>
    <m/>
    <m/>
    <m/>
    <m/>
    <m/>
    <m/>
    <n v="0"/>
    <n v="0"/>
    <n v="0"/>
    <n v="0"/>
    <n v="0"/>
    <n v="0"/>
    <n v="0"/>
    <n v="0"/>
    <n v="0"/>
    <n v="0"/>
    <n v="0"/>
    <n v="0"/>
    <n v="0"/>
    <n v="0"/>
    <n v="0"/>
    <n v="0"/>
    <n v="0"/>
    <n v="0"/>
    <s v="MMR001CMP042"/>
    <x v="0"/>
    <x v="0"/>
    <s v="P1"/>
    <n v="9.9408398797400837E-4"/>
    <s v="No"/>
  </r>
  <r>
    <n v="48"/>
    <d v="2013-05-22T00:00:00"/>
    <x v="5"/>
    <s v="KMSS"/>
    <s v="Kachin"/>
    <s v="Chipwi"/>
    <s v="Lhaovao Baptist Church (LBC)"/>
    <n v="35"/>
    <m/>
    <m/>
    <m/>
    <m/>
    <m/>
    <m/>
    <m/>
    <m/>
    <m/>
    <m/>
    <m/>
    <m/>
    <m/>
    <m/>
    <m/>
    <m/>
    <n v="0"/>
    <n v="0"/>
    <n v="0"/>
    <n v="0"/>
    <n v="0"/>
    <n v="0"/>
    <n v="0"/>
    <n v="0"/>
    <n v="0"/>
    <n v="0"/>
    <n v="0"/>
    <n v="0"/>
    <n v="0"/>
    <n v="0"/>
    <n v="0"/>
    <n v="0"/>
    <n v="0"/>
    <n v="0"/>
    <s v="MMR001CMP195"/>
    <x v="0"/>
    <x v="0"/>
    <s v="P1"/>
    <n v="0"/>
    <s v="No"/>
  </r>
  <r>
    <n v="48"/>
    <d v="2013-05-22T00:00:00"/>
    <x v="0"/>
    <s v="UNHCR"/>
    <s v="Kachin"/>
    <s v="Hpakant"/>
    <s v="Nam Ma Phyit, COC"/>
    <m/>
    <m/>
    <n v="34"/>
    <n v="61"/>
    <n v="30"/>
    <n v="61"/>
    <n v="30"/>
    <n v="30"/>
    <n v="30"/>
    <n v="30"/>
    <m/>
    <m/>
    <m/>
    <m/>
    <m/>
    <m/>
    <m/>
    <n v="0"/>
    <n v="0"/>
    <n v="0"/>
    <n v="0"/>
    <n v="0"/>
    <n v="0"/>
    <n v="0"/>
    <n v="0"/>
    <n v="0"/>
    <n v="0"/>
    <n v="0"/>
    <n v="0"/>
    <n v="0"/>
    <n v="0"/>
    <n v="0"/>
    <n v="0"/>
    <n v="0"/>
    <n v="0"/>
    <s v="MMR001CMP192"/>
    <x v="0"/>
    <x v="0"/>
    <s v="P4"/>
    <n v="7.2683222289521504E-4"/>
    <s v="No"/>
  </r>
  <r>
    <n v="48"/>
    <d v="2013-05-22T00:00:00"/>
    <x v="0"/>
    <s v="UNHCR"/>
    <s v="Kachin"/>
    <s v="Waingmaw"/>
    <s v="Qtr. 2 Lhaovo Baptist Church"/>
    <m/>
    <m/>
    <n v="18"/>
    <n v="20"/>
    <n v="14"/>
    <n v="20"/>
    <n v="10"/>
    <n v="10"/>
    <n v="10"/>
    <n v="10"/>
    <m/>
    <m/>
    <m/>
    <m/>
    <m/>
    <m/>
    <m/>
    <n v="0"/>
    <n v="0"/>
    <n v="0"/>
    <n v="0"/>
    <n v="0"/>
    <n v="0"/>
    <n v="0"/>
    <n v="0"/>
    <n v="0"/>
    <n v="0"/>
    <n v="0"/>
    <n v="0"/>
    <n v="0"/>
    <n v="0"/>
    <n v="0"/>
    <n v="0"/>
    <n v="0"/>
    <n v="0"/>
    <s v="MMR001CMP032"/>
    <x v="0"/>
    <x v="0"/>
    <s v="P4"/>
    <n v="2.4554941682013506E-4"/>
    <s v="No"/>
  </r>
  <r>
    <n v="48"/>
    <d v="2013-05-22T00:00:00"/>
    <x v="0"/>
    <s v="UNHCR"/>
    <s v="Kachin"/>
    <s v="Hpakant"/>
    <s v="Yumar Baptist Church"/>
    <m/>
    <m/>
    <n v="42"/>
    <n v="66"/>
    <n v="28"/>
    <n v="66"/>
    <n v="28"/>
    <n v="28"/>
    <n v="28"/>
    <n v="28"/>
    <m/>
    <m/>
    <m/>
    <m/>
    <m/>
    <m/>
    <m/>
    <n v="0"/>
    <n v="0"/>
    <n v="0"/>
    <n v="0"/>
    <n v="0"/>
    <n v="0"/>
    <n v="0"/>
    <n v="0"/>
    <n v="0"/>
    <n v="0"/>
    <n v="0"/>
    <n v="0"/>
    <n v="0"/>
    <n v="0"/>
    <n v="0"/>
    <n v="0"/>
    <n v="0"/>
    <n v="0"/>
    <s v="MMR001CMP105"/>
    <x v="0"/>
    <x v="0"/>
    <s v="P4"/>
    <n v="6.8090073440007777E-4"/>
    <s v="No"/>
  </r>
  <r>
    <n v="48"/>
    <d v="2013-05-22T00:00:00"/>
    <x v="0"/>
    <s v="UNHCR"/>
    <s v="Kachin"/>
    <s v="Hpakant"/>
    <s v="Mashi Kahtawng Baptist  Church"/>
    <m/>
    <m/>
    <n v="48"/>
    <n v="74"/>
    <n v="31"/>
    <n v="74"/>
    <n v="31"/>
    <n v="31"/>
    <n v="31"/>
    <n v="31"/>
    <m/>
    <m/>
    <m/>
    <m/>
    <m/>
    <m/>
    <m/>
    <n v="0"/>
    <n v="0"/>
    <n v="0"/>
    <n v="0"/>
    <n v="0"/>
    <n v="0"/>
    <n v="0"/>
    <n v="0"/>
    <n v="0"/>
    <n v="0"/>
    <n v="0"/>
    <n v="0"/>
    <n v="0"/>
    <n v="0"/>
    <n v="0"/>
    <n v="0"/>
    <n v="0"/>
    <n v="0"/>
    <s v="MMR001CMP094"/>
    <x v="0"/>
    <x v="1"/>
    <s v=""/>
    <s v=""/>
    <s v="No"/>
  </r>
  <r>
    <n v="48"/>
    <d v="2013-05-22T00:00:00"/>
    <x v="0"/>
    <s v="UNHCR"/>
    <s v="Kachin"/>
    <s v="Hpakant"/>
    <s v="Nga Pyaw Taw Baptist Nursery School "/>
    <m/>
    <m/>
    <n v="273"/>
    <n v="339"/>
    <n v="151"/>
    <n v="339"/>
    <n v="151"/>
    <n v="151"/>
    <n v="151"/>
    <n v="151"/>
    <m/>
    <m/>
    <m/>
    <m/>
    <m/>
    <m/>
    <m/>
    <n v="0"/>
    <n v="0"/>
    <n v="0"/>
    <n v="0"/>
    <n v="0"/>
    <n v="0"/>
    <n v="0"/>
    <n v="0"/>
    <n v="0"/>
    <n v="0"/>
    <n v="0"/>
    <n v="0"/>
    <n v="0"/>
    <n v="0"/>
    <n v="0"/>
    <n v="0"/>
    <n v="0"/>
    <n v="0"/>
    <s v="MMR001CMP082"/>
    <x v="0"/>
    <x v="1"/>
    <s v=""/>
    <n v="3.6720003890861339E-3"/>
    <s v="No"/>
  </r>
  <r>
    <n v="47.266666666666666"/>
    <d v="2013-06-13T00:00:00"/>
    <x v="0"/>
    <s v="UNHCR"/>
    <s v="Kachin"/>
    <s v="Momauk"/>
    <s v="Loi Je Baptist Church"/>
    <m/>
    <m/>
    <n v="152"/>
    <n v="11"/>
    <n v="4"/>
    <n v="11"/>
    <n v="4"/>
    <n v="4"/>
    <n v="4"/>
    <n v="4"/>
    <m/>
    <m/>
    <m/>
    <m/>
    <m/>
    <m/>
    <m/>
    <n v="0"/>
    <n v="0"/>
    <n v="0"/>
    <n v="0"/>
    <n v="0"/>
    <n v="0"/>
    <n v="0"/>
    <n v="0"/>
    <n v="0"/>
    <n v="0"/>
    <n v="0"/>
    <n v="0"/>
    <n v="0"/>
    <n v="0"/>
    <n v="0"/>
    <n v="0"/>
    <n v="0"/>
    <n v="0"/>
    <s v="MMR001CMP071"/>
    <x v="0"/>
    <x v="0"/>
    <s v="P3"/>
    <n v="9.7489641725566662E-5"/>
    <s v="No"/>
  </r>
  <r>
    <n v="47.266666666666666"/>
    <d v="2013-06-13T00:00:00"/>
    <x v="0"/>
    <s v="UNHCR"/>
    <s v="Kachin"/>
    <s v="Momauk"/>
    <s v="Loi Je Catholic Church"/>
    <m/>
    <m/>
    <n v="425"/>
    <n v="30"/>
    <n v="11"/>
    <n v="30"/>
    <n v="11"/>
    <n v="11"/>
    <n v="11"/>
    <n v="11"/>
    <m/>
    <m/>
    <m/>
    <m/>
    <m/>
    <m/>
    <m/>
    <n v="0"/>
    <n v="0"/>
    <n v="0"/>
    <n v="0"/>
    <n v="0"/>
    <n v="0"/>
    <n v="0"/>
    <n v="0"/>
    <n v="0"/>
    <n v="0"/>
    <n v="0"/>
    <n v="0"/>
    <n v="0"/>
    <n v="0"/>
    <n v="0"/>
    <n v="0"/>
    <n v="0"/>
    <n v="0"/>
    <s v="MMR001CMP069"/>
    <x v="0"/>
    <x v="0"/>
    <s v="P3"/>
    <n v="2.6929103016059538E-4"/>
    <s v="No"/>
  </r>
  <r>
    <n v="47.266666666666666"/>
    <d v="2013-06-13T00:00:00"/>
    <x v="0"/>
    <s v="UNHCR"/>
    <s v="Kachin"/>
    <s v="Momauk"/>
    <s v="Loi Je Lisu Camp"/>
    <m/>
    <m/>
    <n v="941"/>
    <n v="67"/>
    <n v="24"/>
    <n v="67"/>
    <n v="24"/>
    <n v="24"/>
    <n v="24"/>
    <n v="24"/>
    <m/>
    <m/>
    <m/>
    <m/>
    <m/>
    <m/>
    <m/>
    <n v="0"/>
    <n v="0"/>
    <n v="0"/>
    <n v="0"/>
    <n v="0"/>
    <n v="0"/>
    <n v="0"/>
    <n v="0"/>
    <n v="0"/>
    <n v="0"/>
    <n v="0"/>
    <n v="0"/>
    <n v="0"/>
    <n v="0"/>
    <n v="0"/>
    <n v="0"/>
    <n v="0"/>
    <n v="0"/>
    <s v="MMR001CMP070"/>
    <x v="0"/>
    <x v="0"/>
    <s v="P3"/>
    <n v="5.8536585365853656E-4"/>
    <s v="No"/>
  </r>
  <r>
    <n v="47.233333333333334"/>
    <d v="2013-06-14T00:00:00"/>
    <x v="0"/>
    <s v="UNHCR"/>
    <s v="Kachin"/>
    <s v="Momauk"/>
    <s v="Pa Kahtawng "/>
    <m/>
    <m/>
    <n v="42"/>
    <n v="42"/>
    <n v="21"/>
    <n v="42"/>
    <n v="21"/>
    <n v="21"/>
    <n v="21"/>
    <n v="21"/>
    <m/>
    <m/>
    <m/>
    <m/>
    <m/>
    <m/>
    <m/>
    <n v="0"/>
    <n v="0"/>
    <n v="0"/>
    <n v="0"/>
    <n v="0"/>
    <n v="0"/>
    <n v="0"/>
    <n v="0"/>
    <n v="0"/>
    <n v="0"/>
    <n v="0"/>
    <n v="0"/>
    <n v="0"/>
    <n v="0"/>
    <n v="0"/>
    <n v="0"/>
    <n v="0"/>
    <n v="0"/>
    <s v="MMR001CMP126"/>
    <x v="0"/>
    <x v="0"/>
    <s v="P2"/>
    <n v="5.1219512195121953E-4"/>
    <s v="No"/>
  </r>
  <r>
    <n v="46.8"/>
    <d v="2013-06-27T00:00:00"/>
    <x v="0"/>
    <m/>
    <s v="Kachin"/>
    <s v="Mansi"/>
    <s v="Maing Khaung"/>
    <m/>
    <m/>
    <m/>
    <n v="54"/>
    <n v="18"/>
    <n v="45"/>
    <n v="18"/>
    <m/>
    <n v="18"/>
    <n v="50"/>
    <m/>
    <m/>
    <m/>
    <m/>
    <m/>
    <m/>
    <m/>
    <n v="0"/>
    <n v="0"/>
    <n v="0"/>
    <n v="0"/>
    <n v="0"/>
    <n v="0"/>
    <n v="0"/>
    <n v="0"/>
    <n v="0"/>
    <n v="0"/>
    <n v="0"/>
    <n v="0"/>
    <n v="0"/>
    <n v="0"/>
    <n v="0"/>
    <n v="0"/>
    <n v="0"/>
    <n v="0"/>
    <s v="MMR001CMP218"/>
    <x v="0"/>
    <x v="0"/>
    <s v="P4"/>
    <n v="4.332338500048137E-4"/>
    <m/>
  </r>
  <r>
    <n v="46.766666666666666"/>
    <d v="2013-06-28T00:00:00"/>
    <x v="0"/>
    <m/>
    <s v="Kachin"/>
    <s v="Mansi"/>
    <s v="Maing Khaung"/>
    <m/>
    <m/>
    <m/>
    <n v="10"/>
    <n v="3"/>
    <n v="10"/>
    <n v="3"/>
    <m/>
    <n v="3"/>
    <n v="10"/>
    <m/>
    <m/>
    <m/>
    <m/>
    <m/>
    <m/>
    <m/>
    <n v="0"/>
    <n v="0"/>
    <n v="0"/>
    <n v="0"/>
    <n v="0"/>
    <n v="0"/>
    <n v="0"/>
    <n v="0"/>
    <n v="0"/>
    <n v="0"/>
    <n v="0"/>
    <n v="0"/>
    <n v="0"/>
    <n v="0"/>
    <n v="0"/>
    <n v="0"/>
    <n v="0"/>
    <n v="0"/>
    <s v="MMR001CMP218"/>
    <x v="0"/>
    <x v="0"/>
    <s v="P4"/>
    <n v="7.2205641667468946E-5"/>
    <m/>
  </r>
  <r>
    <n v="46.733333333333334"/>
    <d v="2013-06-29T00:00:00"/>
    <x v="0"/>
    <m/>
    <s v="Kachin"/>
    <s v="Mansi"/>
    <s v="Maing Khaung"/>
    <m/>
    <m/>
    <m/>
    <m/>
    <n v="19"/>
    <m/>
    <n v="19"/>
    <m/>
    <m/>
    <n v="100"/>
    <m/>
    <m/>
    <m/>
    <m/>
    <m/>
    <m/>
    <m/>
    <n v="0"/>
    <n v="0"/>
    <n v="0"/>
    <n v="0"/>
    <n v="0"/>
    <n v="0"/>
    <n v="0"/>
    <n v="0"/>
    <n v="0"/>
    <n v="0"/>
    <n v="0"/>
    <n v="0"/>
    <n v="0"/>
    <n v="0"/>
    <n v="0"/>
    <n v="0"/>
    <n v="0"/>
    <n v="0"/>
    <s v="MMR001CMP218"/>
    <x v="0"/>
    <x v="0"/>
    <s v="P4"/>
    <n v="4.5730239722730338E-4"/>
    <m/>
  </r>
  <r>
    <n v="46.7"/>
    <d v="2013-06-30T00:00:00"/>
    <x v="0"/>
    <m/>
    <s v="Kachin"/>
    <s v="Mansi"/>
    <s v="Maing Khaung"/>
    <m/>
    <m/>
    <m/>
    <m/>
    <m/>
    <n v="9"/>
    <m/>
    <m/>
    <n v="19"/>
    <n v="1"/>
    <m/>
    <m/>
    <m/>
    <m/>
    <m/>
    <m/>
    <m/>
    <n v="0"/>
    <n v="0"/>
    <n v="0"/>
    <n v="0"/>
    <n v="0"/>
    <n v="0"/>
    <n v="0"/>
    <n v="0"/>
    <n v="0"/>
    <n v="0"/>
    <n v="0"/>
    <n v="0"/>
    <n v="0"/>
    <n v="0"/>
    <n v="0"/>
    <n v="0"/>
    <n v="0"/>
    <n v="0"/>
    <s v="MMR001CMP218"/>
    <x v="0"/>
    <x v="0"/>
    <s v="P4"/>
    <n v="0"/>
    <m/>
  </r>
  <r>
    <n v="46.7"/>
    <d v="2013-06-30T00:00:00"/>
    <x v="0"/>
    <m/>
    <s v="Kachin"/>
    <s v="Mansi"/>
    <s v="Maing Khaung Catholic Church"/>
    <m/>
    <m/>
    <m/>
    <n v="50"/>
    <n v="15"/>
    <m/>
    <n v="15"/>
    <m/>
    <n v="15"/>
    <n v="60"/>
    <m/>
    <m/>
    <m/>
    <m/>
    <m/>
    <m/>
    <m/>
    <n v="0"/>
    <n v="0"/>
    <n v="0"/>
    <n v="0"/>
    <n v="0"/>
    <n v="0"/>
    <n v="0"/>
    <n v="0"/>
    <n v="0"/>
    <n v="0"/>
    <n v="0"/>
    <n v="0"/>
    <n v="0"/>
    <n v="0"/>
    <n v="0"/>
    <n v="0"/>
    <n v="0"/>
    <n v="0"/>
    <s v="MMR001CMP223"/>
    <x v="0"/>
    <x v="0"/>
    <s v="P4"/>
    <n v="3.6102820833734477E-4"/>
    <m/>
  </r>
  <r>
    <n v="46.166666666666664"/>
    <d v="2013-07-16T00:00:00"/>
    <x v="0"/>
    <s v="Shalom"/>
    <s v="Kachin"/>
    <s v="Myitkyina"/>
    <s v="Tat Kone COC Baptist - Tat Kone Htoi San"/>
    <m/>
    <m/>
    <n v="55"/>
    <n v="74"/>
    <n v="31"/>
    <n v="74"/>
    <n v="31"/>
    <n v="31"/>
    <n v="31"/>
    <n v="31"/>
    <m/>
    <m/>
    <m/>
    <m/>
    <m/>
    <m/>
    <m/>
    <n v="0"/>
    <n v="0"/>
    <n v="0"/>
    <n v="0"/>
    <n v="0"/>
    <n v="0"/>
    <n v="0"/>
    <n v="0"/>
    <n v="0"/>
    <n v="0"/>
    <n v="0"/>
    <n v="0"/>
    <n v="0"/>
    <n v="0"/>
    <n v="0"/>
    <n v="0"/>
    <n v="0"/>
    <n v="0"/>
    <s v="MMR001CMP023"/>
    <x v="0"/>
    <x v="0"/>
    <s v="P4"/>
    <n v="7.5609756097560978E-4"/>
    <s v="No"/>
  </r>
  <r>
    <n v="45.9"/>
    <d v="2013-07-24T00:00:00"/>
    <x v="0"/>
    <s v="KBC"/>
    <s v="Kachin"/>
    <s v="Myitkyina"/>
    <s v="Le Kone Bethlehem Church"/>
    <m/>
    <m/>
    <n v="66"/>
    <n v="98"/>
    <n v="45"/>
    <n v="98"/>
    <n v="45"/>
    <n v="45"/>
    <n v="45"/>
    <n v="45"/>
    <m/>
    <m/>
    <m/>
    <m/>
    <m/>
    <m/>
    <m/>
    <n v="0"/>
    <n v="0"/>
    <n v="0"/>
    <n v="0"/>
    <n v="0"/>
    <n v="0"/>
    <n v="0"/>
    <n v="0"/>
    <n v="0"/>
    <n v="0"/>
    <n v="0"/>
    <n v="0"/>
    <n v="0"/>
    <n v="0"/>
    <n v="0"/>
    <n v="0"/>
    <n v="0"/>
    <n v="0"/>
    <s v="MMR001CMP015"/>
    <x v="0"/>
    <x v="0"/>
    <s v="P4"/>
    <n v="1.1082924907026574E-3"/>
    <s v="No"/>
  </r>
  <r>
    <n v="45.9"/>
    <d v="2013-07-24T00:00:00"/>
    <x v="0"/>
    <s v="KBC"/>
    <s v="Kachin"/>
    <s v="Myitkyina"/>
    <s v="Le Kone Ziun Baptist Church "/>
    <m/>
    <m/>
    <n v="100"/>
    <n v="158"/>
    <n v="65"/>
    <n v="158"/>
    <n v="65"/>
    <n v="65"/>
    <n v="65"/>
    <n v="65"/>
    <m/>
    <m/>
    <m/>
    <m/>
    <m/>
    <m/>
    <m/>
    <n v="0"/>
    <n v="0"/>
    <n v="0"/>
    <n v="0"/>
    <n v="0"/>
    <n v="0"/>
    <n v="0"/>
    <n v="0"/>
    <n v="0"/>
    <n v="0"/>
    <n v="0"/>
    <n v="0"/>
    <n v="0"/>
    <n v="0"/>
    <n v="0"/>
    <n v="0"/>
    <n v="0"/>
    <n v="0"/>
    <s v="MMR001CMP014"/>
    <x v="0"/>
    <x v="0"/>
    <s v="P4"/>
    <n v="1.5972478191424008E-3"/>
    <s v="No"/>
  </r>
  <r>
    <n v="45.9"/>
    <d v="2013-07-24T00:00:00"/>
    <x v="0"/>
    <s v="Shalom"/>
    <s v="Kachin"/>
    <s v="Waingmaw"/>
    <s v="Maina AG Church"/>
    <m/>
    <m/>
    <n v="10"/>
    <n v="14"/>
    <n v="7"/>
    <n v="14"/>
    <n v="7"/>
    <n v="7"/>
    <n v="7"/>
    <n v="7"/>
    <m/>
    <m/>
    <m/>
    <m/>
    <m/>
    <m/>
    <m/>
    <n v="0"/>
    <n v="0"/>
    <n v="0"/>
    <n v="0"/>
    <n v="0"/>
    <n v="0"/>
    <n v="0"/>
    <n v="0"/>
    <n v="0"/>
    <n v="0"/>
    <n v="0"/>
    <n v="0"/>
    <n v="0"/>
    <n v="0"/>
    <n v="0"/>
    <n v="0"/>
    <n v="0"/>
    <n v="0"/>
    <s v="MMR001CMP031"/>
    <x v="0"/>
    <x v="0"/>
    <s v="P4"/>
    <n v="1.6885372443072174E-4"/>
    <s v="No"/>
  </r>
  <r>
    <n v="45.9"/>
    <d v="2013-07-24T00:00:00"/>
    <x v="0"/>
    <s v="KMSS"/>
    <s v="Kachin"/>
    <s v="Waingmaw"/>
    <s v="Maina Catholic Church (St. Joseph)"/>
    <m/>
    <m/>
    <n v="40"/>
    <n v="49"/>
    <n v="23"/>
    <n v="49"/>
    <n v="23"/>
    <n v="23"/>
    <n v="23"/>
    <n v="23"/>
    <m/>
    <m/>
    <m/>
    <m/>
    <m/>
    <m/>
    <m/>
    <n v="0"/>
    <n v="0"/>
    <n v="0"/>
    <n v="0"/>
    <n v="0"/>
    <n v="0"/>
    <n v="0"/>
    <n v="0"/>
    <n v="0"/>
    <n v="0"/>
    <n v="0"/>
    <n v="0"/>
    <n v="0"/>
    <n v="0"/>
    <n v="0"/>
    <n v="0"/>
    <n v="0"/>
    <n v="0"/>
    <s v="MMR001CMP029"/>
    <x v="0"/>
    <x v="0"/>
    <s v="P4"/>
    <n v="5.5520687490947715E-4"/>
    <s v="No"/>
  </r>
  <r>
    <n v="45.9"/>
    <d v="2013-07-24T00:00:00"/>
    <x v="0"/>
    <s v="KMSS"/>
    <s v="Kachin"/>
    <s v="Myitkyina"/>
    <s v="Nan Kway St. John Catholic Church"/>
    <m/>
    <m/>
    <n v="21"/>
    <n v="30"/>
    <n v="15"/>
    <n v="30"/>
    <n v="15"/>
    <n v="15"/>
    <n v="15"/>
    <n v="15"/>
    <m/>
    <m/>
    <m/>
    <m/>
    <m/>
    <m/>
    <m/>
    <n v="0"/>
    <n v="0"/>
    <n v="0"/>
    <n v="0"/>
    <n v="0"/>
    <n v="0"/>
    <n v="0"/>
    <n v="0"/>
    <n v="0"/>
    <n v="0"/>
    <n v="0"/>
    <n v="0"/>
    <n v="0"/>
    <n v="0"/>
    <n v="0"/>
    <n v="0"/>
    <n v="0"/>
    <n v="0"/>
    <s v="MMR001CMP024"/>
    <x v="0"/>
    <x v="0"/>
    <s v="P4"/>
    <n v="3.6666748148329219E-4"/>
    <s v="No"/>
  </r>
  <r>
    <n v="45.9"/>
    <d v="2013-07-24T00:00:00"/>
    <x v="0"/>
    <s v="KMSS"/>
    <s v="Kachin"/>
    <s v="Hpakant"/>
    <s v="Nant Ma Hpit Catholic Church"/>
    <m/>
    <m/>
    <n v="15"/>
    <n v="25"/>
    <n v="10"/>
    <n v="25"/>
    <n v="10"/>
    <n v="10"/>
    <n v="10"/>
    <n v="10"/>
    <m/>
    <m/>
    <m/>
    <m/>
    <m/>
    <m/>
    <m/>
    <n v="0"/>
    <n v="0"/>
    <n v="0"/>
    <n v="0"/>
    <n v="0"/>
    <n v="0"/>
    <n v="0"/>
    <n v="0"/>
    <n v="0"/>
    <n v="0"/>
    <n v="0"/>
    <n v="0"/>
    <n v="0"/>
    <n v="0"/>
    <n v="0"/>
    <n v="0"/>
    <n v="0"/>
    <n v="0"/>
    <s v="MMR001CMP103"/>
    <x v="0"/>
    <x v="0"/>
    <s v="P4"/>
    <n v="2.4103936172777015E-4"/>
    <s v="No"/>
  </r>
  <r>
    <n v="45.9"/>
    <d v="2013-07-24T00:00:00"/>
    <x v="0"/>
    <s v="KMSS"/>
    <s v="Kachin"/>
    <s v="Myitkyina"/>
    <s v="Pa Dauk Myaing(Pa La Na)"/>
    <m/>
    <m/>
    <n v="31"/>
    <n v="41"/>
    <n v="17"/>
    <n v="41"/>
    <n v="17"/>
    <n v="17"/>
    <n v="17"/>
    <n v="17"/>
    <m/>
    <m/>
    <m/>
    <m/>
    <m/>
    <m/>
    <m/>
    <n v="0"/>
    <n v="0"/>
    <n v="0"/>
    <n v="0"/>
    <n v="0"/>
    <n v="0"/>
    <n v="0"/>
    <n v="0"/>
    <n v="0"/>
    <n v="0"/>
    <n v="0"/>
    <n v="0"/>
    <n v="0"/>
    <n v="0"/>
    <n v="0"/>
    <n v="0"/>
    <n v="0"/>
    <n v="0"/>
    <s v="MMR001CMP162"/>
    <x v="0"/>
    <x v="0"/>
    <s v="P4"/>
    <n v="4.1218116574532053E-4"/>
    <s v="No"/>
  </r>
  <r>
    <n v="45.9"/>
    <d v="2013-07-24T00:00:00"/>
    <x v="0"/>
    <s v="KBC"/>
    <s v="Kachin"/>
    <s v="Waingmaw"/>
    <s v="Qtr. 2 Myoma Baptist Church"/>
    <m/>
    <m/>
    <n v="31"/>
    <n v="44"/>
    <n v="18"/>
    <n v="44"/>
    <n v="18"/>
    <n v="18"/>
    <n v="18"/>
    <n v="18"/>
    <m/>
    <m/>
    <m/>
    <m/>
    <m/>
    <m/>
    <m/>
    <n v="0"/>
    <n v="0"/>
    <n v="0"/>
    <n v="0"/>
    <n v="0"/>
    <n v="0"/>
    <n v="0"/>
    <n v="0"/>
    <n v="0"/>
    <n v="0"/>
    <n v="0"/>
    <n v="0"/>
    <n v="0"/>
    <n v="0"/>
    <n v="0"/>
    <n v="0"/>
    <n v="0"/>
    <n v="0"/>
    <s v="MMR001CMP025"/>
    <x v="0"/>
    <x v="0"/>
    <s v="P4"/>
    <n v="4.4231478068558792E-4"/>
    <s v="No"/>
  </r>
  <r>
    <n v="45.9"/>
    <d v="2013-07-24T00:00:00"/>
    <x v="0"/>
    <s v="Shalom"/>
    <s v="Kachin"/>
    <s v="Waingmaw"/>
    <s v="Qtr. 4 Monestry (Thargaya Thayett Taw)"/>
    <m/>
    <m/>
    <n v="41"/>
    <n v="73"/>
    <n v="31"/>
    <n v="73"/>
    <n v="31"/>
    <n v="31"/>
    <n v="31"/>
    <n v="31"/>
    <m/>
    <m/>
    <m/>
    <m/>
    <m/>
    <m/>
    <m/>
    <n v="0"/>
    <n v="0"/>
    <n v="0"/>
    <n v="0"/>
    <n v="0"/>
    <n v="0"/>
    <n v="0"/>
    <n v="0"/>
    <n v="0"/>
    <n v="0"/>
    <n v="0"/>
    <n v="0"/>
    <n v="0"/>
    <n v="0"/>
    <n v="0"/>
    <n v="0"/>
    <n v="0"/>
    <n v="0"/>
    <s v="MMR001CMP026"/>
    <x v="0"/>
    <x v="0"/>
    <s v="P4"/>
    <n v="7.572056668295066E-4"/>
    <s v="No"/>
  </r>
  <r>
    <n v="45.9"/>
    <d v="2013-07-24T00:00:00"/>
    <x v="0"/>
    <s v="KBC"/>
    <s v="Kachin"/>
    <s v="Myitkyina"/>
    <s v="Shatapru Sut Ngai Tawng"/>
    <m/>
    <m/>
    <n v="21"/>
    <n v="36"/>
    <n v="16"/>
    <n v="36"/>
    <n v="16"/>
    <n v="16"/>
    <n v="16"/>
    <n v="16"/>
    <m/>
    <m/>
    <m/>
    <m/>
    <m/>
    <m/>
    <m/>
    <n v="0"/>
    <n v="0"/>
    <n v="0"/>
    <n v="0"/>
    <n v="0"/>
    <n v="0"/>
    <n v="0"/>
    <n v="0"/>
    <n v="0"/>
    <n v="0"/>
    <n v="0"/>
    <n v="0"/>
    <n v="0"/>
    <n v="0"/>
    <n v="0"/>
    <n v="0"/>
    <n v="0"/>
    <n v="0"/>
    <s v="MMR001CMP006"/>
    <x v="0"/>
    <x v="0"/>
    <s v="P4"/>
    <n v="3.92580233585239E-4"/>
    <s v="No"/>
  </r>
  <r>
    <n v="45.9"/>
    <d v="2013-07-24T00:00:00"/>
    <x v="0"/>
    <s v="KBC"/>
    <s v="Kachin"/>
    <s v="Myitkyina"/>
    <s v="Tat Kone COC Baptist - Tat Kone Htoi San"/>
    <m/>
    <m/>
    <n v="34"/>
    <n v="46"/>
    <n v="22"/>
    <n v="46"/>
    <n v="22"/>
    <n v="22"/>
    <n v="22"/>
    <n v="22"/>
    <m/>
    <m/>
    <m/>
    <m/>
    <m/>
    <m/>
    <m/>
    <n v="0"/>
    <n v="0"/>
    <n v="0"/>
    <n v="0"/>
    <n v="0"/>
    <n v="0"/>
    <n v="0"/>
    <n v="0"/>
    <n v="0"/>
    <n v="0"/>
    <n v="0"/>
    <n v="0"/>
    <n v="0"/>
    <n v="0"/>
    <n v="0"/>
    <n v="0"/>
    <n v="0"/>
    <n v="0"/>
    <s v="MMR001CMP023"/>
    <x v="0"/>
    <x v="0"/>
    <s v="P4"/>
    <n v="5.3658536585365858E-4"/>
    <s v="No"/>
  </r>
  <r>
    <n v="45.9"/>
    <d v="2013-07-24T00:00:00"/>
    <x v="0"/>
    <s v="Shalom"/>
    <s v="Kachin"/>
    <s v="Waingmaw"/>
    <s v="Waingmaw AG Church"/>
    <m/>
    <m/>
    <n v="22"/>
    <n v="32"/>
    <n v="15"/>
    <n v="32"/>
    <n v="15"/>
    <n v="15"/>
    <n v="15"/>
    <n v="15"/>
    <m/>
    <m/>
    <m/>
    <m/>
    <m/>
    <m/>
    <m/>
    <n v="0"/>
    <n v="0"/>
    <n v="0"/>
    <n v="0"/>
    <n v="0"/>
    <n v="0"/>
    <n v="0"/>
    <n v="0"/>
    <n v="0"/>
    <n v="0"/>
    <n v="0"/>
    <n v="0"/>
    <n v="0"/>
    <n v="0"/>
    <n v="0"/>
    <n v="0"/>
    <n v="0"/>
    <n v="0"/>
    <s v="MMR001CMP038"/>
    <x v="0"/>
    <x v="0"/>
    <s v="P4"/>
    <n v="3.6721504112808461E-4"/>
    <s v="No"/>
  </r>
  <r>
    <n v="45.43333333333333"/>
    <d v="2013-08-07T00:00:00"/>
    <x v="0"/>
    <s v="UNHCR"/>
    <s v="Kachin"/>
    <s v="Waingmaw"/>
    <s v="Mading Baptist Church"/>
    <m/>
    <m/>
    <n v="15"/>
    <n v="57"/>
    <n v="24"/>
    <n v="57"/>
    <n v="24"/>
    <n v="24"/>
    <n v="24"/>
    <n v="24"/>
    <m/>
    <m/>
    <m/>
    <m/>
    <m/>
    <m/>
    <m/>
    <n v="0"/>
    <n v="0"/>
    <n v="0"/>
    <n v="0"/>
    <n v="0"/>
    <n v="0"/>
    <n v="0"/>
    <n v="0"/>
    <n v="0"/>
    <n v="0"/>
    <n v="0"/>
    <n v="0"/>
    <n v="0"/>
    <n v="0"/>
    <n v="0"/>
    <n v="0"/>
    <n v="0"/>
    <n v="0"/>
    <s v="MMR001CMP027"/>
    <x v="0"/>
    <x v="0"/>
    <s v="P4"/>
    <n v="5.849378503534E-4"/>
    <s v="No"/>
  </r>
  <r>
    <n v="45.43333333333333"/>
    <d v="2013-08-07T00:00:00"/>
    <x v="0"/>
    <s v="UNHCR"/>
    <s v="Kachin"/>
    <s v="Waingmaw"/>
    <s v="Maina AG Church"/>
    <m/>
    <m/>
    <n v="20"/>
    <n v="40"/>
    <n v="17"/>
    <n v="40"/>
    <n v="17"/>
    <n v="17"/>
    <n v="17"/>
    <n v="17"/>
    <m/>
    <m/>
    <m/>
    <m/>
    <m/>
    <m/>
    <m/>
    <n v="0"/>
    <n v="0"/>
    <n v="0"/>
    <n v="0"/>
    <n v="0"/>
    <n v="0"/>
    <n v="0"/>
    <n v="0"/>
    <n v="0"/>
    <n v="0"/>
    <n v="0"/>
    <n v="0"/>
    <n v="0"/>
    <n v="0"/>
    <n v="0"/>
    <n v="0"/>
    <n v="0"/>
    <n v="0"/>
    <s v="MMR001CMP031"/>
    <x v="0"/>
    <x v="0"/>
    <s v="P4"/>
    <n v="4.1007333076032419E-4"/>
    <s v="No"/>
  </r>
  <r>
    <n v="45.43333333333333"/>
    <d v="2013-08-07T00:00:00"/>
    <x v="0"/>
    <s v="UNHCR"/>
    <s v="Kachin"/>
    <s v="Myitkyina"/>
    <s v="Maliyang Baptist Church"/>
    <m/>
    <m/>
    <n v="15"/>
    <n v="25"/>
    <n v="11"/>
    <n v="25"/>
    <n v="11"/>
    <n v="11"/>
    <n v="11"/>
    <n v="11"/>
    <m/>
    <m/>
    <m/>
    <m/>
    <m/>
    <m/>
    <m/>
    <n v="0"/>
    <n v="0"/>
    <n v="0"/>
    <n v="0"/>
    <n v="0"/>
    <n v="0"/>
    <n v="0"/>
    <n v="0"/>
    <n v="0"/>
    <n v="0"/>
    <n v="0"/>
    <n v="0"/>
    <n v="0"/>
    <n v="0"/>
    <n v="0"/>
    <n v="0"/>
    <n v="0"/>
    <n v="0"/>
    <s v="MMR001CMP016"/>
    <x v="0"/>
    <x v="0"/>
    <s v="P4"/>
    <n v="2.6989891058985181E-4"/>
    <s v="No"/>
  </r>
  <r>
    <n v="45.233333333333334"/>
    <d v="2013-08-13T00:00:00"/>
    <x v="0"/>
    <s v="KMSS"/>
    <s v="Shan_North"/>
    <s v="Manton"/>
    <s v="Host Families"/>
    <m/>
    <m/>
    <n v="49"/>
    <n v="90"/>
    <n v="30"/>
    <n v="90"/>
    <n v="30"/>
    <n v="30"/>
    <n v="30"/>
    <n v="30"/>
    <m/>
    <m/>
    <m/>
    <m/>
    <m/>
    <m/>
    <m/>
    <n v="0"/>
    <n v="0"/>
    <n v="0"/>
    <n v="0"/>
    <n v="0"/>
    <n v="0"/>
    <n v="0"/>
    <n v="0"/>
    <n v="0"/>
    <n v="0"/>
    <n v="0"/>
    <n v="0"/>
    <n v="0"/>
    <n v="0"/>
    <n v="0"/>
    <n v="0"/>
    <n v="0"/>
    <n v="0"/>
    <s v="MMR001CMP163"/>
    <x v="0"/>
    <x v="0"/>
    <s v="P4"/>
    <s v=""/>
    <s v="No"/>
  </r>
  <r>
    <n v="45.233333333333334"/>
    <d v="2013-08-13T00:00:00"/>
    <x v="0"/>
    <s v="KBC"/>
    <s v="Shan_North"/>
    <s v="Kutkai"/>
    <s v="Kone Khem Camp"/>
    <m/>
    <m/>
    <n v="70"/>
    <n v="120"/>
    <n v="48"/>
    <n v="120"/>
    <n v="48"/>
    <n v="48"/>
    <n v="48"/>
    <n v="48"/>
    <m/>
    <m/>
    <m/>
    <m/>
    <m/>
    <m/>
    <m/>
    <n v="0"/>
    <n v="0"/>
    <n v="0"/>
    <n v="0"/>
    <n v="0"/>
    <n v="0"/>
    <n v="0"/>
    <n v="0"/>
    <n v="0"/>
    <n v="0"/>
    <n v="0"/>
    <n v="0"/>
    <n v="0"/>
    <n v="0"/>
    <n v="0"/>
    <n v="0"/>
    <n v="0"/>
    <n v="0"/>
    <s v="MMR015CMP015"/>
    <x v="0"/>
    <x v="1"/>
    <s v="P3"/>
    <n v="1.162931556632344E-3"/>
    <s v="No"/>
  </r>
  <r>
    <n v="45.233333333333334"/>
    <d v="2013-08-13T00:00:00"/>
    <x v="0"/>
    <s v="KMSS"/>
    <s v="Shan_North"/>
    <s v="Kutkai"/>
    <s v="Kutkai downtown (RC Church)"/>
    <m/>
    <m/>
    <n v="47"/>
    <n v="103"/>
    <n v="41"/>
    <n v="103"/>
    <n v="41"/>
    <n v="41"/>
    <n v="41"/>
    <n v="41"/>
    <m/>
    <m/>
    <m/>
    <m/>
    <m/>
    <m/>
    <m/>
    <n v="0"/>
    <n v="0"/>
    <n v="0"/>
    <n v="0"/>
    <n v="0"/>
    <n v="0"/>
    <n v="0"/>
    <n v="0"/>
    <n v="0"/>
    <n v="0"/>
    <n v="0"/>
    <n v="0"/>
    <n v="0"/>
    <n v="0"/>
    <n v="0"/>
    <n v="0"/>
    <n v="0"/>
    <n v="0"/>
    <s v="MMR015CMP017"/>
    <x v="0"/>
    <x v="0"/>
    <s v="P3"/>
    <n v="9.9408398797400837E-4"/>
    <s v="No"/>
  </r>
  <r>
    <n v="45.233333333333334"/>
    <d v="2013-08-13T00:00:00"/>
    <x v="0"/>
    <s v="KBC"/>
    <s v="Shan_North"/>
    <s v="Manton"/>
    <s v="Mandung - Jinghpaw"/>
    <m/>
    <m/>
    <n v="36"/>
    <n v="84"/>
    <n v="42"/>
    <n v="84"/>
    <n v="42"/>
    <n v="42"/>
    <n v="42"/>
    <n v="42"/>
    <m/>
    <m/>
    <m/>
    <m/>
    <m/>
    <m/>
    <m/>
    <n v="0"/>
    <n v="0"/>
    <n v="0"/>
    <n v="0"/>
    <n v="0"/>
    <n v="0"/>
    <n v="0"/>
    <n v="0"/>
    <n v="0"/>
    <n v="0"/>
    <n v="0"/>
    <n v="0"/>
    <n v="0"/>
    <n v="0"/>
    <n v="0"/>
    <n v="0"/>
    <n v="0"/>
    <n v="0"/>
    <s v="MMR015CMP009"/>
    <x v="0"/>
    <x v="0"/>
    <s v="P2"/>
    <n v="1.0243902439024391E-3"/>
    <s v="No"/>
  </r>
  <r>
    <n v="45.233333333333334"/>
    <d v="2013-08-13T00:00:00"/>
    <x v="0"/>
    <s v="KBC"/>
    <s v="Shan_North"/>
    <s v="Kutkai"/>
    <s v="Mine Yu Lay village"/>
    <m/>
    <m/>
    <n v="113"/>
    <n v="160"/>
    <n v="32"/>
    <n v="160"/>
    <n v="32"/>
    <n v="32"/>
    <n v="32"/>
    <n v="32"/>
    <m/>
    <m/>
    <m/>
    <m/>
    <m/>
    <m/>
    <m/>
    <n v="0"/>
    <n v="0"/>
    <n v="0"/>
    <n v="0"/>
    <n v="0"/>
    <n v="0"/>
    <n v="0"/>
    <n v="0"/>
    <n v="0"/>
    <n v="0"/>
    <n v="0"/>
    <n v="0"/>
    <n v="0"/>
    <n v="0"/>
    <n v="0"/>
    <n v="0"/>
    <n v="0"/>
    <n v="0"/>
    <s v="MMR015CMP018"/>
    <x v="0"/>
    <x v="0"/>
    <s v="P3"/>
    <n v="7.7528770442156269E-4"/>
    <s v="No"/>
  </r>
  <r>
    <n v="45.233333333333334"/>
    <d v="2013-08-13T00:00:00"/>
    <x v="0"/>
    <s v="KMSS"/>
    <s v="Shan_North"/>
    <s v="Kutkai"/>
    <s v="Mungji Pa Dabang (Baptist Church)         "/>
    <m/>
    <m/>
    <n v="30"/>
    <n v="56"/>
    <n v="23"/>
    <n v="56"/>
    <n v="23"/>
    <n v="23"/>
    <n v="23"/>
    <n v="23"/>
    <m/>
    <m/>
    <m/>
    <m/>
    <m/>
    <m/>
    <m/>
    <n v="0"/>
    <n v="0"/>
    <n v="0"/>
    <n v="0"/>
    <n v="0"/>
    <n v="0"/>
    <n v="0"/>
    <n v="0"/>
    <n v="0"/>
    <n v="0"/>
    <n v="0"/>
    <n v="0"/>
    <n v="0"/>
    <n v="0"/>
    <n v="0"/>
    <n v="0"/>
    <n v="0"/>
    <n v="0"/>
    <s v="MMR015CMP006"/>
    <x v="0"/>
    <x v="0"/>
    <s v="P1"/>
    <n v="5.6390516586167158E-4"/>
    <s v="No"/>
  </r>
  <r>
    <n v="45.233333333333334"/>
    <d v="2013-08-13T00:00:00"/>
    <x v="0"/>
    <s v="KBC"/>
    <s v="Shan_North"/>
    <s v="Namhkan"/>
    <s v="Nam Hkam - Nay Win Ni (Palawng)"/>
    <m/>
    <m/>
    <n v="125"/>
    <n v="233"/>
    <n v="93"/>
    <n v="233"/>
    <n v="93"/>
    <n v="93"/>
    <n v="93"/>
    <n v="93"/>
    <m/>
    <m/>
    <m/>
    <m/>
    <m/>
    <m/>
    <m/>
    <n v="0"/>
    <n v="0"/>
    <n v="0"/>
    <n v="0"/>
    <n v="0"/>
    <n v="0"/>
    <n v="0"/>
    <n v="0"/>
    <n v="0"/>
    <n v="0"/>
    <n v="0"/>
    <n v="0"/>
    <n v="0"/>
    <n v="0"/>
    <n v="0"/>
    <n v="0"/>
    <n v="0"/>
    <n v="0"/>
    <s v="MMR015CMP004"/>
    <x v="0"/>
    <x v="0"/>
    <s v="P3"/>
    <n v="2.2350933692230047E-3"/>
    <s v="No"/>
  </r>
  <r>
    <n v="45.233333333333334"/>
    <d v="2013-08-13T00:00:00"/>
    <x v="0"/>
    <s v="KMSS"/>
    <s v="Shan_North"/>
    <s v="Namhkan"/>
    <s v="Nam Hkam (KBC Jaw Wang)"/>
    <m/>
    <m/>
    <n v="100"/>
    <n v="188"/>
    <n v="75"/>
    <n v="188"/>
    <n v="75"/>
    <n v="75"/>
    <n v="75"/>
    <n v="75"/>
    <m/>
    <m/>
    <m/>
    <m/>
    <m/>
    <m/>
    <m/>
    <n v="0"/>
    <n v="0"/>
    <n v="0"/>
    <n v="0"/>
    <n v="0"/>
    <n v="0"/>
    <n v="0"/>
    <n v="0"/>
    <n v="0"/>
    <n v="0"/>
    <n v="0"/>
    <n v="0"/>
    <n v="0"/>
    <n v="0"/>
    <n v="0"/>
    <n v="0"/>
    <n v="0"/>
    <n v="0"/>
    <s v="MMR015CMP001"/>
    <x v="0"/>
    <x v="0"/>
    <s v="P3"/>
    <n v="1.8347277264054015E-3"/>
    <s v="No"/>
  </r>
  <r>
    <n v="45.233333333333334"/>
    <d v="2013-08-13T00:00:00"/>
    <x v="0"/>
    <s v="KMSS"/>
    <s v="Shan_North"/>
    <s v="Namhkan"/>
    <s v="Nam Hkam Catholic Church ( St. Thomas I)"/>
    <m/>
    <m/>
    <n v="36"/>
    <n v="72"/>
    <n v="33"/>
    <n v="72"/>
    <n v="33"/>
    <n v="33"/>
    <n v="33"/>
    <n v="33"/>
    <m/>
    <m/>
    <m/>
    <m/>
    <m/>
    <m/>
    <m/>
    <n v="0"/>
    <n v="0"/>
    <n v="0"/>
    <n v="0"/>
    <n v="0"/>
    <n v="0"/>
    <n v="0"/>
    <n v="0"/>
    <n v="0"/>
    <n v="0"/>
    <n v="0"/>
    <n v="0"/>
    <n v="0"/>
    <n v="0"/>
    <n v="0"/>
    <n v="0"/>
    <n v="0"/>
    <n v="0"/>
    <s v="MMR015CMP003"/>
    <x v="0"/>
    <x v="0"/>
    <s v="P3"/>
    <n v="8.0728019961837658E-4"/>
    <s v="No"/>
  </r>
  <r>
    <n v="45.233333333333334"/>
    <d v="2013-08-13T00:00:00"/>
    <x v="0"/>
    <s v="KMSS"/>
    <s v="Shan_North"/>
    <s v="Namtu"/>
    <s v="Nam Tu RC"/>
    <m/>
    <m/>
    <n v="130"/>
    <n v="288"/>
    <n v="115"/>
    <n v="288"/>
    <n v="115"/>
    <n v="115"/>
    <n v="115"/>
    <n v="115"/>
    <m/>
    <m/>
    <m/>
    <m/>
    <m/>
    <m/>
    <m/>
    <n v="0"/>
    <n v="0"/>
    <n v="0"/>
    <n v="0"/>
    <n v="0"/>
    <n v="0"/>
    <n v="0"/>
    <n v="0"/>
    <n v="0"/>
    <n v="0"/>
    <n v="0"/>
    <n v="0"/>
    <n v="0"/>
    <n v="0"/>
    <n v="0"/>
    <n v="0"/>
    <n v="0"/>
    <n v="0"/>
    <s v="MMR015CMP210"/>
    <x v="0"/>
    <x v="0"/>
    <s v="P3"/>
    <s v=""/>
    <s v="No"/>
  </r>
  <r>
    <n v="45.233333333333334"/>
    <d v="2013-08-13T00:00:00"/>
    <x v="0"/>
    <s v="KBC"/>
    <s v="Shan_North"/>
    <s v="Hseni"/>
    <s v="Narte"/>
    <m/>
    <m/>
    <n v="27"/>
    <n v="43"/>
    <n v="17"/>
    <n v="43"/>
    <n v="17"/>
    <n v="17"/>
    <n v="17"/>
    <n v="17"/>
    <m/>
    <m/>
    <m/>
    <m/>
    <m/>
    <m/>
    <m/>
    <n v="0"/>
    <n v="0"/>
    <n v="0"/>
    <n v="0"/>
    <n v="0"/>
    <n v="0"/>
    <n v="0"/>
    <n v="0"/>
    <n v="0"/>
    <n v="0"/>
    <n v="0"/>
    <n v="0"/>
    <n v="0"/>
    <n v="0"/>
    <n v="0"/>
    <n v="0"/>
    <n v="0"/>
    <n v="0"/>
    <s v="MMR015CMP207"/>
    <x v="0"/>
    <x v="0"/>
    <s v="P4"/>
    <n v="4.1097546234739513E-4"/>
    <s v="No"/>
  </r>
  <r>
    <n v="44.233333333333334"/>
    <d v="2013-09-12T00:00:00"/>
    <x v="0"/>
    <s v="UNHCR"/>
    <s v="Kachin"/>
    <s v="Momauk"/>
    <s v="Nhkawng Pa "/>
    <m/>
    <m/>
    <n v="640"/>
    <n v="640"/>
    <n v="320"/>
    <n v="320"/>
    <n v="320"/>
    <n v="320"/>
    <n v="640"/>
    <n v="320"/>
    <m/>
    <m/>
    <m/>
    <m/>
    <m/>
    <m/>
    <m/>
    <n v="0"/>
    <n v="0"/>
    <n v="0"/>
    <n v="0"/>
    <n v="0"/>
    <n v="0"/>
    <n v="0"/>
    <n v="0"/>
    <n v="0"/>
    <n v="0"/>
    <n v="0"/>
    <n v="0"/>
    <n v="0"/>
    <n v="0"/>
    <n v="0"/>
    <n v="0"/>
    <n v="0"/>
    <n v="0"/>
    <s v="MMR001CMP131"/>
    <x v="0"/>
    <x v="0"/>
    <s v="P1"/>
    <n v="7.8048780487804878E-3"/>
    <s v="No"/>
  </r>
  <r>
    <n v="45.233333333333334"/>
    <d v="2013-08-13T00:00:00"/>
    <x v="0"/>
    <s v="KMSS"/>
    <s v="Shan_North"/>
    <s v="Kutkai"/>
    <s v="Mungji Pa Dabang (RC Church)         "/>
    <m/>
    <m/>
    <n v="70"/>
    <n v="130"/>
    <n v="52"/>
    <n v="130"/>
    <n v="52"/>
    <n v="52"/>
    <n v="52"/>
    <n v="52"/>
    <m/>
    <m/>
    <m/>
    <m/>
    <m/>
    <m/>
    <m/>
    <n v="0"/>
    <n v="0"/>
    <n v="0"/>
    <n v="0"/>
    <n v="0"/>
    <n v="0"/>
    <n v="0"/>
    <n v="0"/>
    <n v="0"/>
    <n v="0"/>
    <n v="0"/>
    <n v="0"/>
    <n v="0"/>
    <n v="0"/>
    <n v="0"/>
    <n v="0"/>
    <n v="0"/>
    <n v="0"/>
    <s v="MMR015CMP019"/>
    <x v="0"/>
    <x v="1"/>
    <s v=""/>
    <n v="1.2749160271655184E-3"/>
    <s v="No"/>
  </r>
  <r>
    <n v="45.233333333333334"/>
    <d v="2013-08-13T00:00:00"/>
    <x v="0"/>
    <s v="KBC"/>
    <s v="Shan_North"/>
    <s v="Hseni"/>
    <s v="Na Ti (Koe Kant Traditional school)"/>
    <m/>
    <m/>
    <n v="67"/>
    <n v="90"/>
    <n v="30"/>
    <n v="90"/>
    <n v="30"/>
    <n v="30"/>
    <n v="30"/>
    <n v="30"/>
    <m/>
    <m/>
    <m/>
    <m/>
    <m/>
    <m/>
    <m/>
    <n v="0"/>
    <n v="0"/>
    <n v="0"/>
    <n v="0"/>
    <n v="0"/>
    <n v="0"/>
    <n v="0"/>
    <n v="0"/>
    <n v="0"/>
    <n v="0"/>
    <n v="0"/>
    <n v="0"/>
    <n v="0"/>
    <n v="0"/>
    <n v="0"/>
    <n v="0"/>
    <n v="0"/>
    <n v="0"/>
    <s v=""/>
    <x v="1"/>
    <x v="2"/>
    <s v=""/>
    <s v=""/>
    <s v="No"/>
  </r>
  <r>
    <n v="45.233333333333334"/>
    <d v="2013-08-13T00:00:00"/>
    <x v="0"/>
    <s v="KMSS"/>
    <s v="Shan_North"/>
    <s v="Namhkan"/>
    <s v="Nam Hkam Catholic Church ( St. Thomas II)"/>
    <m/>
    <m/>
    <n v="40"/>
    <n v="83"/>
    <n v="33"/>
    <n v="83"/>
    <n v="33"/>
    <n v="33"/>
    <n v="33"/>
    <n v="33"/>
    <m/>
    <m/>
    <m/>
    <m/>
    <m/>
    <m/>
    <m/>
    <n v="0"/>
    <n v="0"/>
    <n v="0"/>
    <n v="0"/>
    <n v="0"/>
    <n v="0"/>
    <n v="0"/>
    <n v="0"/>
    <n v="0"/>
    <n v="0"/>
    <n v="0"/>
    <n v="0"/>
    <n v="0"/>
    <n v="0"/>
    <n v="0"/>
    <n v="0"/>
    <n v="0"/>
    <n v="0"/>
    <s v="MMR015CMP024"/>
    <x v="0"/>
    <x v="1"/>
    <s v=""/>
    <s v=""/>
    <s v="No"/>
  </r>
  <r>
    <n v="44.033333333333331"/>
    <d v="2013-09-18T00:00:00"/>
    <x v="0"/>
    <s v="UNHCR"/>
    <s v="Kachin"/>
    <s v="Waingmaw"/>
    <s v="Woi Chyai "/>
    <m/>
    <m/>
    <n v="1520"/>
    <n v="1520"/>
    <n v="760"/>
    <n v="1520"/>
    <n v="760"/>
    <n v="760"/>
    <m/>
    <m/>
    <m/>
    <m/>
    <m/>
    <m/>
    <m/>
    <m/>
    <m/>
    <n v="0"/>
    <n v="0"/>
    <n v="0"/>
    <n v="0"/>
    <n v="0"/>
    <n v="0"/>
    <n v="0"/>
    <n v="0"/>
    <n v="0"/>
    <n v="0"/>
    <n v="0"/>
    <n v="0"/>
    <n v="0"/>
    <n v="0"/>
    <n v="0"/>
    <n v="0"/>
    <n v="0"/>
    <n v="0"/>
    <s v="MMR001CMP116"/>
    <x v="0"/>
    <x v="0"/>
    <s v="P4"/>
    <n v="1.8675512962280379E-2"/>
    <s v="No"/>
  </r>
  <r>
    <n v="43.766666666666666"/>
    <d v="2013-09-26T00:00:00"/>
    <x v="0"/>
    <s v="UNHCR"/>
    <s v="Kachin"/>
    <s v="Momauk"/>
    <s v="Hpun Lum Yang "/>
    <m/>
    <m/>
    <n v="882"/>
    <n v="882"/>
    <n v="441"/>
    <n v="882"/>
    <n v="441"/>
    <m/>
    <n v="441"/>
    <n v="882"/>
    <m/>
    <m/>
    <m/>
    <m/>
    <m/>
    <m/>
    <m/>
    <n v="0"/>
    <n v="0"/>
    <n v="0"/>
    <n v="0"/>
    <n v="0"/>
    <n v="0"/>
    <n v="0"/>
    <n v="0"/>
    <n v="0"/>
    <n v="0"/>
    <n v="0"/>
    <n v="0"/>
    <n v="0"/>
    <n v="0"/>
    <n v="0"/>
    <n v="0"/>
    <n v="0"/>
    <n v="0"/>
    <s v="MMR001CMP122"/>
    <x v="0"/>
    <x v="0"/>
    <s v="P2"/>
    <n v="1.0836712126796905E-2"/>
    <s v="No"/>
  </r>
  <r>
    <n v="43.766666666666666"/>
    <d v="2013-09-26T00:00:00"/>
    <x v="0"/>
    <s v="UNHCR"/>
    <s v="Kachin"/>
    <s v="Momauk"/>
    <s v="Je Yang Hka "/>
    <m/>
    <m/>
    <n v="1628"/>
    <n v="3256"/>
    <n v="1628"/>
    <n v="3256"/>
    <n v="1628"/>
    <m/>
    <n v="1628"/>
    <n v="3256"/>
    <m/>
    <m/>
    <m/>
    <m/>
    <m/>
    <m/>
    <m/>
    <n v="0"/>
    <n v="0"/>
    <n v="0"/>
    <n v="0"/>
    <n v="0"/>
    <n v="0"/>
    <n v="0"/>
    <n v="0"/>
    <n v="0"/>
    <n v="0"/>
    <n v="0"/>
    <n v="0"/>
    <n v="0"/>
    <n v="0"/>
    <n v="0"/>
    <n v="0"/>
    <n v="0"/>
    <n v="0"/>
    <s v="MMR001CMP121"/>
    <x v="0"/>
    <x v="0"/>
    <s v="P2"/>
    <n v="3.9648328097221207E-2"/>
    <s v="No"/>
  </r>
  <r>
    <n v="42.633333333333333"/>
    <d v="2013-10-30T00:00:00"/>
    <x v="0"/>
    <s v="UNHCR"/>
    <s v="Kachin"/>
    <s v="Bhamo"/>
    <s v="AD-2000 Tharthana Compound"/>
    <m/>
    <m/>
    <n v="22"/>
    <n v="40"/>
    <n v="21"/>
    <n v="40"/>
    <n v="21"/>
    <n v="21"/>
    <n v="21"/>
    <n v="21"/>
    <m/>
    <m/>
    <m/>
    <m/>
    <m/>
    <m/>
    <m/>
    <n v="0"/>
    <n v="0"/>
    <n v="0"/>
    <n v="0"/>
    <n v="0"/>
    <n v="0"/>
    <n v="0"/>
    <n v="0"/>
    <n v="0"/>
    <n v="0"/>
    <n v="0"/>
    <n v="0"/>
    <n v="0"/>
    <n v="0"/>
    <n v="0"/>
    <n v="0"/>
    <n v="0"/>
    <n v="0"/>
    <s v="MMR001CMP050"/>
    <x v="0"/>
    <x v="0"/>
    <s v="P4"/>
    <n v="5.1410105757931847E-4"/>
    <s v="No"/>
  </r>
  <r>
    <n v="43.766666666666666"/>
    <d v="2013-09-26T00:00:00"/>
    <x v="0"/>
    <s v="UNHCR"/>
    <s v="Kachin"/>
    <s v="Waingmaw"/>
    <s v="Laiza Market 3 - Laiza Gat"/>
    <m/>
    <m/>
    <n v="437"/>
    <n v="874"/>
    <n v="437"/>
    <n v="874"/>
    <n v="437"/>
    <n v="54"/>
    <n v="383"/>
    <n v="766"/>
    <m/>
    <m/>
    <m/>
    <m/>
    <m/>
    <m/>
    <m/>
    <n v="0"/>
    <n v="0"/>
    <n v="0"/>
    <n v="0"/>
    <n v="0"/>
    <n v="0"/>
    <n v="0"/>
    <n v="0"/>
    <n v="0"/>
    <n v="0"/>
    <n v="0"/>
    <n v="0"/>
    <n v="0"/>
    <n v="0"/>
    <n v="0"/>
    <n v="0"/>
    <n v="0"/>
    <n v="0"/>
    <s v="MMR001CMP117"/>
    <x v="0"/>
    <x v="1"/>
    <s v="P2"/>
    <n v="1.0738419953311217E-2"/>
    <s v="No"/>
  </r>
  <r>
    <n v="42.633333333333333"/>
    <d v="2013-10-30T00:00:00"/>
    <x v="0"/>
    <s v="UNHCR"/>
    <s v="Kachin"/>
    <s v="Bhamo"/>
    <s v="Htoi San Church"/>
    <m/>
    <m/>
    <n v="72"/>
    <n v="61"/>
    <n v="36"/>
    <n v="61"/>
    <n v="36"/>
    <n v="36"/>
    <n v="36"/>
    <n v="36"/>
    <m/>
    <m/>
    <m/>
    <m/>
    <m/>
    <m/>
    <m/>
    <n v="0"/>
    <n v="0"/>
    <n v="0"/>
    <n v="0"/>
    <n v="0"/>
    <n v="0"/>
    <n v="0"/>
    <n v="0"/>
    <n v="0"/>
    <n v="0"/>
    <n v="0"/>
    <n v="0"/>
    <n v="0"/>
    <n v="0"/>
    <n v="0"/>
    <n v="0"/>
    <n v="0"/>
    <n v="0"/>
    <s v="MMR001CMP052"/>
    <x v="0"/>
    <x v="0"/>
    <s v="P4"/>
    <n v="8.8066930867459266E-4"/>
    <s v="No"/>
  </r>
  <r>
    <n v="42.633333333333333"/>
    <d v="2013-10-30T00:00:00"/>
    <x v="0"/>
    <s v="UNHCR"/>
    <s v="Kachin"/>
    <s v="Bhamo"/>
    <s v="Phan Khar Kone"/>
    <m/>
    <m/>
    <n v="81"/>
    <n v="94"/>
    <n v="50"/>
    <n v="94"/>
    <n v="50"/>
    <n v="50"/>
    <n v="50"/>
    <n v="50"/>
    <m/>
    <m/>
    <m/>
    <m/>
    <m/>
    <m/>
    <m/>
    <n v="0"/>
    <n v="0"/>
    <n v="0"/>
    <n v="0"/>
    <n v="0"/>
    <n v="0"/>
    <n v="0"/>
    <n v="0"/>
    <n v="0"/>
    <n v="0"/>
    <n v="0"/>
    <n v="0"/>
    <n v="0"/>
    <n v="0"/>
    <n v="0"/>
    <n v="0"/>
    <n v="0"/>
    <n v="0"/>
    <s v="MMR001CMP193"/>
    <x v="0"/>
    <x v="0"/>
    <s v="P4"/>
    <n v="1.2113870381586917E-3"/>
    <s v="No"/>
  </r>
  <r>
    <n v="42.56666666666667"/>
    <d v="2013-11-01T00:00:00"/>
    <x v="0"/>
    <s v="UNHCR"/>
    <s v="Kachin"/>
    <s v="Bhamo"/>
    <s v="Aung Thar Church"/>
    <m/>
    <m/>
    <n v="8"/>
    <n v="6"/>
    <n v="4"/>
    <n v="6"/>
    <n v="4"/>
    <n v="4"/>
    <m/>
    <m/>
    <m/>
    <m/>
    <m/>
    <m/>
    <m/>
    <m/>
    <m/>
    <n v="0"/>
    <n v="0"/>
    <n v="0"/>
    <n v="0"/>
    <n v="0"/>
    <n v="0"/>
    <n v="0"/>
    <n v="0"/>
    <n v="0"/>
    <n v="0"/>
    <n v="0"/>
    <n v="0"/>
    <n v="0"/>
    <n v="0"/>
    <n v="0"/>
    <n v="0"/>
    <n v="0"/>
    <n v="0"/>
    <s v="MMR001CMP194"/>
    <x v="0"/>
    <x v="0"/>
    <s v="P4"/>
    <n v="9.8070463628116802E-5"/>
    <s v="No"/>
  </r>
  <r>
    <n v="42.56666666666667"/>
    <d v="2013-11-01T00:00:00"/>
    <x v="0"/>
    <s v="UNHCR"/>
    <s v="Kachin"/>
    <s v="Bhamo"/>
    <s v="Htoi San Church"/>
    <m/>
    <m/>
    <n v="12"/>
    <n v="9"/>
    <n v="6"/>
    <n v="9"/>
    <n v="6"/>
    <n v="6"/>
    <n v="6"/>
    <m/>
    <m/>
    <m/>
    <m/>
    <m/>
    <m/>
    <m/>
    <m/>
    <n v="0"/>
    <n v="0"/>
    <n v="0"/>
    <n v="0"/>
    <n v="0"/>
    <n v="0"/>
    <n v="0"/>
    <n v="0"/>
    <n v="0"/>
    <n v="0"/>
    <n v="0"/>
    <n v="0"/>
    <n v="0"/>
    <n v="0"/>
    <n v="0"/>
    <n v="0"/>
    <n v="0"/>
    <n v="0"/>
    <s v="MMR001CMP052"/>
    <x v="0"/>
    <x v="0"/>
    <s v="P4"/>
    <n v="1.4677821811243211E-4"/>
    <s v="No"/>
  </r>
  <r>
    <n v="42.56666666666667"/>
    <d v="2013-11-01T00:00:00"/>
    <x v="0"/>
    <s v="UNHCR"/>
    <s v="Kachin"/>
    <s v="Bhamo"/>
    <s v="Robert Church"/>
    <m/>
    <m/>
    <n v="40"/>
    <n v="48"/>
    <n v="20"/>
    <n v="48"/>
    <n v="20"/>
    <n v="20"/>
    <n v="500"/>
    <n v="500"/>
    <m/>
    <m/>
    <m/>
    <m/>
    <m/>
    <m/>
    <m/>
    <n v="0"/>
    <n v="0"/>
    <n v="0"/>
    <n v="0"/>
    <n v="0"/>
    <n v="0"/>
    <n v="0"/>
    <n v="0"/>
    <n v="0"/>
    <n v="0"/>
    <n v="0"/>
    <n v="0"/>
    <n v="0"/>
    <n v="0"/>
    <n v="0"/>
    <n v="0"/>
    <n v="0"/>
    <n v="0"/>
    <s v="MMR001CMP047"/>
    <x v="0"/>
    <x v="0"/>
    <s v="P4"/>
    <n v="4.9109883364027013E-4"/>
    <s v="No"/>
  </r>
  <r>
    <n v="42.5"/>
    <d v="2013-11-03T00:00:00"/>
    <x v="4"/>
    <s v="MRCS"/>
    <s v="Kachin"/>
    <s v="Bhamo"/>
    <s v="AD-2000 Tharthana Compound"/>
    <m/>
    <m/>
    <n v="21"/>
    <m/>
    <m/>
    <m/>
    <n v="21"/>
    <m/>
    <m/>
    <m/>
    <m/>
    <m/>
    <m/>
    <m/>
    <m/>
    <m/>
    <m/>
    <n v="0"/>
    <n v="0"/>
    <n v="0"/>
    <n v="0"/>
    <n v="0"/>
    <n v="0"/>
    <n v="0"/>
    <n v="0"/>
    <n v="0"/>
    <n v="0"/>
    <n v="0"/>
    <n v="0"/>
    <n v="0"/>
    <n v="0"/>
    <n v="0"/>
    <n v="0"/>
    <n v="0"/>
    <n v="0"/>
    <s v="MMR001CMP050"/>
    <x v="0"/>
    <x v="0"/>
    <s v="P4"/>
    <n v="5.1410105757931847E-4"/>
    <s v="No"/>
  </r>
  <r>
    <n v="42.5"/>
    <d v="2013-11-03T00:00:00"/>
    <x v="0"/>
    <s v="UNHCR "/>
    <s v="Kachin"/>
    <s v="Mansi"/>
    <s v="Bum Tsit Pa "/>
    <m/>
    <m/>
    <n v="130"/>
    <n v="130"/>
    <n v="65"/>
    <n v="65"/>
    <n v="65"/>
    <n v="65"/>
    <m/>
    <m/>
    <m/>
    <m/>
    <m/>
    <m/>
    <m/>
    <m/>
    <m/>
    <n v="0"/>
    <n v="0"/>
    <n v="0"/>
    <n v="0"/>
    <n v="0"/>
    <n v="0"/>
    <n v="0"/>
    <n v="0"/>
    <n v="0"/>
    <n v="0"/>
    <n v="0"/>
    <n v="0"/>
    <n v="0"/>
    <n v="0"/>
    <n v="0"/>
    <n v="0"/>
    <n v="0"/>
    <n v="0"/>
    <s v="MMR001CMP129"/>
    <x v="0"/>
    <x v="0"/>
    <s v="P2"/>
    <n v="1.5924737241835509E-3"/>
    <s v="No"/>
  </r>
  <r>
    <n v="42.5"/>
    <d v="2013-11-03T00:00:00"/>
    <x v="4"/>
    <s v="MRCS"/>
    <s v="Kachin"/>
    <s v="Bhamo"/>
    <s v="Htoi San Church"/>
    <m/>
    <m/>
    <n v="41"/>
    <m/>
    <m/>
    <m/>
    <n v="41"/>
    <m/>
    <m/>
    <m/>
    <m/>
    <m/>
    <m/>
    <m/>
    <m/>
    <m/>
    <m/>
    <n v="0"/>
    <n v="0"/>
    <n v="0"/>
    <n v="0"/>
    <n v="0"/>
    <n v="0"/>
    <n v="0"/>
    <n v="0"/>
    <n v="0"/>
    <n v="0"/>
    <n v="0"/>
    <n v="0"/>
    <n v="0"/>
    <n v="0"/>
    <n v="0"/>
    <n v="0"/>
    <n v="0"/>
    <n v="0"/>
    <s v="MMR001CMP052"/>
    <x v="0"/>
    <x v="0"/>
    <s v="P4"/>
    <n v="1.0029844904349528E-3"/>
    <s v="No"/>
  </r>
  <r>
    <n v="42.5"/>
    <d v="2013-11-03T00:00:00"/>
    <x v="0"/>
    <s v="UNHCR "/>
    <s v="Kachin"/>
    <s v="Mansi"/>
    <s v="Lana Zup Ja "/>
    <m/>
    <m/>
    <n v="592"/>
    <n v="592"/>
    <n v="296"/>
    <n v="296"/>
    <n v="296"/>
    <n v="296"/>
    <m/>
    <m/>
    <m/>
    <m/>
    <m/>
    <m/>
    <m/>
    <m/>
    <m/>
    <n v="0"/>
    <n v="0"/>
    <n v="0"/>
    <n v="0"/>
    <n v="0"/>
    <n v="0"/>
    <n v="0"/>
    <n v="0"/>
    <n v="0"/>
    <n v="0"/>
    <n v="0"/>
    <n v="0"/>
    <n v="0"/>
    <n v="0"/>
    <n v="0"/>
    <n v="0"/>
    <n v="0"/>
    <n v="0"/>
    <s v="MMR001CMP128"/>
    <x v="0"/>
    <x v="0"/>
    <s v="P2"/>
    <n v="7.2518803439743243E-3"/>
    <s v="No"/>
  </r>
  <r>
    <n v="42.5"/>
    <d v="2013-11-03T00:00:00"/>
    <x v="0"/>
    <s v="UNHCR "/>
    <s v="Kachin"/>
    <s v="Momauk"/>
    <s v="Loi Je Lisu Camp"/>
    <m/>
    <m/>
    <n v="24"/>
    <n v="24"/>
    <n v="12"/>
    <n v="12"/>
    <n v="12"/>
    <n v="12"/>
    <m/>
    <m/>
    <m/>
    <m/>
    <m/>
    <m/>
    <m/>
    <m/>
    <m/>
    <n v="0"/>
    <n v="0"/>
    <n v="0"/>
    <n v="0"/>
    <n v="0"/>
    <n v="0"/>
    <n v="0"/>
    <n v="0"/>
    <n v="0"/>
    <n v="0"/>
    <n v="0"/>
    <n v="0"/>
    <n v="0"/>
    <n v="0"/>
    <n v="0"/>
    <n v="0"/>
    <n v="0"/>
    <n v="0"/>
    <s v="MMR001CMP070"/>
    <x v="0"/>
    <x v="0"/>
    <s v="P3"/>
    <n v="2.9268292682926828E-4"/>
    <s v="No"/>
  </r>
  <r>
    <n v="42.5"/>
    <d v="2013-11-03T00:00:00"/>
    <x v="4"/>
    <s v="MRCS"/>
    <s v="Kachin"/>
    <s v="Mansi"/>
    <s v="Mansi Baptist Church"/>
    <m/>
    <m/>
    <n v="29"/>
    <m/>
    <m/>
    <m/>
    <n v="29"/>
    <m/>
    <m/>
    <m/>
    <m/>
    <m/>
    <m/>
    <m/>
    <m/>
    <m/>
    <m/>
    <n v="0"/>
    <n v="0"/>
    <n v="0"/>
    <n v="0"/>
    <n v="0"/>
    <n v="0"/>
    <n v="0"/>
    <n v="0"/>
    <n v="0"/>
    <n v="0"/>
    <n v="0"/>
    <n v="0"/>
    <n v="0"/>
    <n v="0"/>
    <n v="0"/>
    <n v="0"/>
    <n v="0"/>
    <n v="0"/>
    <s v="MMR001CMP066"/>
    <x v="0"/>
    <x v="0"/>
    <s v="P4"/>
    <n v="6.9746747156016256E-4"/>
    <s v="No"/>
  </r>
  <r>
    <n v="42.5"/>
    <d v="2013-11-03T00:00:00"/>
    <x v="4"/>
    <s v="MRCS"/>
    <s v="Kachin"/>
    <s v="Bhamo"/>
    <s v="Phan Khar Kone"/>
    <m/>
    <m/>
    <n v="49"/>
    <m/>
    <m/>
    <m/>
    <n v="49"/>
    <m/>
    <m/>
    <m/>
    <m/>
    <m/>
    <m/>
    <m/>
    <m/>
    <m/>
    <m/>
    <n v="0"/>
    <n v="0"/>
    <n v="0"/>
    <n v="0"/>
    <n v="0"/>
    <n v="0"/>
    <n v="0"/>
    <n v="0"/>
    <n v="0"/>
    <n v="0"/>
    <n v="0"/>
    <n v="0"/>
    <n v="0"/>
    <n v="0"/>
    <n v="0"/>
    <n v="0"/>
    <n v="0"/>
    <n v="0"/>
    <s v="MMR001CMP193"/>
    <x v="0"/>
    <x v="0"/>
    <s v="P4"/>
    <n v="1.1871592973955178E-3"/>
    <s v="No"/>
  </r>
  <r>
    <n v="42.43333333333333"/>
    <d v="2013-11-05T00:00:00"/>
    <x v="0"/>
    <s v="UNHCR"/>
    <s v="Kachin"/>
    <s v="Mansi"/>
    <s v="Mansi Baptist Church"/>
    <m/>
    <m/>
    <n v="60"/>
    <n v="54"/>
    <n v="30"/>
    <n v="54"/>
    <n v="30"/>
    <n v="30"/>
    <m/>
    <m/>
    <m/>
    <m/>
    <m/>
    <m/>
    <m/>
    <m/>
    <m/>
    <n v="0"/>
    <n v="0"/>
    <n v="0"/>
    <n v="0"/>
    <n v="0"/>
    <n v="0"/>
    <n v="0"/>
    <n v="0"/>
    <n v="0"/>
    <n v="0"/>
    <n v="0"/>
    <n v="0"/>
    <n v="0"/>
    <n v="0"/>
    <n v="0"/>
    <n v="0"/>
    <n v="0"/>
    <n v="0"/>
    <s v="MMR001CMP066"/>
    <x v="0"/>
    <x v="0"/>
    <s v="P4"/>
    <n v="7.215180740277544E-4"/>
    <s v="No"/>
  </r>
  <r>
    <n v="42.366666666666667"/>
    <d v="2013-11-07T00:00:00"/>
    <x v="1"/>
    <s v="Solidarities"/>
    <s v="Kachin"/>
    <s v="Bhamo"/>
    <s v="Phan Khar Kone"/>
    <m/>
    <m/>
    <m/>
    <m/>
    <m/>
    <m/>
    <m/>
    <m/>
    <m/>
    <m/>
    <n v="23"/>
    <n v="41"/>
    <n v="128"/>
    <n v="64"/>
    <m/>
    <m/>
    <m/>
    <n v="0"/>
    <n v="0"/>
    <n v="0"/>
    <n v="0"/>
    <n v="0"/>
    <n v="0"/>
    <n v="0"/>
    <n v="0"/>
    <n v="0"/>
    <n v="0"/>
    <n v="0"/>
    <n v="0"/>
    <n v="0"/>
    <n v="0"/>
    <n v="1"/>
    <n v="0"/>
    <n v="0"/>
    <n v="0"/>
    <s v="MMR001CMP193"/>
    <x v="0"/>
    <x v="0"/>
    <s v="P4"/>
    <n v="0"/>
    <m/>
  </r>
  <r>
    <n v="42.366666666666667"/>
    <d v="2013-11-07T00:00:00"/>
    <x v="0"/>
    <s v="UNHCR"/>
    <s v="Kachin"/>
    <s v="Bhamo"/>
    <s v="Phan Khar Kone"/>
    <m/>
    <m/>
    <n v="58"/>
    <n v="46"/>
    <n v="29"/>
    <n v="46"/>
    <n v="29"/>
    <n v="29"/>
    <m/>
    <m/>
    <m/>
    <m/>
    <m/>
    <m/>
    <m/>
    <m/>
    <m/>
    <n v="0"/>
    <n v="0"/>
    <n v="0"/>
    <n v="0"/>
    <n v="0"/>
    <n v="0"/>
    <n v="0"/>
    <n v="0"/>
    <n v="0"/>
    <n v="0"/>
    <n v="0"/>
    <n v="0"/>
    <n v="0"/>
    <n v="0"/>
    <n v="0"/>
    <n v="0"/>
    <n v="0"/>
    <n v="0"/>
    <s v="MMR001CMP193"/>
    <x v="0"/>
    <x v="0"/>
    <s v="P4"/>
    <n v="7.0260448213204122E-4"/>
    <s v="No"/>
  </r>
  <r>
    <n v="42.366666666666667"/>
    <d v="2013-11-07T00:00:00"/>
    <x v="1"/>
    <s v="Solidarities"/>
    <s v="Kachin"/>
    <s v="Bhamo"/>
    <s v="Ta Gun Taing Monastery (Shwe Kyi Na)"/>
    <m/>
    <m/>
    <m/>
    <m/>
    <m/>
    <m/>
    <m/>
    <m/>
    <m/>
    <m/>
    <n v="64"/>
    <n v="118"/>
    <n v="364"/>
    <n v="182"/>
    <m/>
    <m/>
    <m/>
    <n v="0"/>
    <n v="0"/>
    <n v="0"/>
    <n v="0"/>
    <n v="0"/>
    <n v="0"/>
    <n v="0"/>
    <n v="0"/>
    <n v="0"/>
    <n v="0"/>
    <n v="0"/>
    <n v="0"/>
    <n v="0"/>
    <n v="0"/>
    <n v="1"/>
    <n v="0"/>
    <n v="0"/>
    <n v="0"/>
    <s v="MMR001CMP055"/>
    <x v="0"/>
    <x v="0"/>
    <s v="P4"/>
    <n v="0"/>
    <m/>
  </r>
  <r>
    <n v="42.233333333333334"/>
    <d v="2013-11-11T00:00:00"/>
    <x v="0"/>
    <s v="UNHCR "/>
    <s v="Kachin"/>
    <s v="Momauk"/>
    <s v="Nhkawng Pa "/>
    <m/>
    <m/>
    <n v="36"/>
    <n v="200"/>
    <n v="100"/>
    <m/>
    <n v="100"/>
    <n v="100"/>
    <m/>
    <m/>
    <m/>
    <m/>
    <m/>
    <m/>
    <m/>
    <m/>
    <m/>
    <n v="0"/>
    <n v="0"/>
    <n v="0"/>
    <n v="0"/>
    <n v="0"/>
    <n v="0"/>
    <n v="0"/>
    <n v="0"/>
    <n v="0"/>
    <n v="0"/>
    <n v="0"/>
    <n v="0"/>
    <n v="0"/>
    <n v="0"/>
    <n v="0"/>
    <n v="0"/>
    <n v="0"/>
    <n v="0"/>
    <s v="MMR001CMP131"/>
    <x v="0"/>
    <x v="0"/>
    <s v="P1"/>
    <n v="2.4390243902439024E-3"/>
    <s v="No"/>
  </r>
  <r>
    <n v="42.366666666666667"/>
    <d v="2013-11-07T00:00:00"/>
    <x v="1"/>
    <s v="Solidarities"/>
    <s v="Kachin"/>
    <s v="Bhamo"/>
    <s v="Aung Thar Church"/>
    <m/>
    <m/>
    <m/>
    <m/>
    <m/>
    <m/>
    <m/>
    <m/>
    <m/>
    <m/>
    <n v="25"/>
    <n v="73"/>
    <n v="196"/>
    <n v="98"/>
    <m/>
    <m/>
    <m/>
    <n v="0"/>
    <n v="0"/>
    <n v="0"/>
    <n v="0"/>
    <n v="0"/>
    <n v="0"/>
    <n v="0"/>
    <n v="0"/>
    <n v="0"/>
    <n v="0"/>
    <n v="0"/>
    <n v="0"/>
    <n v="0"/>
    <n v="0"/>
    <n v="1"/>
    <n v="0"/>
    <n v="0"/>
    <n v="0"/>
    <s v="MMR001CMP194"/>
    <x v="0"/>
    <x v="1"/>
    <s v="P4"/>
    <n v="0"/>
    <m/>
  </r>
  <r>
    <n v="42.366666666666667"/>
    <d v="2013-11-07T00:00:00"/>
    <x v="0"/>
    <s v="UNHCR"/>
    <s v="Kachin"/>
    <s v="Hpakant"/>
    <s v="Baptist Church, Naung Hmee VT"/>
    <m/>
    <m/>
    <n v="13"/>
    <n v="32"/>
    <n v="15"/>
    <n v="32"/>
    <n v="15"/>
    <m/>
    <n v="15"/>
    <n v="32"/>
    <m/>
    <m/>
    <m/>
    <m/>
    <m/>
    <m/>
    <m/>
    <n v="0"/>
    <n v="0"/>
    <n v="0"/>
    <n v="0"/>
    <n v="0"/>
    <n v="0"/>
    <n v="0"/>
    <n v="0"/>
    <n v="0"/>
    <n v="0"/>
    <n v="0"/>
    <n v="0"/>
    <n v="0"/>
    <n v="0"/>
    <n v="0"/>
    <n v="0"/>
    <n v="0"/>
    <n v="0"/>
    <s v="MMR001CMP188"/>
    <x v="0"/>
    <x v="1"/>
    <s v="P4"/>
    <s v=""/>
    <s v="No"/>
  </r>
  <r>
    <n v="42.166666666666664"/>
    <d v="2013-11-13T00:00:00"/>
    <x v="1"/>
    <s v="Solidarities"/>
    <s v="Kachin"/>
    <s v="Mansi"/>
    <s v="Man Wing Baptist Church"/>
    <m/>
    <m/>
    <m/>
    <m/>
    <m/>
    <m/>
    <m/>
    <m/>
    <m/>
    <m/>
    <m/>
    <n v="160"/>
    <n v="320"/>
    <n v="160"/>
    <m/>
    <m/>
    <m/>
    <n v="0"/>
    <n v="0"/>
    <n v="0"/>
    <n v="0"/>
    <n v="0"/>
    <n v="0"/>
    <n v="0"/>
    <n v="0"/>
    <n v="0"/>
    <n v="0"/>
    <n v="0"/>
    <n v="0"/>
    <n v="0"/>
    <n v="0"/>
    <n v="1"/>
    <n v="0"/>
    <n v="0"/>
    <n v="0"/>
    <s v="MMR001CMP133"/>
    <x v="0"/>
    <x v="0"/>
    <s v="P4"/>
    <n v="0"/>
    <m/>
  </r>
  <r>
    <n v="42.166666666666664"/>
    <d v="2013-11-13T00:00:00"/>
    <x v="1"/>
    <s v="LDO"/>
    <s v="Kachin"/>
    <s v="Momauk"/>
    <s v="Pa Kahtawng "/>
    <m/>
    <m/>
    <m/>
    <m/>
    <m/>
    <m/>
    <m/>
    <m/>
    <m/>
    <m/>
    <n v="514"/>
    <n v="1016"/>
    <n v="3060"/>
    <n v="1530"/>
    <m/>
    <m/>
    <m/>
    <n v="0"/>
    <n v="0"/>
    <n v="0"/>
    <n v="0"/>
    <n v="0"/>
    <n v="0"/>
    <n v="0"/>
    <n v="0"/>
    <n v="0"/>
    <n v="0"/>
    <n v="0"/>
    <n v="0"/>
    <n v="0"/>
    <n v="0"/>
    <n v="1"/>
    <n v="0"/>
    <n v="0"/>
    <n v="0"/>
    <s v="MMR001CMP126"/>
    <x v="0"/>
    <x v="0"/>
    <s v="P2"/>
    <n v="0"/>
    <m/>
  </r>
  <r>
    <n v="42.133333333333333"/>
    <d v="2013-11-14T00:00:00"/>
    <x v="0"/>
    <s v="UNHCR "/>
    <s v="Kachin"/>
    <s v="Bhamo"/>
    <s v="Aung Thar Church"/>
    <m/>
    <m/>
    <m/>
    <n v="12"/>
    <n v="9"/>
    <n v="12"/>
    <n v="9"/>
    <n v="9"/>
    <m/>
    <m/>
    <m/>
    <m/>
    <m/>
    <m/>
    <m/>
    <m/>
    <m/>
    <n v="0"/>
    <n v="0"/>
    <n v="0"/>
    <n v="0"/>
    <n v="0"/>
    <n v="0"/>
    <n v="0"/>
    <n v="0"/>
    <n v="0"/>
    <n v="0"/>
    <n v="0"/>
    <n v="0"/>
    <n v="0"/>
    <n v="0"/>
    <n v="0"/>
    <n v="0"/>
    <n v="0"/>
    <n v="0"/>
    <s v="MMR001CMP194"/>
    <x v="0"/>
    <x v="0"/>
    <s v="P4"/>
    <n v="2.2065854316326281E-4"/>
    <s v="No"/>
  </r>
  <r>
    <n v="42.133333333333333"/>
    <d v="2013-11-14T00:00:00"/>
    <x v="1"/>
    <s v="LDO"/>
    <s v="Kachin"/>
    <s v="Mansi"/>
    <s v="Lana Zup Ja "/>
    <m/>
    <m/>
    <m/>
    <m/>
    <m/>
    <m/>
    <m/>
    <m/>
    <m/>
    <m/>
    <n v="550"/>
    <n v="1101"/>
    <n v="3302"/>
    <n v="1651"/>
    <m/>
    <m/>
    <m/>
    <n v="0"/>
    <n v="0"/>
    <n v="0"/>
    <n v="0"/>
    <n v="0"/>
    <n v="0"/>
    <n v="0"/>
    <n v="0"/>
    <n v="0"/>
    <n v="0"/>
    <n v="0"/>
    <n v="0"/>
    <n v="0"/>
    <n v="0"/>
    <n v="1"/>
    <n v="0"/>
    <n v="0"/>
    <n v="0"/>
    <s v="MMR001CMP128"/>
    <x v="0"/>
    <x v="0"/>
    <s v="P2"/>
    <n v="0"/>
    <m/>
  </r>
  <r>
    <n v="42.133333333333333"/>
    <d v="2013-11-14T00:00:00"/>
    <x v="2"/>
    <m/>
    <s v="Kachin"/>
    <s v="Momauk"/>
    <s v="Loi Je Baptist Church"/>
    <m/>
    <m/>
    <m/>
    <m/>
    <m/>
    <n v="75"/>
    <m/>
    <m/>
    <m/>
    <m/>
    <m/>
    <m/>
    <m/>
    <m/>
    <m/>
    <m/>
    <m/>
    <n v="0"/>
    <n v="0"/>
    <n v="0"/>
    <n v="0"/>
    <n v="0"/>
    <n v="0"/>
    <n v="0"/>
    <n v="0"/>
    <n v="0"/>
    <n v="0"/>
    <n v="0"/>
    <n v="0"/>
    <n v="0"/>
    <n v="0"/>
    <n v="0"/>
    <n v="0"/>
    <n v="0"/>
    <n v="0"/>
    <s v="MMR001CMP071"/>
    <x v="0"/>
    <x v="0"/>
    <s v="P3"/>
    <n v="0"/>
    <s v="No"/>
  </r>
  <r>
    <n v="42.133333333333333"/>
    <d v="2013-11-14T00:00:00"/>
    <x v="2"/>
    <m/>
    <s v="Kachin"/>
    <s v="Mansi"/>
    <s v="Man Wing Baptist Church"/>
    <m/>
    <m/>
    <m/>
    <m/>
    <m/>
    <m/>
    <m/>
    <m/>
    <m/>
    <m/>
    <m/>
    <n v="32"/>
    <m/>
    <m/>
    <m/>
    <m/>
    <m/>
    <n v="0"/>
    <n v="0"/>
    <n v="0"/>
    <n v="0"/>
    <n v="0"/>
    <n v="0"/>
    <n v="0"/>
    <n v="0"/>
    <n v="0"/>
    <n v="0"/>
    <n v="0"/>
    <n v="0"/>
    <n v="0"/>
    <n v="0"/>
    <n v="1"/>
    <n v="0"/>
    <n v="0"/>
    <n v="0"/>
    <s v="MMR001CMP133"/>
    <x v="0"/>
    <x v="0"/>
    <s v="P4"/>
    <n v="0"/>
    <s v="No"/>
  </r>
  <r>
    <n v="42.133333333333333"/>
    <d v="2013-11-14T00:00:00"/>
    <x v="1"/>
    <s v="Solidarities"/>
    <s v="Kachin"/>
    <s v="Mansi"/>
    <s v="Man Wing Catholic Church"/>
    <m/>
    <m/>
    <m/>
    <m/>
    <m/>
    <m/>
    <m/>
    <m/>
    <m/>
    <m/>
    <m/>
    <n v="176"/>
    <n v="352"/>
    <n v="176"/>
    <m/>
    <m/>
    <m/>
    <n v="0"/>
    <n v="0"/>
    <n v="0"/>
    <n v="0"/>
    <n v="0"/>
    <n v="0"/>
    <n v="0"/>
    <n v="0"/>
    <n v="0"/>
    <n v="0"/>
    <n v="0"/>
    <n v="0"/>
    <n v="0"/>
    <n v="0"/>
    <n v="1"/>
    <n v="0"/>
    <n v="0"/>
    <n v="0"/>
    <s v="MMR001CMP132"/>
    <x v="0"/>
    <x v="0"/>
    <s v="P4"/>
    <n v="0"/>
    <m/>
  </r>
  <r>
    <n v="42.133333333333333"/>
    <d v="2013-11-14T00:00:00"/>
    <x v="0"/>
    <s v="UNHCR"/>
    <s v="Kachin"/>
    <s v="Mansi"/>
    <s v="Mansi Baptist Church"/>
    <m/>
    <m/>
    <n v="18"/>
    <n v="31"/>
    <n v="18"/>
    <n v="31"/>
    <n v="18"/>
    <n v="18"/>
    <m/>
    <m/>
    <m/>
    <m/>
    <m/>
    <m/>
    <m/>
    <m/>
    <m/>
    <n v="0"/>
    <n v="0"/>
    <n v="0"/>
    <n v="0"/>
    <n v="0"/>
    <n v="0"/>
    <n v="0"/>
    <n v="0"/>
    <n v="0"/>
    <n v="0"/>
    <n v="0"/>
    <n v="0"/>
    <n v="0"/>
    <n v="0"/>
    <n v="0"/>
    <n v="0"/>
    <n v="0"/>
    <n v="0"/>
    <s v="MMR001CMP066"/>
    <x v="0"/>
    <x v="0"/>
    <s v="P4"/>
    <n v="4.3291084441665265E-4"/>
    <s v="No"/>
  </r>
  <r>
    <n v="42.133333333333333"/>
    <d v="2013-11-14T00:00:00"/>
    <x v="2"/>
    <m/>
    <s v="Kachin"/>
    <s v="Momauk"/>
    <s v="Seng Ja "/>
    <m/>
    <m/>
    <m/>
    <m/>
    <m/>
    <n v="110"/>
    <m/>
    <m/>
    <m/>
    <m/>
    <m/>
    <m/>
    <m/>
    <m/>
    <m/>
    <m/>
    <m/>
    <n v="0"/>
    <n v="0"/>
    <n v="0"/>
    <n v="0"/>
    <n v="0"/>
    <n v="0"/>
    <n v="0"/>
    <n v="0"/>
    <n v="0"/>
    <n v="0"/>
    <n v="0"/>
    <n v="0"/>
    <n v="0"/>
    <n v="0"/>
    <n v="0"/>
    <n v="0"/>
    <n v="0"/>
    <n v="0"/>
    <s v="MMR001CMP073"/>
    <x v="0"/>
    <x v="0"/>
    <s v="P3"/>
    <n v="0"/>
    <s v="No"/>
  </r>
  <r>
    <n v="42.1"/>
    <d v="2013-11-15T00:00:00"/>
    <x v="1"/>
    <s v="LDO"/>
    <s v="Kachin"/>
    <s v="Momauk"/>
    <s v="Nhkawng Pa "/>
    <m/>
    <m/>
    <m/>
    <m/>
    <m/>
    <m/>
    <m/>
    <m/>
    <m/>
    <m/>
    <n v="387"/>
    <n v="760"/>
    <n v="2294"/>
    <n v="1147"/>
    <m/>
    <m/>
    <m/>
    <n v="0"/>
    <n v="0"/>
    <n v="0"/>
    <n v="0"/>
    <n v="0"/>
    <n v="0"/>
    <n v="0"/>
    <n v="0"/>
    <n v="0"/>
    <n v="0"/>
    <n v="0"/>
    <n v="0"/>
    <n v="0"/>
    <n v="0"/>
    <n v="1"/>
    <n v="0"/>
    <n v="0"/>
    <n v="0"/>
    <s v="MMR001CMP131"/>
    <x v="0"/>
    <x v="0"/>
    <s v="P1"/>
    <n v="0"/>
    <m/>
  </r>
  <r>
    <n v="42.133333333333333"/>
    <d v="2013-11-14T00:00:00"/>
    <x v="1"/>
    <s v="Solidarities"/>
    <s v="Kachin"/>
    <s v="Mansi"/>
    <s v="Lagatyan "/>
    <m/>
    <m/>
    <m/>
    <m/>
    <m/>
    <m/>
    <m/>
    <m/>
    <m/>
    <m/>
    <n v="120"/>
    <n v="207"/>
    <n v="654"/>
    <n v="327"/>
    <m/>
    <m/>
    <m/>
    <n v="0"/>
    <n v="0"/>
    <n v="0"/>
    <n v="0"/>
    <n v="0"/>
    <n v="0"/>
    <n v="0"/>
    <n v="0"/>
    <n v="0"/>
    <n v="0"/>
    <n v="0"/>
    <n v="0"/>
    <n v="0"/>
    <n v="0"/>
    <n v="1"/>
    <n v="0"/>
    <n v="0"/>
    <n v="0"/>
    <s v="MMR001CMP202"/>
    <x v="0"/>
    <x v="1"/>
    <s v="P4"/>
    <n v="0"/>
    <m/>
  </r>
  <r>
    <n v="42.06666666666667"/>
    <d v="2013-11-16T00:00:00"/>
    <x v="0"/>
    <s v="UNHCR "/>
    <s v="Kachin"/>
    <s v="Bhamo"/>
    <s v="Phan Khar Kone"/>
    <m/>
    <m/>
    <m/>
    <m/>
    <n v="11"/>
    <m/>
    <m/>
    <m/>
    <m/>
    <m/>
    <m/>
    <m/>
    <m/>
    <m/>
    <m/>
    <m/>
    <m/>
    <n v="0"/>
    <n v="0"/>
    <n v="0"/>
    <n v="0"/>
    <n v="0"/>
    <n v="0"/>
    <n v="0"/>
    <n v="0"/>
    <n v="0"/>
    <n v="0"/>
    <n v="0"/>
    <n v="0"/>
    <n v="0"/>
    <n v="0"/>
    <n v="0"/>
    <n v="0"/>
    <n v="0"/>
    <n v="0"/>
    <s v="MMR001CMP193"/>
    <x v="0"/>
    <x v="0"/>
    <s v="P4"/>
    <n v="0"/>
    <s v="No"/>
  </r>
  <r>
    <n v="42.1"/>
    <d v="2013-11-15T00:00:00"/>
    <x v="1"/>
    <s v="LDO"/>
    <s v="Kachin"/>
    <s v="Mansi"/>
    <s v="Lung Kawk  ( Hka Hkye Zup)"/>
    <m/>
    <m/>
    <m/>
    <m/>
    <m/>
    <m/>
    <m/>
    <m/>
    <m/>
    <m/>
    <n v="54"/>
    <n v="106"/>
    <n v="320"/>
    <n v="160"/>
    <m/>
    <m/>
    <m/>
    <n v="0"/>
    <n v="0"/>
    <n v="0"/>
    <n v="0"/>
    <n v="0"/>
    <n v="0"/>
    <n v="0"/>
    <n v="0"/>
    <n v="0"/>
    <n v="0"/>
    <n v="0"/>
    <n v="0"/>
    <n v="0"/>
    <n v="0"/>
    <n v="1"/>
    <n v="0"/>
    <n v="0"/>
    <n v="0"/>
    <s v="MMR001CMP135"/>
    <x v="0"/>
    <x v="1"/>
    <s v="P2"/>
    <n v="0"/>
    <m/>
  </r>
  <r>
    <n v="42.1"/>
    <d v="2013-11-15T00:00:00"/>
    <x v="0"/>
    <s v="UNHCR "/>
    <s v="Kachin"/>
    <s v="Bhamo"/>
    <m/>
    <m/>
    <m/>
    <m/>
    <m/>
    <n v="12"/>
    <m/>
    <m/>
    <m/>
    <m/>
    <m/>
    <m/>
    <m/>
    <m/>
    <m/>
    <m/>
    <m/>
    <m/>
    <n v="0"/>
    <n v="0"/>
    <n v="0"/>
    <n v="0"/>
    <n v="0"/>
    <n v="0"/>
    <n v="0"/>
    <n v="0"/>
    <n v="0"/>
    <n v="0"/>
    <n v="0"/>
    <n v="0"/>
    <n v="0"/>
    <n v="0"/>
    <n v="0"/>
    <n v="0"/>
    <n v="0"/>
    <n v="0"/>
    <s v=""/>
    <x v="1"/>
    <x v="2"/>
    <s v=""/>
    <s v=""/>
    <s v="No"/>
  </r>
  <r>
    <n v="42.06666666666667"/>
    <d v="2013-11-16T00:00:00"/>
    <x v="0"/>
    <s v="UNHCR"/>
    <s v="Kachin"/>
    <s v="Bhamo"/>
    <s v="Robert Church"/>
    <m/>
    <m/>
    <m/>
    <m/>
    <n v="10"/>
    <m/>
    <m/>
    <m/>
    <m/>
    <m/>
    <m/>
    <m/>
    <m/>
    <m/>
    <m/>
    <m/>
    <m/>
    <n v="0"/>
    <n v="0"/>
    <n v="0"/>
    <n v="0"/>
    <n v="0"/>
    <n v="0"/>
    <n v="0"/>
    <n v="0"/>
    <n v="0"/>
    <n v="0"/>
    <n v="0"/>
    <n v="0"/>
    <n v="0"/>
    <n v="0"/>
    <n v="0"/>
    <n v="0"/>
    <n v="0"/>
    <n v="0"/>
    <s v="MMR001CMP047"/>
    <x v="0"/>
    <x v="0"/>
    <s v="P4"/>
    <n v="0"/>
    <s v="No"/>
  </r>
  <r>
    <n v="42.033333333333331"/>
    <d v="2013-11-17T00:00:00"/>
    <x v="2"/>
    <m/>
    <s v="Kachin"/>
    <s v="Momauk"/>
    <s v="Loi Je Catholic Church"/>
    <m/>
    <m/>
    <m/>
    <m/>
    <m/>
    <n v="141"/>
    <m/>
    <m/>
    <m/>
    <m/>
    <m/>
    <m/>
    <m/>
    <m/>
    <m/>
    <m/>
    <m/>
    <n v="0"/>
    <n v="0"/>
    <n v="0"/>
    <n v="0"/>
    <n v="0"/>
    <n v="0"/>
    <n v="0"/>
    <n v="0"/>
    <n v="0"/>
    <n v="0"/>
    <n v="0"/>
    <n v="0"/>
    <n v="0"/>
    <n v="0"/>
    <n v="0"/>
    <n v="0"/>
    <n v="0"/>
    <n v="0"/>
    <s v="MMR001CMP069"/>
    <x v="0"/>
    <x v="0"/>
    <s v="P3"/>
    <n v="0"/>
    <s v="No"/>
  </r>
  <r>
    <n v="42.033333333333331"/>
    <d v="2013-11-17T00:00:00"/>
    <x v="0"/>
    <s v="UNHCR "/>
    <s v="Kachin"/>
    <s v="Mansi"/>
    <s v="Man Wing Catholic Church"/>
    <m/>
    <m/>
    <m/>
    <n v="700"/>
    <n v="350"/>
    <n v="700"/>
    <n v="350"/>
    <n v="350"/>
    <m/>
    <m/>
    <m/>
    <m/>
    <m/>
    <m/>
    <m/>
    <m/>
    <m/>
    <n v="0"/>
    <n v="0"/>
    <n v="0"/>
    <n v="0"/>
    <n v="0"/>
    <n v="0"/>
    <n v="0"/>
    <n v="0"/>
    <n v="0"/>
    <n v="0"/>
    <n v="0"/>
    <n v="0"/>
    <n v="0"/>
    <n v="0"/>
    <n v="0"/>
    <n v="0"/>
    <n v="0"/>
    <n v="0"/>
    <s v="MMR001CMP132"/>
    <x v="0"/>
    <x v="0"/>
    <s v="P4"/>
    <n v="8.5683509596553072E-3"/>
    <s v="No"/>
  </r>
  <r>
    <n v="42.033333333333331"/>
    <d v="2013-11-17T00:00:00"/>
    <x v="2"/>
    <m/>
    <s v="Kachin"/>
    <s v="Momauk"/>
    <s v="Nyaung Na Pin "/>
    <m/>
    <m/>
    <m/>
    <m/>
    <m/>
    <n v="145"/>
    <m/>
    <m/>
    <m/>
    <m/>
    <m/>
    <m/>
    <m/>
    <m/>
    <m/>
    <m/>
    <m/>
    <n v="0"/>
    <n v="0"/>
    <n v="0"/>
    <n v="0"/>
    <n v="0"/>
    <n v="0"/>
    <n v="0"/>
    <n v="0"/>
    <n v="0"/>
    <n v="0"/>
    <n v="0"/>
    <n v="0"/>
    <n v="0"/>
    <n v="0"/>
    <n v="0"/>
    <n v="0"/>
    <n v="0"/>
    <n v="0"/>
    <s v="MMR001CMP072"/>
    <x v="0"/>
    <x v="0"/>
    <s v="P3"/>
    <n v="0"/>
    <s v="No"/>
  </r>
  <r>
    <n v="42"/>
    <d v="2013-11-18T00:00:00"/>
    <x v="2"/>
    <m/>
    <s v="Kachin"/>
    <s v="Momauk"/>
    <s v="Loi Je Lisu Camp"/>
    <m/>
    <m/>
    <m/>
    <m/>
    <m/>
    <n v="395"/>
    <m/>
    <m/>
    <m/>
    <m/>
    <m/>
    <m/>
    <m/>
    <m/>
    <m/>
    <m/>
    <m/>
    <n v="0"/>
    <n v="0"/>
    <n v="0"/>
    <n v="0"/>
    <n v="0"/>
    <n v="0"/>
    <n v="0"/>
    <n v="0"/>
    <n v="0"/>
    <n v="0"/>
    <n v="0"/>
    <n v="0"/>
    <n v="0"/>
    <n v="0"/>
    <n v="0"/>
    <n v="0"/>
    <n v="0"/>
    <n v="0"/>
    <s v="MMR001CMP070"/>
    <x v="0"/>
    <x v="0"/>
    <s v="P3"/>
    <n v="0"/>
    <s v="No"/>
  </r>
  <r>
    <n v="41.966666666666669"/>
    <d v="2013-11-19T00:00:00"/>
    <x v="0"/>
    <s v="UNHCR"/>
    <s v="Kachin"/>
    <s v="Bhamo"/>
    <s v="Host Families"/>
    <m/>
    <m/>
    <m/>
    <n v="57"/>
    <n v="33"/>
    <n v="57"/>
    <n v="33"/>
    <n v="33"/>
    <m/>
    <m/>
    <m/>
    <m/>
    <m/>
    <m/>
    <m/>
    <m/>
    <m/>
    <n v="0"/>
    <n v="0"/>
    <n v="0"/>
    <n v="0"/>
    <n v="0"/>
    <n v="0"/>
    <n v="0"/>
    <n v="0"/>
    <n v="0"/>
    <n v="0"/>
    <n v="0"/>
    <n v="0"/>
    <n v="0"/>
    <n v="0"/>
    <n v="0"/>
    <n v="0"/>
    <n v="0"/>
    <n v="0"/>
    <s v="MMR001CMP163"/>
    <x v="0"/>
    <x v="0"/>
    <s v="P4"/>
    <s v=""/>
    <s v="No"/>
  </r>
  <r>
    <n v="41.966666666666669"/>
    <d v="2013-11-19T00:00:00"/>
    <x v="1"/>
    <s v="KBC"/>
    <s v="Kachin"/>
    <s v="Waingmaw"/>
    <s v="Maga Yang "/>
    <m/>
    <m/>
    <m/>
    <m/>
    <m/>
    <m/>
    <m/>
    <m/>
    <m/>
    <m/>
    <n v="613"/>
    <n v="1226"/>
    <n v="3678"/>
    <n v="1839"/>
    <m/>
    <m/>
    <m/>
    <n v="0"/>
    <n v="0"/>
    <n v="0"/>
    <n v="0"/>
    <n v="0"/>
    <n v="0"/>
    <n v="0"/>
    <n v="0"/>
    <n v="0"/>
    <n v="0"/>
    <n v="0"/>
    <n v="0"/>
    <n v="0"/>
    <n v="0"/>
    <n v="1"/>
    <n v="0"/>
    <n v="0"/>
    <n v="0"/>
    <s v="MMR001CMP119"/>
    <x v="0"/>
    <x v="0"/>
    <s v="P2"/>
    <n v="0"/>
    <m/>
  </r>
  <r>
    <n v="41.966666666666669"/>
    <d v="2013-11-19T00:00:00"/>
    <x v="0"/>
    <s v="UNHCR"/>
    <s v="Kachin"/>
    <s v="Bhamo"/>
    <s v="Robert Church"/>
    <m/>
    <m/>
    <n v="40"/>
    <n v="38"/>
    <n v="20"/>
    <n v="38"/>
    <n v="20"/>
    <n v="20"/>
    <m/>
    <m/>
    <m/>
    <m/>
    <m/>
    <m/>
    <m/>
    <m/>
    <m/>
    <n v="0"/>
    <n v="0"/>
    <n v="0"/>
    <n v="0"/>
    <n v="0"/>
    <n v="0"/>
    <n v="0"/>
    <n v="0"/>
    <n v="0"/>
    <n v="0"/>
    <n v="0"/>
    <n v="0"/>
    <n v="0"/>
    <n v="0"/>
    <n v="0"/>
    <n v="0"/>
    <n v="0"/>
    <n v="0"/>
    <s v="MMR001CMP047"/>
    <x v="0"/>
    <x v="0"/>
    <s v="P4"/>
    <n v="4.9109883364027013E-4"/>
    <s v="No"/>
  </r>
  <r>
    <n v="41.93333333333333"/>
    <d v="2013-11-20T00:00:00"/>
    <x v="1"/>
    <s v="Solidarities"/>
    <s v="Kachin"/>
    <s v="Bhamo"/>
    <s v="Robert Church"/>
    <m/>
    <m/>
    <m/>
    <m/>
    <m/>
    <m/>
    <m/>
    <m/>
    <m/>
    <m/>
    <m/>
    <n v="19"/>
    <n v="38"/>
    <n v="19"/>
    <m/>
    <m/>
    <m/>
    <n v="0"/>
    <n v="0"/>
    <n v="0"/>
    <n v="0"/>
    <n v="0"/>
    <n v="0"/>
    <n v="0"/>
    <n v="0"/>
    <n v="0"/>
    <n v="0"/>
    <n v="0"/>
    <n v="0"/>
    <n v="0"/>
    <n v="0"/>
    <n v="1"/>
    <n v="0"/>
    <n v="0"/>
    <n v="0"/>
    <s v="MMR001CMP047"/>
    <x v="0"/>
    <x v="0"/>
    <s v="P4"/>
    <n v="0"/>
    <m/>
  </r>
  <r>
    <n v="41.966666666666669"/>
    <d v="2013-11-19T00:00:00"/>
    <x v="0"/>
    <s v="UNHCR"/>
    <s v="Kachin"/>
    <s v="Bhamo"/>
    <s v="Thu Kha Waddy"/>
    <m/>
    <m/>
    <m/>
    <n v="13"/>
    <n v="9"/>
    <n v="13"/>
    <n v="9"/>
    <n v="9"/>
    <m/>
    <m/>
    <m/>
    <m/>
    <m/>
    <m/>
    <m/>
    <m/>
    <m/>
    <n v="0"/>
    <n v="0"/>
    <n v="0"/>
    <n v="0"/>
    <n v="0"/>
    <n v="0"/>
    <n v="0"/>
    <n v="0"/>
    <n v="0"/>
    <n v="0"/>
    <n v="0"/>
    <n v="0"/>
    <n v="0"/>
    <n v="0"/>
    <n v="0"/>
    <n v="0"/>
    <n v="0"/>
    <n v="0"/>
    <s v="MMR001CMP211"/>
    <x v="0"/>
    <x v="1"/>
    <s v=""/>
    <s v=""/>
    <s v="No"/>
  </r>
  <r>
    <n v="41.9"/>
    <d v="2013-11-21T00:00:00"/>
    <x v="0"/>
    <s v="UNHCR"/>
    <s v="Kachin"/>
    <s v="Bhamo"/>
    <s v="Aung Thar Church"/>
    <m/>
    <m/>
    <m/>
    <n v="34"/>
    <n v="18"/>
    <n v="34"/>
    <n v="18"/>
    <n v="18"/>
    <m/>
    <m/>
    <m/>
    <m/>
    <m/>
    <m/>
    <m/>
    <m/>
    <m/>
    <n v="0"/>
    <n v="0"/>
    <n v="0"/>
    <n v="0"/>
    <n v="0"/>
    <n v="0"/>
    <n v="0"/>
    <n v="0"/>
    <n v="0"/>
    <n v="0"/>
    <n v="0"/>
    <n v="0"/>
    <n v="0"/>
    <n v="0"/>
    <n v="0"/>
    <n v="0"/>
    <n v="0"/>
    <n v="0"/>
    <s v="MMR001CMP194"/>
    <x v="0"/>
    <x v="0"/>
    <s v="P4"/>
    <n v="4.4131708632652562E-4"/>
    <s v="No"/>
  </r>
  <r>
    <n v="41.9"/>
    <d v="2013-11-21T00:00:00"/>
    <x v="0"/>
    <s v="UNHCR"/>
    <s v="Kachin"/>
    <s v="Bhamo"/>
    <s v="Phan Khar Kone"/>
    <m/>
    <m/>
    <m/>
    <n v="15"/>
    <n v="9"/>
    <n v="15"/>
    <n v="9"/>
    <n v="9"/>
    <m/>
    <m/>
    <m/>
    <m/>
    <m/>
    <m/>
    <m/>
    <m/>
    <m/>
    <n v="0"/>
    <n v="0"/>
    <n v="0"/>
    <n v="0"/>
    <n v="0"/>
    <n v="0"/>
    <n v="0"/>
    <n v="0"/>
    <n v="0"/>
    <n v="0"/>
    <n v="0"/>
    <n v="0"/>
    <n v="0"/>
    <n v="0"/>
    <n v="0"/>
    <n v="0"/>
    <n v="0"/>
    <n v="0"/>
    <s v="MMR001CMP193"/>
    <x v="0"/>
    <x v="0"/>
    <s v="P4"/>
    <n v="2.1804966686856452E-4"/>
    <s v="No"/>
  </r>
  <r>
    <n v="41.833333333333336"/>
    <d v="2013-11-23T00:00:00"/>
    <x v="2"/>
    <m/>
    <s v="Kachin"/>
    <s v="Waingmaw"/>
    <s v="Border Post 8"/>
    <m/>
    <m/>
    <m/>
    <m/>
    <m/>
    <n v="358"/>
    <m/>
    <m/>
    <m/>
    <m/>
    <m/>
    <m/>
    <m/>
    <m/>
    <m/>
    <m/>
    <m/>
    <n v="0"/>
    <n v="0"/>
    <n v="0"/>
    <n v="0"/>
    <n v="0"/>
    <n v="0"/>
    <n v="0"/>
    <n v="0"/>
    <n v="0"/>
    <n v="0"/>
    <n v="0"/>
    <n v="0"/>
    <n v="0"/>
    <n v="0"/>
    <n v="0"/>
    <n v="0"/>
    <n v="0"/>
    <n v="0"/>
    <s v="MMR001CMP113"/>
    <x v="0"/>
    <x v="0"/>
    <s v="P1"/>
    <n v="0"/>
    <s v="No"/>
  </r>
  <r>
    <n v="41.9"/>
    <d v="2013-11-21T00:00:00"/>
    <x v="0"/>
    <s v="UNHCR "/>
    <s v="Kachin"/>
    <s v="Mansi"/>
    <s v="Man Kawng Baptist Church"/>
    <m/>
    <m/>
    <m/>
    <n v="400"/>
    <n v="210"/>
    <n v="400"/>
    <n v="210"/>
    <m/>
    <m/>
    <n v="210"/>
    <m/>
    <m/>
    <m/>
    <m/>
    <m/>
    <m/>
    <m/>
    <n v="0"/>
    <n v="0"/>
    <n v="0"/>
    <n v="0"/>
    <n v="0"/>
    <n v="0"/>
    <n v="0"/>
    <n v="0"/>
    <n v="0"/>
    <n v="0"/>
    <n v="0"/>
    <n v="0"/>
    <n v="0"/>
    <n v="0"/>
    <n v="0"/>
    <n v="0"/>
    <n v="0"/>
    <n v="0"/>
    <s v="MMR001CMP212"/>
    <x v="0"/>
    <x v="1"/>
    <s v=""/>
    <s v=""/>
    <s v="No"/>
  </r>
  <r>
    <n v="41.8"/>
    <d v="2013-11-24T00:00:00"/>
    <x v="1"/>
    <s v="Solidarities"/>
    <s v="Kachin"/>
    <s v="Shwegu"/>
    <s v="Lawk Awng Mare D. (Sinbo Area)"/>
    <m/>
    <m/>
    <m/>
    <m/>
    <m/>
    <m/>
    <m/>
    <m/>
    <m/>
    <m/>
    <n v="45"/>
    <n v="90"/>
    <n v="270"/>
    <n v="135"/>
    <m/>
    <m/>
    <m/>
    <n v="0"/>
    <n v="0"/>
    <n v="0"/>
    <n v="0"/>
    <n v="0"/>
    <n v="0"/>
    <n v="0"/>
    <n v="0"/>
    <n v="0"/>
    <n v="0"/>
    <n v="0"/>
    <n v="0"/>
    <n v="0"/>
    <n v="0"/>
    <n v="1"/>
    <n v="0"/>
    <n v="0"/>
    <n v="0"/>
    <s v="MMR001CMP147"/>
    <x v="2"/>
    <x v="0"/>
    <s v="P4"/>
    <n v="0"/>
    <m/>
  </r>
  <r>
    <n v="41.766666666666666"/>
    <d v="2013-11-25T00:00:00"/>
    <x v="1"/>
    <s v="Solidarities"/>
    <s v="Kachin"/>
    <s v="Mansi"/>
    <s v="Man Wing Baptist Church"/>
    <m/>
    <m/>
    <m/>
    <m/>
    <m/>
    <m/>
    <m/>
    <m/>
    <m/>
    <m/>
    <m/>
    <m/>
    <m/>
    <m/>
    <m/>
    <m/>
    <m/>
    <n v="0"/>
    <n v="0"/>
    <n v="0"/>
    <n v="0"/>
    <n v="0"/>
    <n v="0"/>
    <n v="0"/>
    <n v="0"/>
    <n v="0"/>
    <n v="0"/>
    <n v="0"/>
    <n v="0"/>
    <n v="0"/>
    <n v="0"/>
    <n v="0"/>
    <n v="0"/>
    <n v="0"/>
    <n v="0"/>
    <s v="MMR001CMP133"/>
    <x v="0"/>
    <x v="0"/>
    <s v="P4"/>
    <n v="0"/>
    <m/>
  </r>
  <r>
    <n v="41.8"/>
    <d v="2013-11-24T00:00:00"/>
    <x v="1"/>
    <s v="Solidarities"/>
    <s v="Kachin"/>
    <s v="Mansi"/>
    <s v="Ban Hkung (School)"/>
    <m/>
    <m/>
    <m/>
    <m/>
    <m/>
    <m/>
    <m/>
    <m/>
    <m/>
    <m/>
    <n v="24"/>
    <n v="48"/>
    <n v="144"/>
    <n v="72"/>
    <m/>
    <m/>
    <m/>
    <n v="0"/>
    <n v="0"/>
    <n v="0"/>
    <n v="0"/>
    <n v="0"/>
    <n v="0"/>
    <n v="0"/>
    <n v="0"/>
    <n v="0"/>
    <n v="0"/>
    <n v="0"/>
    <n v="0"/>
    <n v="0"/>
    <n v="0"/>
    <n v="1"/>
    <n v="0"/>
    <n v="0"/>
    <n v="0"/>
    <s v="MMR001CMP215"/>
    <x v="0"/>
    <x v="1"/>
    <s v=""/>
    <s v=""/>
    <m/>
  </r>
  <r>
    <n v="41.8"/>
    <d v="2013-11-24T00:00:00"/>
    <x v="1"/>
    <s v="Solidarities"/>
    <s v="Kachin"/>
    <s v="Mansi"/>
    <s v="Ban Hkung Yang (Boarding School)"/>
    <m/>
    <m/>
    <m/>
    <m/>
    <m/>
    <m/>
    <m/>
    <m/>
    <m/>
    <m/>
    <n v="135"/>
    <n v="270"/>
    <n v="810"/>
    <n v="405"/>
    <m/>
    <m/>
    <m/>
    <n v="0"/>
    <n v="0"/>
    <n v="0"/>
    <n v="0"/>
    <n v="0"/>
    <n v="0"/>
    <n v="0"/>
    <n v="0"/>
    <n v="0"/>
    <n v="0"/>
    <n v="0"/>
    <n v="0"/>
    <n v="0"/>
    <n v="0"/>
    <n v="1"/>
    <n v="0"/>
    <n v="0"/>
    <n v="0"/>
    <s v="MMR001CMP214"/>
    <x v="0"/>
    <x v="1"/>
    <s v=""/>
    <s v=""/>
    <m/>
  </r>
  <r>
    <n v="41.766666666666666"/>
    <d v="2013-11-25T00:00:00"/>
    <x v="1"/>
    <s v="Solidarities"/>
    <s v="Kachin"/>
    <s v="Mansi"/>
    <s v="Man Wing Baptist Church"/>
    <m/>
    <m/>
    <m/>
    <m/>
    <m/>
    <m/>
    <m/>
    <m/>
    <m/>
    <m/>
    <n v="19"/>
    <n v="38"/>
    <n v="114"/>
    <n v="57"/>
    <m/>
    <m/>
    <m/>
    <n v="0"/>
    <n v="0"/>
    <n v="0"/>
    <n v="0"/>
    <n v="0"/>
    <n v="0"/>
    <n v="0"/>
    <n v="0"/>
    <n v="0"/>
    <n v="0"/>
    <n v="0"/>
    <n v="0"/>
    <n v="0"/>
    <n v="0"/>
    <n v="1"/>
    <n v="0"/>
    <n v="0"/>
    <n v="0"/>
    <s v="MMR001CMP133"/>
    <x v="0"/>
    <x v="0"/>
    <s v="P4"/>
    <n v="0"/>
    <m/>
  </r>
  <r>
    <n v="41.766666666666666"/>
    <d v="2013-11-25T00:00:00"/>
    <x v="1"/>
    <s v="Solidarities"/>
    <s v="Kachin"/>
    <s v="Mansi"/>
    <s v="Man Wing Catholic Church"/>
    <m/>
    <m/>
    <m/>
    <m/>
    <m/>
    <m/>
    <m/>
    <m/>
    <m/>
    <m/>
    <n v="60"/>
    <n v="120"/>
    <n v="360"/>
    <n v="180"/>
    <m/>
    <m/>
    <m/>
    <n v="0"/>
    <n v="0"/>
    <n v="0"/>
    <n v="0"/>
    <n v="0"/>
    <n v="0"/>
    <n v="0"/>
    <n v="0"/>
    <n v="0"/>
    <n v="0"/>
    <n v="0"/>
    <n v="0"/>
    <n v="0"/>
    <n v="0"/>
    <n v="1"/>
    <n v="0"/>
    <n v="0"/>
    <n v="0"/>
    <s v="MMR001CMP132"/>
    <x v="0"/>
    <x v="0"/>
    <s v="P4"/>
    <n v="0"/>
    <m/>
  </r>
  <r>
    <n v="41.733333333333334"/>
    <d v="2013-11-26T00:00:00"/>
    <x v="0"/>
    <s v="UNHCR"/>
    <s v="Kachin"/>
    <s v="Bhamo"/>
    <s v="Aung Thar Church"/>
    <m/>
    <m/>
    <m/>
    <n v="11"/>
    <n v="5"/>
    <n v="11"/>
    <n v="5"/>
    <n v="5"/>
    <m/>
    <m/>
    <m/>
    <m/>
    <m/>
    <m/>
    <m/>
    <m/>
    <m/>
    <n v="0"/>
    <n v="0"/>
    <n v="0"/>
    <n v="0"/>
    <n v="0"/>
    <n v="0"/>
    <n v="0"/>
    <n v="0"/>
    <n v="0"/>
    <n v="0"/>
    <n v="0"/>
    <n v="0"/>
    <n v="0"/>
    <n v="0"/>
    <n v="0"/>
    <n v="0"/>
    <n v="0"/>
    <n v="0"/>
    <s v="MMR001CMP194"/>
    <x v="0"/>
    <x v="0"/>
    <s v="P4"/>
    <n v="1.2258807953514599E-4"/>
    <s v="No"/>
  </r>
  <r>
    <n v="41.733333333333334"/>
    <d v="2013-11-26T00:00:00"/>
    <x v="0"/>
    <s v="UNHCR"/>
    <s v="Kachin"/>
    <s v="Bhamo"/>
    <s v="Host Families"/>
    <m/>
    <m/>
    <m/>
    <n v="25"/>
    <n v="13"/>
    <n v="25"/>
    <n v="13"/>
    <n v="13"/>
    <m/>
    <m/>
    <m/>
    <m/>
    <m/>
    <m/>
    <m/>
    <m/>
    <m/>
    <n v="0"/>
    <n v="0"/>
    <n v="0"/>
    <n v="0"/>
    <n v="0"/>
    <n v="0"/>
    <n v="0"/>
    <n v="0"/>
    <n v="0"/>
    <n v="0"/>
    <n v="0"/>
    <n v="0"/>
    <n v="0"/>
    <n v="0"/>
    <n v="0"/>
    <n v="0"/>
    <n v="0"/>
    <n v="0"/>
    <s v="MMR001CMP163"/>
    <x v="0"/>
    <x v="0"/>
    <s v="P4"/>
    <s v=""/>
    <s v="No"/>
  </r>
  <r>
    <n v="41.733333333333334"/>
    <d v="2013-11-26T00:00:00"/>
    <x v="0"/>
    <s v="UNHCR"/>
    <s v="Kachin"/>
    <s v="Bhamo"/>
    <s v="Lisu Boarding-House"/>
    <m/>
    <m/>
    <m/>
    <n v="31"/>
    <n v="13"/>
    <n v="31"/>
    <n v="13"/>
    <n v="13"/>
    <m/>
    <m/>
    <m/>
    <m/>
    <m/>
    <m/>
    <m/>
    <m/>
    <m/>
    <n v="0"/>
    <n v="0"/>
    <n v="0"/>
    <n v="0"/>
    <n v="0"/>
    <n v="0"/>
    <n v="0"/>
    <n v="0"/>
    <n v="0"/>
    <n v="0"/>
    <n v="0"/>
    <n v="0"/>
    <n v="0"/>
    <n v="0"/>
    <n v="0"/>
    <n v="0"/>
    <n v="0"/>
    <n v="0"/>
    <s v="MMR001CMP049"/>
    <x v="0"/>
    <x v="0"/>
    <s v="P4"/>
    <n v="3.1944956382848013E-4"/>
    <s v="No"/>
  </r>
  <r>
    <n v="41.733333333333334"/>
    <d v="2013-11-26T00:00:00"/>
    <x v="0"/>
    <s v="UNHCR"/>
    <s v="Kachin"/>
    <s v="Bhamo"/>
    <s v="Mu-yin Baptist Church"/>
    <m/>
    <m/>
    <m/>
    <n v="22"/>
    <n v="11"/>
    <n v="22"/>
    <n v="11"/>
    <n v="11"/>
    <m/>
    <m/>
    <m/>
    <m/>
    <m/>
    <m/>
    <m/>
    <m/>
    <m/>
    <n v="0"/>
    <n v="0"/>
    <n v="0"/>
    <n v="0"/>
    <n v="0"/>
    <n v="0"/>
    <n v="0"/>
    <n v="0"/>
    <n v="0"/>
    <n v="0"/>
    <n v="0"/>
    <n v="0"/>
    <n v="0"/>
    <n v="0"/>
    <n v="0"/>
    <n v="0"/>
    <n v="0"/>
    <n v="0"/>
    <s v="MMR001CMP051"/>
    <x v="0"/>
    <x v="0"/>
    <s v="P4"/>
    <n v="2.6710050263458222E-4"/>
    <s v="No"/>
  </r>
  <r>
    <n v="41.733333333333334"/>
    <d v="2013-11-26T00:00:00"/>
    <x v="1"/>
    <s v="KBC"/>
    <s v="Kachin"/>
    <s v="Waingmaw"/>
    <s v="Pajau - Jan Mai"/>
    <m/>
    <m/>
    <m/>
    <m/>
    <m/>
    <m/>
    <m/>
    <m/>
    <m/>
    <m/>
    <n v="98"/>
    <n v="196"/>
    <n v="588"/>
    <n v="294"/>
    <m/>
    <m/>
    <m/>
    <n v="0"/>
    <n v="0"/>
    <n v="0"/>
    <n v="0"/>
    <n v="0"/>
    <n v="0"/>
    <n v="0"/>
    <n v="0"/>
    <n v="0"/>
    <n v="0"/>
    <n v="0"/>
    <n v="0"/>
    <n v="0"/>
    <n v="0"/>
    <n v="1"/>
    <n v="0"/>
    <n v="0"/>
    <n v="0"/>
    <s v="MMR001CMP120"/>
    <x v="0"/>
    <x v="0"/>
    <s v="P1"/>
    <n v="0"/>
    <m/>
  </r>
  <r>
    <n v="41.666666666666664"/>
    <d v="2013-11-28T00:00:00"/>
    <x v="0"/>
    <s v="UNHCR"/>
    <s v="Kachin"/>
    <s v="Mansi"/>
    <s v="Mansi Baptist Church"/>
    <m/>
    <m/>
    <m/>
    <n v="20"/>
    <n v="7"/>
    <n v="22"/>
    <n v="7"/>
    <n v="7"/>
    <m/>
    <m/>
    <m/>
    <m/>
    <m/>
    <m/>
    <m/>
    <m/>
    <m/>
    <n v="0"/>
    <n v="0"/>
    <n v="0"/>
    <n v="0"/>
    <n v="0"/>
    <n v="0"/>
    <n v="0"/>
    <n v="0"/>
    <n v="0"/>
    <n v="0"/>
    <n v="0"/>
    <n v="0"/>
    <n v="0"/>
    <n v="0"/>
    <n v="0"/>
    <n v="0"/>
    <n v="0"/>
    <n v="0"/>
    <s v="MMR001CMP066"/>
    <x v="0"/>
    <x v="0"/>
    <s v="P4"/>
    <n v="1.6835421727314268E-4"/>
    <s v="No"/>
  </r>
  <r>
    <n v="41.733333333333334"/>
    <d v="2013-11-26T00:00:00"/>
    <x v="1"/>
    <s v="Solidarities"/>
    <s v="Kachin"/>
    <s v="Mansi"/>
    <s v="Lagatyan "/>
    <m/>
    <m/>
    <m/>
    <m/>
    <m/>
    <m/>
    <m/>
    <m/>
    <m/>
    <m/>
    <n v="80"/>
    <n v="160"/>
    <n v="480"/>
    <n v="240"/>
    <m/>
    <m/>
    <m/>
    <n v="0"/>
    <n v="0"/>
    <n v="0"/>
    <n v="0"/>
    <n v="0"/>
    <n v="0"/>
    <n v="0"/>
    <n v="0"/>
    <n v="0"/>
    <n v="0"/>
    <n v="0"/>
    <n v="0"/>
    <n v="0"/>
    <n v="0"/>
    <n v="1"/>
    <n v="0"/>
    <n v="0"/>
    <n v="0"/>
    <s v="MMR001CMP202"/>
    <x v="0"/>
    <x v="1"/>
    <s v="P4"/>
    <n v="0"/>
    <m/>
  </r>
  <r>
    <n v="41.633333333333333"/>
    <d v="2013-11-29T00:00:00"/>
    <x v="1"/>
    <s v="KBC"/>
    <s v="Kachin"/>
    <s v="Waingmaw"/>
    <s v="Hkau Shau (BP 12)"/>
    <m/>
    <m/>
    <m/>
    <m/>
    <m/>
    <m/>
    <m/>
    <m/>
    <m/>
    <m/>
    <n v="177"/>
    <n v="354"/>
    <n v="1062"/>
    <n v="531"/>
    <m/>
    <m/>
    <m/>
    <n v="0"/>
    <n v="0"/>
    <n v="0"/>
    <n v="0"/>
    <n v="0"/>
    <n v="0"/>
    <n v="0"/>
    <n v="0"/>
    <n v="0"/>
    <n v="0"/>
    <n v="0"/>
    <n v="0"/>
    <n v="0"/>
    <n v="0"/>
    <n v="1"/>
    <n v="0"/>
    <n v="0"/>
    <n v="0"/>
    <s v="MMR001CMP115"/>
    <x v="0"/>
    <x v="0"/>
    <s v="P1"/>
    <n v="0"/>
    <m/>
  </r>
  <r>
    <n v="41.666666666666664"/>
    <d v="2013-11-28T00:00:00"/>
    <x v="1"/>
    <s v="KBC"/>
    <s v="Kachin"/>
    <s v="Waingmaw"/>
    <s v="Zai Awng - Mung Ga Zup"/>
    <m/>
    <m/>
    <m/>
    <m/>
    <m/>
    <m/>
    <m/>
    <m/>
    <m/>
    <m/>
    <n v="636"/>
    <n v="1272"/>
    <n v="3816"/>
    <n v="1908"/>
    <m/>
    <m/>
    <m/>
    <n v="0"/>
    <n v="0"/>
    <n v="0"/>
    <n v="0"/>
    <n v="0"/>
    <n v="0"/>
    <n v="0"/>
    <n v="0"/>
    <n v="0"/>
    <n v="0"/>
    <n v="0"/>
    <n v="0"/>
    <n v="0"/>
    <n v="0"/>
    <n v="1"/>
    <n v="0"/>
    <n v="0"/>
    <n v="0"/>
    <s v="MMR001CMP111"/>
    <x v="0"/>
    <x v="1"/>
    <s v="P2"/>
    <n v="0"/>
    <m/>
  </r>
  <r>
    <n v="41.6"/>
    <d v="2013-11-30T00:00:00"/>
    <x v="6"/>
    <s v="MDCG"/>
    <s v="Kachin"/>
    <s v="Bhamo"/>
    <s v="AD-2000 Tharthana Compound"/>
    <m/>
    <m/>
    <m/>
    <m/>
    <m/>
    <n v="104"/>
    <m/>
    <m/>
    <m/>
    <m/>
    <n v="146"/>
    <n v="39"/>
    <n v="0"/>
    <m/>
    <m/>
    <m/>
    <m/>
    <n v="0"/>
    <n v="0"/>
    <n v="0"/>
    <n v="0"/>
    <n v="0"/>
    <n v="0"/>
    <n v="0"/>
    <n v="0"/>
    <n v="0"/>
    <n v="0"/>
    <n v="0"/>
    <n v="0"/>
    <n v="0"/>
    <n v="0"/>
    <n v="1"/>
    <n v="0"/>
    <n v="0"/>
    <n v="0"/>
    <s v="MMR001CMP050"/>
    <x v="0"/>
    <x v="0"/>
    <s v="P4"/>
    <n v="0"/>
    <s v="No"/>
  </r>
  <r>
    <n v="41.6"/>
    <d v="2013-11-30T00:00:00"/>
    <x v="1"/>
    <m/>
    <s v="Kachin"/>
    <s v="Bhamo"/>
    <s v="Aung Thar Church"/>
    <m/>
    <m/>
    <m/>
    <m/>
    <m/>
    <m/>
    <m/>
    <m/>
    <m/>
    <m/>
    <m/>
    <m/>
    <m/>
    <m/>
    <m/>
    <m/>
    <m/>
    <n v="0"/>
    <n v="0"/>
    <n v="0"/>
    <n v="0"/>
    <n v="0"/>
    <n v="0"/>
    <n v="0"/>
    <n v="0"/>
    <n v="0"/>
    <n v="0"/>
    <n v="0"/>
    <n v="0"/>
    <n v="0"/>
    <n v="0"/>
    <n v="0"/>
    <n v="0"/>
    <n v="0"/>
    <n v="0"/>
    <s v="MMR001CMP194"/>
    <x v="0"/>
    <x v="1"/>
    <s v="P4"/>
    <n v="0"/>
    <s v="No"/>
  </r>
  <r>
    <n v="41.6"/>
    <d v="2013-11-30T00:00:00"/>
    <x v="1"/>
    <m/>
    <s v="Kachin"/>
    <s v="Bhamo"/>
    <s v="AD-2000 Tharthana Compound"/>
    <m/>
    <m/>
    <m/>
    <m/>
    <m/>
    <m/>
    <m/>
    <m/>
    <m/>
    <n v="660"/>
    <m/>
    <m/>
    <m/>
    <m/>
    <m/>
    <m/>
    <m/>
    <n v="0"/>
    <n v="0"/>
    <n v="0"/>
    <n v="0"/>
    <n v="0"/>
    <n v="0"/>
    <n v="0"/>
    <n v="0"/>
    <n v="0"/>
    <n v="0"/>
    <n v="0"/>
    <n v="0"/>
    <n v="0"/>
    <n v="0"/>
    <n v="0"/>
    <n v="0"/>
    <n v="0"/>
    <n v="0"/>
    <s v="MMR001CMP050"/>
    <x v="0"/>
    <x v="0"/>
    <s v="P4"/>
    <n v="0"/>
    <s v="No"/>
  </r>
  <r>
    <n v="41.6"/>
    <d v="2013-11-30T00:00:00"/>
    <x v="0"/>
    <s v="UNHCR"/>
    <s v="Kachin"/>
    <s v="Bhamo"/>
    <s v="AD-2000 Tharthana Compound"/>
    <m/>
    <m/>
    <m/>
    <n v="6"/>
    <n v="6"/>
    <n v="6"/>
    <n v="6"/>
    <n v="6"/>
    <m/>
    <m/>
    <m/>
    <m/>
    <m/>
    <m/>
    <m/>
    <m/>
    <m/>
    <n v="0"/>
    <n v="0"/>
    <n v="0"/>
    <n v="0"/>
    <n v="0"/>
    <n v="0"/>
    <n v="0"/>
    <n v="0"/>
    <n v="0"/>
    <n v="0"/>
    <n v="0"/>
    <n v="0"/>
    <n v="0"/>
    <n v="0"/>
    <n v="0"/>
    <n v="0"/>
    <n v="0"/>
    <n v="0"/>
    <s v="MMR001CMP050"/>
    <x v="0"/>
    <x v="0"/>
    <s v="P4"/>
    <n v="1.4688601645123384E-4"/>
    <s v="No"/>
  </r>
  <r>
    <n v="41.6"/>
    <d v="2013-11-30T00:00:00"/>
    <x v="1"/>
    <s v="KBC"/>
    <s v="Kachin"/>
    <s v="Waingmaw"/>
    <s v="Border Post 8"/>
    <m/>
    <m/>
    <m/>
    <m/>
    <m/>
    <m/>
    <m/>
    <m/>
    <m/>
    <m/>
    <m/>
    <m/>
    <m/>
    <m/>
    <m/>
    <m/>
    <m/>
    <n v="0"/>
    <n v="0"/>
    <n v="0"/>
    <n v="0"/>
    <n v="0"/>
    <n v="0"/>
    <n v="0"/>
    <n v="0"/>
    <n v="0"/>
    <n v="0"/>
    <n v="0"/>
    <n v="0"/>
    <n v="0"/>
    <n v="0"/>
    <n v="0"/>
    <n v="0"/>
    <n v="0"/>
    <n v="0"/>
    <s v="MMR001CMP113"/>
    <x v="0"/>
    <x v="0"/>
    <s v="P1"/>
    <n v="0"/>
    <s v="No"/>
  </r>
  <r>
    <n v="41.6"/>
    <d v="2013-11-30T00:00:00"/>
    <x v="6"/>
    <s v="MDCG"/>
    <s v="Kachin"/>
    <s v="Mansi"/>
    <s v="Bum Tsit Pa "/>
    <m/>
    <m/>
    <m/>
    <m/>
    <m/>
    <n v="819"/>
    <m/>
    <m/>
    <m/>
    <m/>
    <n v="966"/>
    <n v="484"/>
    <n v="0"/>
    <m/>
    <m/>
    <m/>
    <m/>
    <n v="0"/>
    <n v="0"/>
    <n v="0"/>
    <n v="0"/>
    <n v="0"/>
    <n v="0"/>
    <n v="0"/>
    <n v="0"/>
    <n v="0"/>
    <n v="0"/>
    <n v="0"/>
    <n v="0"/>
    <n v="0"/>
    <n v="0"/>
    <n v="1"/>
    <n v="0"/>
    <n v="0"/>
    <n v="0"/>
    <s v="MMR001CMP129"/>
    <x v="0"/>
    <x v="0"/>
    <s v="P2"/>
    <n v="0"/>
    <s v="No"/>
  </r>
  <r>
    <n v="41.6"/>
    <d v="2013-11-30T00:00:00"/>
    <x v="1"/>
    <s v="KBC"/>
    <s v="Kachin"/>
    <s v="Mansi"/>
    <s v="Bum Tsit Pa "/>
    <m/>
    <m/>
    <m/>
    <m/>
    <m/>
    <m/>
    <m/>
    <m/>
    <m/>
    <n v="321"/>
    <m/>
    <m/>
    <m/>
    <m/>
    <m/>
    <m/>
    <m/>
    <n v="0"/>
    <n v="0"/>
    <n v="0"/>
    <n v="0"/>
    <n v="0"/>
    <n v="0"/>
    <n v="0"/>
    <n v="0"/>
    <n v="0"/>
    <n v="0"/>
    <n v="0"/>
    <n v="0"/>
    <n v="0"/>
    <n v="0"/>
    <n v="0"/>
    <n v="0"/>
    <n v="0"/>
    <n v="0"/>
    <s v="MMR001CMP129"/>
    <x v="0"/>
    <x v="0"/>
    <s v="P2"/>
    <n v="0"/>
    <s v="No"/>
  </r>
  <r>
    <n v="41.6"/>
    <d v="2013-11-30T00:00:00"/>
    <x v="0"/>
    <s v="UNHCR"/>
    <s v="Kachin"/>
    <s v="Mansi"/>
    <s v="Bum Tsit Pa "/>
    <m/>
    <m/>
    <m/>
    <m/>
    <m/>
    <m/>
    <m/>
    <m/>
    <m/>
    <m/>
    <m/>
    <m/>
    <m/>
    <m/>
    <m/>
    <m/>
    <m/>
    <n v="0"/>
    <n v="0"/>
    <n v="0"/>
    <n v="0"/>
    <n v="0"/>
    <n v="0"/>
    <n v="0"/>
    <n v="0"/>
    <n v="0"/>
    <n v="0"/>
    <n v="0"/>
    <n v="0"/>
    <n v="0"/>
    <n v="0"/>
    <n v="0"/>
    <n v="0"/>
    <n v="0"/>
    <n v="0"/>
    <s v="MMR001CMP129"/>
    <x v="0"/>
    <x v="0"/>
    <s v="P2"/>
    <n v="0"/>
    <s v="No"/>
  </r>
  <r>
    <n v="41.6"/>
    <d v="2013-11-30T00:00:00"/>
    <x v="1"/>
    <s v="KBC"/>
    <s v="Kachin"/>
    <s v="Momauk"/>
    <s v="Dum Bung "/>
    <m/>
    <m/>
    <m/>
    <m/>
    <m/>
    <m/>
    <m/>
    <m/>
    <m/>
    <m/>
    <m/>
    <m/>
    <m/>
    <m/>
    <m/>
    <m/>
    <m/>
    <n v="0"/>
    <n v="0"/>
    <n v="0"/>
    <n v="0"/>
    <n v="0"/>
    <n v="0"/>
    <n v="0"/>
    <n v="0"/>
    <n v="0"/>
    <n v="0"/>
    <n v="0"/>
    <n v="0"/>
    <n v="0"/>
    <n v="0"/>
    <n v="0"/>
    <n v="0"/>
    <n v="0"/>
    <n v="0"/>
    <s v="MMR001CMP123"/>
    <x v="0"/>
    <x v="0"/>
    <s v="P2"/>
    <n v="0"/>
    <s v="No"/>
  </r>
  <r>
    <n v="41.6"/>
    <d v="2013-11-30T00:00:00"/>
    <x v="0"/>
    <s v="UNHCR"/>
    <s v="Kachin"/>
    <s v="Momauk"/>
    <s v="Dum Bung "/>
    <m/>
    <m/>
    <m/>
    <m/>
    <m/>
    <m/>
    <m/>
    <m/>
    <m/>
    <m/>
    <m/>
    <m/>
    <m/>
    <m/>
    <m/>
    <m/>
    <m/>
    <n v="0"/>
    <n v="0"/>
    <n v="0"/>
    <n v="0"/>
    <n v="0"/>
    <n v="0"/>
    <n v="0"/>
    <n v="0"/>
    <n v="0"/>
    <n v="0"/>
    <n v="0"/>
    <n v="0"/>
    <n v="0"/>
    <n v="0"/>
    <n v="0"/>
    <n v="0"/>
    <n v="0"/>
    <n v="0"/>
    <s v="MMR001CMP123"/>
    <x v="0"/>
    <x v="0"/>
    <s v="P2"/>
    <n v="0"/>
    <s v="No"/>
  </r>
  <r>
    <n v="41.6"/>
    <d v="2013-11-30T00:00:00"/>
    <x v="1"/>
    <s v="KBC"/>
    <s v="Kachin"/>
    <s v="Waingmaw"/>
    <s v="Hkat Cho "/>
    <m/>
    <m/>
    <m/>
    <m/>
    <m/>
    <m/>
    <m/>
    <m/>
    <m/>
    <m/>
    <m/>
    <m/>
    <m/>
    <m/>
    <m/>
    <m/>
    <m/>
    <n v="0"/>
    <n v="0"/>
    <n v="0"/>
    <n v="0"/>
    <n v="0"/>
    <n v="0"/>
    <n v="0"/>
    <n v="0"/>
    <n v="0"/>
    <n v="0"/>
    <n v="0"/>
    <n v="0"/>
    <n v="0"/>
    <n v="0"/>
    <n v="0"/>
    <n v="0"/>
    <n v="0"/>
    <n v="0"/>
    <s v="MMR001CMP028"/>
    <x v="0"/>
    <x v="0"/>
    <s v="P4"/>
    <n v="0"/>
    <s v="No"/>
  </r>
  <r>
    <n v="41.6"/>
    <d v="2013-11-30T00:00:00"/>
    <x v="1"/>
    <s v="KBC"/>
    <s v="Kachin"/>
    <s v="Waingmaw"/>
    <s v="Hkau Shau (BP 12)"/>
    <m/>
    <m/>
    <m/>
    <m/>
    <m/>
    <m/>
    <m/>
    <m/>
    <m/>
    <m/>
    <m/>
    <m/>
    <m/>
    <m/>
    <m/>
    <m/>
    <m/>
    <n v="0"/>
    <n v="0"/>
    <n v="0"/>
    <n v="0"/>
    <n v="0"/>
    <n v="0"/>
    <n v="0"/>
    <n v="0"/>
    <n v="0"/>
    <n v="0"/>
    <n v="0"/>
    <n v="0"/>
    <n v="0"/>
    <n v="0"/>
    <n v="0"/>
    <n v="0"/>
    <n v="0"/>
    <n v="0"/>
    <s v="MMR001CMP115"/>
    <x v="0"/>
    <x v="0"/>
    <s v="P1"/>
    <n v="0"/>
    <s v="No"/>
  </r>
  <r>
    <n v="41.6"/>
    <d v="2013-11-30T00:00:00"/>
    <x v="1"/>
    <s v="KBC"/>
    <s v="Kachin"/>
    <s v="Momauk"/>
    <s v="Hpun Lum Yang "/>
    <m/>
    <m/>
    <m/>
    <m/>
    <m/>
    <m/>
    <m/>
    <m/>
    <m/>
    <n v="978"/>
    <m/>
    <m/>
    <m/>
    <m/>
    <m/>
    <m/>
    <m/>
    <n v="0"/>
    <n v="0"/>
    <n v="0"/>
    <n v="0"/>
    <n v="0"/>
    <n v="0"/>
    <n v="0"/>
    <n v="0"/>
    <n v="0"/>
    <n v="0"/>
    <n v="0"/>
    <n v="0"/>
    <n v="0"/>
    <n v="0"/>
    <n v="0"/>
    <n v="0"/>
    <n v="0"/>
    <n v="0"/>
    <s v="MMR001CMP122"/>
    <x v="0"/>
    <x v="0"/>
    <s v="P2"/>
    <n v="0"/>
    <s v="No"/>
  </r>
  <r>
    <n v="41.6"/>
    <d v="2013-11-30T00:00:00"/>
    <x v="6"/>
    <s v="MDCG"/>
    <s v="Kachin"/>
    <s v="Mansi"/>
    <s v="Lagatyan "/>
    <m/>
    <m/>
    <m/>
    <m/>
    <m/>
    <n v="447"/>
    <m/>
    <m/>
    <m/>
    <m/>
    <n v="398"/>
    <n v="390"/>
    <n v="0"/>
    <m/>
    <m/>
    <m/>
    <m/>
    <n v="0"/>
    <n v="0"/>
    <n v="0"/>
    <n v="0"/>
    <n v="0"/>
    <n v="0"/>
    <n v="0"/>
    <n v="0"/>
    <n v="0"/>
    <n v="0"/>
    <n v="0"/>
    <n v="0"/>
    <n v="0"/>
    <n v="0"/>
    <n v="1"/>
    <n v="0"/>
    <n v="0"/>
    <n v="0"/>
    <s v="MMR001CMP202"/>
    <x v="0"/>
    <x v="1"/>
    <s v="P4"/>
    <n v="0"/>
    <s v="No"/>
  </r>
  <r>
    <n v="41.6"/>
    <d v="2013-11-30T00:00:00"/>
    <x v="1"/>
    <m/>
    <s v="Kachin"/>
    <s v="Mansi"/>
    <s v="Lagatyan "/>
    <m/>
    <m/>
    <m/>
    <m/>
    <m/>
    <m/>
    <m/>
    <m/>
    <m/>
    <m/>
    <m/>
    <m/>
    <m/>
    <m/>
    <m/>
    <m/>
    <m/>
    <n v="0"/>
    <n v="0"/>
    <n v="0"/>
    <n v="0"/>
    <n v="0"/>
    <n v="0"/>
    <n v="0"/>
    <n v="0"/>
    <n v="0"/>
    <n v="0"/>
    <n v="0"/>
    <n v="0"/>
    <n v="0"/>
    <n v="0"/>
    <n v="0"/>
    <n v="0"/>
    <n v="0"/>
    <n v="0"/>
    <s v="MMR001CMP202"/>
    <x v="0"/>
    <x v="1"/>
    <s v="P4"/>
    <n v="0"/>
    <s v="No"/>
  </r>
  <r>
    <n v="41.6"/>
    <d v="2013-11-30T00:00:00"/>
    <x v="1"/>
    <s v="KBC"/>
    <s v="Kachin"/>
    <s v="Waingmaw"/>
    <s v="Laiza Market 3 - Laiza Gat"/>
    <m/>
    <m/>
    <m/>
    <m/>
    <m/>
    <m/>
    <m/>
    <m/>
    <m/>
    <n v="729"/>
    <m/>
    <m/>
    <m/>
    <m/>
    <m/>
    <m/>
    <m/>
    <n v="0"/>
    <n v="0"/>
    <n v="0"/>
    <n v="0"/>
    <n v="0"/>
    <n v="0"/>
    <n v="0"/>
    <n v="0"/>
    <n v="0"/>
    <n v="0"/>
    <n v="0"/>
    <n v="0"/>
    <n v="0"/>
    <n v="0"/>
    <n v="0"/>
    <n v="0"/>
    <n v="0"/>
    <n v="0"/>
    <s v="MMR001CMP117"/>
    <x v="0"/>
    <x v="1"/>
    <s v="P2"/>
    <n v="0"/>
    <s v="No"/>
  </r>
  <r>
    <n v="41.6"/>
    <d v="2013-11-30T00:00:00"/>
    <x v="6"/>
    <s v="MDCG"/>
    <s v="Kachin"/>
    <s v="Bhamo"/>
    <s v="Htoi San Church"/>
    <m/>
    <m/>
    <m/>
    <m/>
    <m/>
    <n v="105"/>
    <m/>
    <m/>
    <m/>
    <m/>
    <n v="154"/>
    <n v="26"/>
    <n v="0"/>
    <m/>
    <m/>
    <m/>
    <m/>
    <n v="0"/>
    <n v="0"/>
    <n v="0"/>
    <n v="0"/>
    <n v="0"/>
    <n v="0"/>
    <n v="0"/>
    <n v="0"/>
    <n v="0"/>
    <n v="0"/>
    <n v="0"/>
    <n v="0"/>
    <n v="0"/>
    <n v="0"/>
    <n v="1"/>
    <n v="0"/>
    <n v="0"/>
    <n v="0"/>
    <s v="MMR001CMP052"/>
    <x v="0"/>
    <x v="0"/>
    <s v="P4"/>
    <n v="0"/>
    <s v="No"/>
  </r>
  <r>
    <n v="41.6"/>
    <d v="2013-11-30T00:00:00"/>
    <x v="1"/>
    <m/>
    <s v="Kachin"/>
    <s v="Bhamo"/>
    <s v="Htoi San Church"/>
    <m/>
    <m/>
    <m/>
    <m/>
    <m/>
    <m/>
    <m/>
    <m/>
    <m/>
    <n v="138"/>
    <m/>
    <m/>
    <m/>
    <m/>
    <m/>
    <m/>
    <m/>
    <n v="0"/>
    <n v="0"/>
    <n v="0"/>
    <n v="0"/>
    <n v="0"/>
    <n v="0"/>
    <n v="0"/>
    <n v="0"/>
    <n v="0"/>
    <n v="0"/>
    <n v="0"/>
    <n v="0"/>
    <n v="0"/>
    <n v="0"/>
    <n v="0"/>
    <n v="0"/>
    <n v="0"/>
    <n v="0"/>
    <s v="MMR001CMP052"/>
    <x v="0"/>
    <x v="0"/>
    <s v="P4"/>
    <n v="0"/>
    <s v="No"/>
  </r>
  <r>
    <n v="41.6"/>
    <d v="2013-11-30T00:00:00"/>
    <x v="1"/>
    <s v="KBC"/>
    <s v="Kachin"/>
    <s v="Momauk"/>
    <s v="Je Yang Hka "/>
    <m/>
    <m/>
    <m/>
    <m/>
    <m/>
    <m/>
    <m/>
    <m/>
    <m/>
    <n v="5268"/>
    <m/>
    <m/>
    <m/>
    <m/>
    <m/>
    <m/>
    <m/>
    <n v="0"/>
    <n v="0"/>
    <n v="0"/>
    <n v="0"/>
    <n v="0"/>
    <n v="0"/>
    <n v="0"/>
    <n v="0"/>
    <n v="0"/>
    <n v="0"/>
    <n v="0"/>
    <n v="0"/>
    <n v="0"/>
    <n v="0"/>
    <n v="0"/>
    <n v="0"/>
    <n v="0"/>
    <n v="0"/>
    <s v="MMR001CMP121"/>
    <x v="0"/>
    <x v="0"/>
    <s v="P2"/>
    <n v="0"/>
    <s v="No"/>
  </r>
  <r>
    <n v="41.6"/>
    <d v="2013-11-30T00:00:00"/>
    <x v="1"/>
    <s v="LDO"/>
    <s v="Kachin"/>
    <s v="Mansi"/>
    <s v="Lana Zup Ja "/>
    <m/>
    <m/>
    <m/>
    <m/>
    <m/>
    <m/>
    <m/>
    <m/>
    <m/>
    <m/>
    <m/>
    <m/>
    <m/>
    <m/>
    <m/>
    <m/>
    <m/>
    <n v="0"/>
    <n v="0"/>
    <n v="0"/>
    <n v="0"/>
    <n v="0"/>
    <n v="0"/>
    <n v="0"/>
    <n v="0"/>
    <n v="0"/>
    <n v="0"/>
    <n v="0"/>
    <n v="0"/>
    <n v="0"/>
    <n v="0"/>
    <n v="0"/>
    <n v="0"/>
    <n v="0"/>
    <n v="0"/>
    <s v="MMR001CMP128"/>
    <x v="0"/>
    <x v="0"/>
    <s v="P2"/>
    <n v="0"/>
    <s v="No"/>
  </r>
  <r>
    <n v="41.6"/>
    <d v="2013-11-30T00:00:00"/>
    <x v="0"/>
    <s v="UNHCR"/>
    <s v="Kachin"/>
    <s v="Mansi"/>
    <s v="Lana Zup Ja "/>
    <m/>
    <m/>
    <m/>
    <m/>
    <m/>
    <m/>
    <m/>
    <m/>
    <m/>
    <m/>
    <m/>
    <m/>
    <m/>
    <m/>
    <m/>
    <m/>
    <m/>
    <n v="0"/>
    <n v="0"/>
    <n v="0"/>
    <n v="0"/>
    <n v="0"/>
    <n v="0"/>
    <n v="0"/>
    <n v="0"/>
    <n v="0"/>
    <n v="0"/>
    <n v="0"/>
    <n v="0"/>
    <n v="0"/>
    <n v="0"/>
    <n v="0"/>
    <n v="0"/>
    <n v="0"/>
    <n v="0"/>
    <s v="MMR001CMP128"/>
    <x v="0"/>
    <x v="0"/>
    <s v="P2"/>
    <n v="0"/>
    <s v="No"/>
  </r>
  <r>
    <n v="41.6"/>
    <d v="2013-11-30T00:00:00"/>
    <x v="1"/>
    <s v="KBC"/>
    <s v="Kachin"/>
    <s v="Chipwi"/>
    <s v="Lhaovao Baptist Church (LBC)"/>
    <m/>
    <m/>
    <m/>
    <m/>
    <m/>
    <m/>
    <m/>
    <m/>
    <m/>
    <m/>
    <m/>
    <m/>
    <m/>
    <m/>
    <m/>
    <m/>
    <m/>
    <n v="0"/>
    <n v="0"/>
    <n v="0"/>
    <n v="0"/>
    <n v="0"/>
    <n v="0"/>
    <n v="0"/>
    <n v="0"/>
    <n v="0"/>
    <n v="0"/>
    <n v="0"/>
    <n v="0"/>
    <n v="0"/>
    <n v="0"/>
    <n v="0"/>
    <n v="0"/>
    <n v="0"/>
    <n v="0"/>
    <s v="MMR001CMP195"/>
    <x v="0"/>
    <x v="0"/>
    <s v="P1"/>
    <n v="0"/>
    <s v="No"/>
  </r>
  <r>
    <n v="41.6"/>
    <d v="2013-11-30T00:00:00"/>
    <x v="6"/>
    <s v="MDCG"/>
    <s v="Kachin"/>
    <s v="Bhamo"/>
    <s v="Lisu Boarding-House"/>
    <m/>
    <m/>
    <m/>
    <m/>
    <m/>
    <n v="206"/>
    <m/>
    <m/>
    <m/>
    <m/>
    <n v="242"/>
    <n v="156"/>
    <n v="0"/>
    <m/>
    <m/>
    <m/>
    <m/>
    <n v="0"/>
    <n v="0"/>
    <n v="0"/>
    <n v="0"/>
    <n v="0"/>
    <n v="0"/>
    <n v="0"/>
    <n v="0"/>
    <n v="0"/>
    <n v="0"/>
    <n v="0"/>
    <n v="0"/>
    <n v="0"/>
    <n v="0"/>
    <n v="1"/>
    <n v="0"/>
    <n v="0"/>
    <n v="0"/>
    <s v="MMR001CMP049"/>
    <x v="0"/>
    <x v="0"/>
    <s v="P4"/>
    <n v="0"/>
    <s v="No"/>
  </r>
  <r>
    <n v="41.6"/>
    <d v="2013-11-30T00:00:00"/>
    <x v="1"/>
    <m/>
    <s v="Kachin"/>
    <s v="Bhamo"/>
    <s v="Lisu Boarding-House"/>
    <m/>
    <m/>
    <m/>
    <m/>
    <m/>
    <m/>
    <m/>
    <m/>
    <m/>
    <n v="120"/>
    <m/>
    <m/>
    <m/>
    <m/>
    <m/>
    <m/>
    <m/>
    <n v="0"/>
    <n v="0"/>
    <n v="0"/>
    <n v="0"/>
    <n v="0"/>
    <n v="0"/>
    <n v="0"/>
    <n v="0"/>
    <n v="0"/>
    <n v="0"/>
    <n v="0"/>
    <n v="0"/>
    <n v="0"/>
    <n v="0"/>
    <n v="0"/>
    <n v="0"/>
    <n v="0"/>
    <n v="0"/>
    <s v="MMR001CMP049"/>
    <x v="0"/>
    <x v="0"/>
    <s v="P4"/>
    <n v="0"/>
    <s v="No"/>
  </r>
  <r>
    <n v="41.6"/>
    <d v="2013-11-30T00:00:00"/>
    <x v="1"/>
    <m/>
    <s v="Kachin"/>
    <s v="Momauk"/>
    <s v="Loi Je Baptist Church"/>
    <m/>
    <m/>
    <m/>
    <m/>
    <m/>
    <m/>
    <m/>
    <m/>
    <m/>
    <n v="105"/>
    <m/>
    <m/>
    <m/>
    <m/>
    <m/>
    <m/>
    <m/>
    <n v="0"/>
    <n v="0"/>
    <n v="0"/>
    <n v="0"/>
    <n v="0"/>
    <n v="0"/>
    <n v="0"/>
    <n v="0"/>
    <n v="0"/>
    <n v="0"/>
    <n v="0"/>
    <n v="0"/>
    <n v="0"/>
    <n v="0"/>
    <n v="0"/>
    <n v="0"/>
    <n v="0"/>
    <n v="0"/>
    <s v="MMR001CMP071"/>
    <x v="0"/>
    <x v="0"/>
    <s v="P3"/>
    <n v="0"/>
    <s v="No"/>
  </r>
  <r>
    <n v="41.6"/>
    <d v="2013-11-30T00:00:00"/>
    <x v="1"/>
    <s v="LDO"/>
    <s v="Kachin"/>
    <s v="Mansi"/>
    <s v="Lung Kawk  ( Hka Hkye Zup)"/>
    <m/>
    <m/>
    <m/>
    <m/>
    <m/>
    <m/>
    <m/>
    <m/>
    <m/>
    <m/>
    <m/>
    <m/>
    <m/>
    <m/>
    <m/>
    <m/>
    <m/>
    <n v="0"/>
    <n v="0"/>
    <n v="0"/>
    <n v="0"/>
    <n v="0"/>
    <n v="0"/>
    <n v="0"/>
    <n v="0"/>
    <n v="0"/>
    <n v="0"/>
    <n v="0"/>
    <n v="0"/>
    <n v="0"/>
    <n v="0"/>
    <n v="0"/>
    <n v="0"/>
    <n v="0"/>
    <n v="0"/>
    <s v="MMR001CMP135"/>
    <x v="0"/>
    <x v="1"/>
    <s v="P2"/>
    <n v="0"/>
    <s v="No"/>
  </r>
  <r>
    <n v="41.6"/>
    <d v="2013-11-30T00:00:00"/>
    <x v="1"/>
    <m/>
    <s v="Kachin"/>
    <s v="Momauk"/>
    <s v="Loi Je Catholic Church"/>
    <m/>
    <m/>
    <m/>
    <m/>
    <m/>
    <m/>
    <m/>
    <m/>
    <m/>
    <n v="246"/>
    <m/>
    <m/>
    <m/>
    <m/>
    <m/>
    <m/>
    <m/>
    <n v="0"/>
    <n v="0"/>
    <n v="0"/>
    <n v="0"/>
    <n v="0"/>
    <n v="0"/>
    <n v="0"/>
    <n v="0"/>
    <n v="0"/>
    <n v="0"/>
    <n v="0"/>
    <n v="0"/>
    <n v="0"/>
    <n v="0"/>
    <n v="0"/>
    <n v="0"/>
    <n v="0"/>
    <n v="0"/>
    <s v="MMR001CMP069"/>
    <x v="0"/>
    <x v="0"/>
    <s v="P3"/>
    <n v="0"/>
    <s v="No"/>
  </r>
  <r>
    <n v="41.6"/>
    <d v="2013-11-30T00:00:00"/>
    <x v="1"/>
    <m/>
    <s v="Kachin"/>
    <s v="Momauk"/>
    <s v="Loi Je Lisu Camp"/>
    <m/>
    <m/>
    <m/>
    <m/>
    <m/>
    <m/>
    <m/>
    <m/>
    <m/>
    <n v="369"/>
    <m/>
    <m/>
    <m/>
    <m/>
    <m/>
    <m/>
    <m/>
    <n v="0"/>
    <n v="0"/>
    <n v="0"/>
    <n v="0"/>
    <n v="0"/>
    <n v="0"/>
    <n v="0"/>
    <n v="0"/>
    <n v="0"/>
    <n v="0"/>
    <n v="0"/>
    <n v="0"/>
    <n v="0"/>
    <n v="0"/>
    <n v="0"/>
    <n v="0"/>
    <n v="0"/>
    <n v="0"/>
    <s v="MMR001CMP070"/>
    <x v="0"/>
    <x v="0"/>
    <s v="P3"/>
    <n v="0"/>
    <s v="No"/>
  </r>
  <r>
    <n v="41.6"/>
    <d v="2013-11-30T00:00:00"/>
    <x v="1"/>
    <s v="KBC"/>
    <s v="Kachin"/>
    <s v="Waingmaw"/>
    <s v="Mading Baptist Church"/>
    <m/>
    <m/>
    <m/>
    <m/>
    <m/>
    <m/>
    <m/>
    <m/>
    <m/>
    <m/>
    <m/>
    <m/>
    <m/>
    <m/>
    <m/>
    <m/>
    <m/>
    <n v="0"/>
    <n v="0"/>
    <n v="0"/>
    <n v="0"/>
    <n v="0"/>
    <n v="0"/>
    <n v="0"/>
    <n v="0"/>
    <n v="0"/>
    <n v="0"/>
    <n v="0"/>
    <n v="0"/>
    <n v="0"/>
    <n v="0"/>
    <n v="0"/>
    <n v="0"/>
    <n v="0"/>
    <n v="0"/>
    <s v="MMR001CMP027"/>
    <x v="0"/>
    <x v="0"/>
    <s v="P4"/>
    <n v="0"/>
    <s v="No"/>
  </r>
  <r>
    <n v="41.6"/>
    <d v="2013-11-30T00:00:00"/>
    <x v="1"/>
    <s v="KBC"/>
    <s v="Kachin"/>
    <s v="Waingmaw"/>
    <s v="Maga Yang "/>
    <m/>
    <m/>
    <m/>
    <m/>
    <m/>
    <m/>
    <m/>
    <m/>
    <m/>
    <m/>
    <m/>
    <m/>
    <m/>
    <m/>
    <m/>
    <m/>
    <m/>
    <n v="0"/>
    <n v="0"/>
    <n v="0"/>
    <n v="0"/>
    <n v="0"/>
    <n v="0"/>
    <n v="0"/>
    <n v="0"/>
    <n v="0"/>
    <n v="0"/>
    <n v="0"/>
    <n v="0"/>
    <n v="0"/>
    <n v="0"/>
    <n v="0"/>
    <n v="0"/>
    <n v="0"/>
    <n v="0"/>
    <s v="MMR001CMP119"/>
    <x v="0"/>
    <x v="0"/>
    <s v="P2"/>
    <n v="0"/>
    <s v="No"/>
  </r>
  <r>
    <n v="41.6"/>
    <d v="2013-11-30T00:00:00"/>
    <x v="1"/>
    <s v="KBC"/>
    <s v="Kachin"/>
    <s v="Waingmaw"/>
    <s v="Maina AG Church"/>
    <m/>
    <m/>
    <m/>
    <m/>
    <m/>
    <m/>
    <m/>
    <m/>
    <m/>
    <m/>
    <m/>
    <m/>
    <m/>
    <m/>
    <m/>
    <m/>
    <m/>
    <n v="0"/>
    <n v="0"/>
    <n v="0"/>
    <n v="0"/>
    <n v="0"/>
    <n v="0"/>
    <n v="0"/>
    <n v="0"/>
    <n v="0"/>
    <n v="0"/>
    <n v="0"/>
    <n v="0"/>
    <n v="0"/>
    <n v="0"/>
    <n v="0"/>
    <n v="0"/>
    <n v="0"/>
    <n v="0"/>
    <s v="MMR001CMP031"/>
    <x v="0"/>
    <x v="0"/>
    <s v="P4"/>
    <n v="0"/>
    <s v="No"/>
  </r>
  <r>
    <n v="41.6"/>
    <d v="2013-11-30T00:00:00"/>
    <x v="1"/>
    <s v="KBC"/>
    <s v="Kachin"/>
    <s v="Waingmaw"/>
    <s v="Maina KBC (Bawng Ring)"/>
    <m/>
    <m/>
    <m/>
    <m/>
    <m/>
    <m/>
    <m/>
    <m/>
    <m/>
    <m/>
    <m/>
    <m/>
    <m/>
    <m/>
    <m/>
    <m/>
    <m/>
    <n v="0"/>
    <n v="0"/>
    <n v="0"/>
    <n v="0"/>
    <n v="0"/>
    <n v="0"/>
    <n v="0"/>
    <n v="0"/>
    <n v="0"/>
    <n v="0"/>
    <n v="0"/>
    <n v="0"/>
    <n v="0"/>
    <n v="0"/>
    <n v="0"/>
    <n v="0"/>
    <n v="0"/>
    <n v="0"/>
    <s v="MMR001CMP040"/>
    <x v="0"/>
    <x v="0"/>
    <s v="P4"/>
    <n v="0"/>
    <s v="No"/>
  </r>
  <r>
    <n v="41.6"/>
    <d v="2013-11-30T00:00:00"/>
    <x v="1"/>
    <s v="KBC"/>
    <s v="Kachin"/>
    <s v="Waingmaw"/>
    <s v="Maina Lawang Baptist Church"/>
    <m/>
    <m/>
    <m/>
    <m/>
    <m/>
    <m/>
    <m/>
    <m/>
    <m/>
    <m/>
    <m/>
    <m/>
    <m/>
    <m/>
    <m/>
    <m/>
    <m/>
    <n v="0"/>
    <n v="0"/>
    <n v="0"/>
    <n v="0"/>
    <n v="0"/>
    <n v="0"/>
    <n v="0"/>
    <n v="0"/>
    <n v="0"/>
    <n v="0"/>
    <n v="0"/>
    <n v="0"/>
    <n v="0"/>
    <n v="0"/>
    <n v="0"/>
    <n v="0"/>
    <n v="0"/>
    <n v="0"/>
    <s v="MMR001CMP039"/>
    <x v="0"/>
    <x v="0"/>
    <s v="P4"/>
    <n v="0"/>
    <s v="No"/>
  </r>
  <r>
    <n v="41.6"/>
    <d v="2013-11-30T00:00:00"/>
    <x v="1"/>
    <m/>
    <s v="Kachin"/>
    <s v="Momauk"/>
    <s v="Man Bung Catholic compound"/>
    <m/>
    <m/>
    <m/>
    <m/>
    <m/>
    <m/>
    <m/>
    <m/>
    <m/>
    <n v="141"/>
    <m/>
    <m/>
    <m/>
    <m/>
    <m/>
    <m/>
    <m/>
    <n v="0"/>
    <n v="0"/>
    <n v="0"/>
    <n v="0"/>
    <n v="0"/>
    <n v="0"/>
    <n v="0"/>
    <n v="0"/>
    <n v="0"/>
    <n v="0"/>
    <n v="0"/>
    <n v="0"/>
    <n v="0"/>
    <n v="0"/>
    <n v="0"/>
    <n v="0"/>
    <n v="0"/>
    <n v="0"/>
    <s v="MMR001CMP062"/>
    <x v="0"/>
    <x v="0"/>
    <s v="P4"/>
    <n v="0"/>
    <s v="No"/>
  </r>
  <r>
    <n v="41.6"/>
    <d v="2013-11-30T00:00:00"/>
    <x v="6"/>
    <s v="MDCG"/>
    <s v="Kachin"/>
    <s v="Mansi"/>
    <s v="Man Wing Baptist Church"/>
    <m/>
    <m/>
    <m/>
    <m/>
    <m/>
    <n v="347"/>
    <m/>
    <m/>
    <m/>
    <m/>
    <n v="386"/>
    <n v="234"/>
    <n v="0"/>
    <m/>
    <m/>
    <m/>
    <m/>
    <n v="0"/>
    <n v="0"/>
    <n v="0"/>
    <n v="0"/>
    <n v="0"/>
    <n v="0"/>
    <n v="0"/>
    <n v="0"/>
    <n v="0"/>
    <n v="0"/>
    <n v="0"/>
    <n v="0"/>
    <n v="0"/>
    <n v="0"/>
    <n v="1"/>
    <n v="0"/>
    <n v="0"/>
    <n v="0"/>
    <s v="MMR001CMP133"/>
    <x v="0"/>
    <x v="0"/>
    <s v="P4"/>
    <n v="0"/>
    <s v="No"/>
  </r>
  <r>
    <n v="41.6"/>
    <d v="2013-11-30T00:00:00"/>
    <x v="1"/>
    <m/>
    <s v="Kachin"/>
    <s v="Mansi"/>
    <s v="Man Wing Baptist Church"/>
    <m/>
    <m/>
    <m/>
    <m/>
    <m/>
    <m/>
    <m/>
    <m/>
    <m/>
    <n v="444"/>
    <m/>
    <m/>
    <m/>
    <m/>
    <m/>
    <m/>
    <m/>
    <n v="0"/>
    <n v="0"/>
    <n v="0"/>
    <n v="0"/>
    <n v="0"/>
    <n v="0"/>
    <n v="0"/>
    <n v="0"/>
    <n v="0"/>
    <n v="0"/>
    <n v="0"/>
    <n v="0"/>
    <n v="0"/>
    <n v="0"/>
    <n v="0"/>
    <n v="0"/>
    <n v="0"/>
    <n v="0"/>
    <s v="MMR001CMP133"/>
    <x v="0"/>
    <x v="0"/>
    <s v="P4"/>
    <n v="0"/>
    <s v="No"/>
  </r>
  <r>
    <n v="41.6"/>
    <d v="2013-11-30T00:00:00"/>
    <x v="6"/>
    <s v="MDCG"/>
    <s v="Kachin"/>
    <s v="Mansi"/>
    <s v="Man Wing Catholic Church"/>
    <m/>
    <m/>
    <m/>
    <m/>
    <m/>
    <n v="770"/>
    <m/>
    <m/>
    <m/>
    <m/>
    <n v="889"/>
    <n v="492"/>
    <n v="0"/>
    <m/>
    <m/>
    <m/>
    <m/>
    <n v="0"/>
    <n v="0"/>
    <n v="0"/>
    <n v="0"/>
    <n v="0"/>
    <n v="0"/>
    <n v="0"/>
    <n v="0"/>
    <n v="0"/>
    <n v="0"/>
    <n v="0"/>
    <n v="0"/>
    <n v="0"/>
    <n v="0"/>
    <n v="1"/>
    <n v="0"/>
    <n v="0"/>
    <n v="0"/>
    <s v="MMR001CMP132"/>
    <x v="0"/>
    <x v="0"/>
    <s v="P4"/>
    <n v="0"/>
    <s v="No"/>
  </r>
  <r>
    <n v="41.6"/>
    <d v="2013-11-30T00:00:00"/>
    <x v="1"/>
    <m/>
    <s v="Kachin"/>
    <s v="Mansi"/>
    <s v="Man Wing Catholic Church"/>
    <m/>
    <m/>
    <m/>
    <m/>
    <m/>
    <m/>
    <m/>
    <m/>
    <m/>
    <n v="1080"/>
    <m/>
    <m/>
    <m/>
    <m/>
    <m/>
    <m/>
    <m/>
    <n v="0"/>
    <n v="0"/>
    <n v="0"/>
    <n v="0"/>
    <n v="0"/>
    <n v="0"/>
    <n v="0"/>
    <n v="0"/>
    <n v="0"/>
    <n v="0"/>
    <n v="0"/>
    <n v="0"/>
    <n v="0"/>
    <n v="0"/>
    <n v="0"/>
    <n v="0"/>
    <n v="0"/>
    <n v="0"/>
    <s v="MMR001CMP132"/>
    <x v="0"/>
    <x v="0"/>
    <s v="P4"/>
    <n v="0"/>
    <s v="No"/>
  </r>
  <r>
    <n v="41.6"/>
    <d v="2013-11-30T00:00:00"/>
    <x v="1"/>
    <m/>
    <s v="Kachin"/>
    <s v="Mansi"/>
    <s v="Mansi Baptist Church"/>
    <m/>
    <m/>
    <m/>
    <m/>
    <m/>
    <m/>
    <m/>
    <m/>
    <m/>
    <n v="225"/>
    <m/>
    <m/>
    <m/>
    <m/>
    <m/>
    <m/>
    <m/>
    <n v="0"/>
    <n v="0"/>
    <n v="0"/>
    <n v="0"/>
    <n v="0"/>
    <n v="0"/>
    <n v="0"/>
    <n v="0"/>
    <n v="0"/>
    <n v="0"/>
    <n v="0"/>
    <n v="0"/>
    <n v="0"/>
    <n v="0"/>
    <n v="0"/>
    <n v="0"/>
    <n v="0"/>
    <n v="0"/>
    <s v="MMR001CMP066"/>
    <x v="0"/>
    <x v="0"/>
    <s v="P4"/>
    <n v="0"/>
    <s v="No"/>
  </r>
  <r>
    <n v="41.6"/>
    <d v="2013-11-30T00:00:00"/>
    <x v="1"/>
    <m/>
    <s v="Kachin"/>
    <s v="Momauk"/>
    <s v="Momauk Catholic Church (St. Patrick)"/>
    <m/>
    <m/>
    <m/>
    <m/>
    <m/>
    <m/>
    <m/>
    <m/>
    <m/>
    <n v="543"/>
    <m/>
    <m/>
    <m/>
    <m/>
    <m/>
    <m/>
    <m/>
    <n v="0"/>
    <n v="0"/>
    <n v="0"/>
    <n v="0"/>
    <n v="0"/>
    <n v="0"/>
    <n v="0"/>
    <n v="0"/>
    <n v="0"/>
    <n v="0"/>
    <n v="0"/>
    <n v="0"/>
    <n v="0"/>
    <n v="0"/>
    <n v="0"/>
    <n v="0"/>
    <n v="0"/>
    <n v="0"/>
    <s v="MMR001CMP057"/>
    <x v="0"/>
    <x v="1"/>
    <s v="P4"/>
    <n v="0"/>
    <s v="No"/>
  </r>
  <r>
    <n v="41.6"/>
    <d v="2013-11-30T00:00:00"/>
    <x v="1"/>
    <s v="KBC"/>
    <s v="Kachin"/>
    <s v="Mansi"/>
    <s v="Nam Lim Pa - Scattered IDPs in forest"/>
    <m/>
    <m/>
    <m/>
    <m/>
    <m/>
    <m/>
    <m/>
    <m/>
    <m/>
    <m/>
    <m/>
    <m/>
    <m/>
    <m/>
    <m/>
    <m/>
    <m/>
    <n v="0"/>
    <n v="0"/>
    <n v="0"/>
    <n v="0"/>
    <n v="0"/>
    <n v="0"/>
    <n v="0"/>
    <n v="0"/>
    <n v="0"/>
    <n v="0"/>
    <n v="0"/>
    <n v="0"/>
    <n v="0"/>
    <n v="0"/>
    <n v="0"/>
    <n v="0"/>
    <n v="0"/>
    <n v="0"/>
    <s v="MMR001CMP137"/>
    <x v="0"/>
    <x v="1"/>
    <s v=""/>
    <s v=""/>
    <s v="No"/>
  </r>
  <r>
    <n v="41.6"/>
    <d v="2013-11-30T00:00:00"/>
    <x v="6"/>
    <s v="MDCG"/>
    <s v="Shan_North"/>
    <s v="Kutkai"/>
    <s v="Mine Yu Lay village"/>
    <m/>
    <m/>
    <m/>
    <m/>
    <m/>
    <n v="258"/>
    <m/>
    <m/>
    <m/>
    <m/>
    <n v="349"/>
    <n v="175"/>
    <n v="0"/>
    <m/>
    <m/>
    <m/>
    <m/>
    <n v="0"/>
    <n v="0"/>
    <n v="0"/>
    <n v="0"/>
    <n v="0"/>
    <n v="0"/>
    <n v="0"/>
    <n v="0"/>
    <n v="0"/>
    <n v="0"/>
    <n v="0"/>
    <n v="0"/>
    <n v="0"/>
    <n v="0"/>
    <n v="1"/>
    <n v="0"/>
    <n v="0"/>
    <n v="0"/>
    <s v="MMR015CMP018"/>
    <x v="0"/>
    <x v="0"/>
    <s v="P3"/>
    <n v="0"/>
    <s v="No"/>
  </r>
  <r>
    <n v="41.6"/>
    <d v="2013-11-30T00:00:00"/>
    <x v="1"/>
    <m/>
    <s v="Kachin"/>
    <s v="Momauk"/>
    <s v="Momauk Baptist Church"/>
    <m/>
    <m/>
    <m/>
    <m/>
    <m/>
    <m/>
    <m/>
    <m/>
    <m/>
    <n v="906"/>
    <m/>
    <m/>
    <m/>
    <m/>
    <m/>
    <m/>
    <m/>
    <n v="0"/>
    <n v="0"/>
    <n v="0"/>
    <n v="0"/>
    <n v="0"/>
    <n v="0"/>
    <n v="0"/>
    <n v="0"/>
    <n v="0"/>
    <n v="0"/>
    <n v="0"/>
    <n v="0"/>
    <n v="0"/>
    <n v="0"/>
    <n v="0"/>
    <n v="0"/>
    <n v="0"/>
    <n v="0"/>
    <s v="MMR001CMP056"/>
    <x v="0"/>
    <x v="0"/>
    <s v="P4"/>
    <n v="0"/>
    <s v="No"/>
  </r>
  <r>
    <n v="41.6"/>
    <d v="2013-11-30T00:00:00"/>
    <x v="1"/>
    <m/>
    <s v="Kachin"/>
    <s v="Bhamo"/>
    <s v="Nant Hlaing Church"/>
    <m/>
    <m/>
    <m/>
    <m/>
    <m/>
    <m/>
    <m/>
    <m/>
    <m/>
    <n v="57"/>
    <m/>
    <m/>
    <m/>
    <m/>
    <m/>
    <m/>
    <m/>
    <n v="0"/>
    <n v="0"/>
    <n v="0"/>
    <n v="0"/>
    <n v="0"/>
    <n v="0"/>
    <n v="0"/>
    <n v="0"/>
    <n v="0"/>
    <n v="0"/>
    <n v="0"/>
    <n v="0"/>
    <n v="0"/>
    <n v="0"/>
    <n v="0"/>
    <n v="0"/>
    <n v="0"/>
    <n v="0"/>
    <s v="MMR001CMP054"/>
    <x v="0"/>
    <x v="0"/>
    <s v="P4"/>
    <n v="0"/>
    <s v="No"/>
  </r>
  <r>
    <n v="41.6"/>
    <d v="2013-11-30T00:00:00"/>
    <x v="1"/>
    <m/>
    <s v="Kachin"/>
    <s v="Momauk"/>
    <s v="Ni Thaw Ka Monestry"/>
    <m/>
    <m/>
    <m/>
    <m/>
    <m/>
    <m/>
    <m/>
    <m/>
    <m/>
    <n v="60"/>
    <m/>
    <m/>
    <m/>
    <m/>
    <m/>
    <m/>
    <m/>
    <n v="0"/>
    <n v="0"/>
    <n v="0"/>
    <n v="0"/>
    <n v="0"/>
    <n v="0"/>
    <n v="0"/>
    <n v="0"/>
    <n v="0"/>
    <n v="0"/>
    <n v="0"/>
    <n v="0"/>
    <n v="0"/>
    <n v="0"/>
    <n v="0"/>
    <n v="0"/>
    <n v="0"/>
    <n v="0"/>
    <s v="MMR001CMP059"/>
    <x v="0"/>
    <x v="1"/>
    <s v="P4"/>
    <n v="0"/>
    <s v="No"/>
  </r>
  <r>
    <n v="41.6"/>
    <d v="2013-11-30T00:00:00"/>
    <x v="6"/>
    <s v="MDCG"/>
    <s v="Shan_North"/>
    <s v="Hseni"/>
    <s v="Narte"/>
    <m/>
    <m/>
    <m/>
    <m/>
    <m/>
    <n v="201"/>
    <m/>
    <m/>
    <m/>
    <m/>
    <n v="266"/>
    <n v="126"/>
    <n v="0"/>
    <m/>
    <m/>
    <m/>
    <m/>
    <n v="0"/>
    <n v="0"/>
    <n v="0"/>
    <n v="0"/>
    <n v="0"/>
    <n v="0"/>
    <n v="0"/>
    <n v="0"/>
    <n v="0"/>
    <n v="0"/>
    <n v="0"/>
    <n v="0"/>
    <n v="0"/>
    <n v="0"/>
    <n v="1"/>
    <n v="0"/>
    <n v="0"/>
    <n v="0"/>
    <s v="MMR015CMP207"/>
    <x v="0"/>
    <x v="0"/>
    <s v="P4"/>
    <n v="0"/>
    <s v="No"/>
  </r>
  <r>
    <n v="41.6"/>
    <d v="2013-11-30T00:00:00"/>
    <x v="1"/>
    <s v="LDO"/>
    <s v="Kachin"/>
    <s v="Momauk"/>
    <s v="Nhkawng Pa "/>
    <m/>
    <m/>
    <m/>
    <m/>
    <m/>
    <m/>
    <m/>
    <m/>
    <m/>
    <m/>
    <m/>
    <m/>
    <m/>
    <m/>
    <m/>
    <m/>
    <m/>
    <n v="0"/>
    <n v="0"/>
    <n v="0"/>
    <n v="0"/>
    <n v="0"/>
    <n v="0"/>
    <n v="0"/>
    <n v="0"/>
    <n v="0"/>
    <n v="0"/>
    <n v="0"/>
    <n v="0"/>
    <n v="0"/>
    <n v="0"/>
    <n v="0"/>
    <n v="0"/>
    <n v="0"/>
    <n v="0"/>
    <s v="MMR001CMP131"/>
    <x v="0"/>
    <x v="0"/>
    <s v="P1"/>
    <n v="0"/>
    <s v="No"/>
  </r>
  <r>
    <n v="41.6"/>
    <d v="2013-11-30T00:00:00"/>
    <x v="1"/>
    <m/>
    <s v="Kachin"/>
    <s v="Momauk"/>
    <s v="Nyaung Na Pin "/>
    <m/>
    <m/>
    <m/>
    <m/>
    <m/>
    <m/>
    <m/>
    <m/>
    <m/>
    <n v="135"/>
    <m/>
    <m/>
    <m/>
    <m/>
    <m/>
    <m/>
    <m/>
    <n v="0"/>
    <n v="0"/>
    <n v="0"/>
    <n v="0"/>
    <n v="0"/>
    <n v="0"/>
    <n v="0"/>
    <n v="0"/>
    <n v="0"/>
    <n v="0"/>
    <n v="0"/>
    <n v="0"/>
    <n v="0"/>
    <n v="0"/>
    <n v="0"/>
    <n v="0"/>
    <n v="0"/>
    <n v="0"/>
    <s v="MMR001CMP072"/>
    <x v="0"/>
    <x v="0"/>
    <s v="P3"/>
    <n v="0"/>
    <s v="No"/>
  </r>
  <r>
    <n v="41.6"/>
    <d v="2013-11-30T00:00:00"/>
    <x v="1"/>
    <s v="LDO"/>
    <s v="Kachin"/>
    <s v="Momauk"/>
    <s v="Pa Kahtawng "/>
    <m/>
    <m/>
    <m/>
    <m/>
    <m/>
    <m/>
    <m/>
    <m/>
    <m/>
    <m/>
    <m/>
    <m/>
    <m/>
    <m/>
    <m/>
    <m/>
    <m/>
    <n v="0"/>
    <n v="0"/>
    <n v="0"/>
    <n v="0"/>
    <n v="0"/>
    <n v="0"/>
    <n v="0"/>
    <n v="0"/>
    <n v="0"/>
    <n v="0"/>
    <n v="0"/>
    <n v="0"/>
    <n v="0"/>
    <n v="0"/>
    <n v="0"/>
    <n v="0"/>
    <n v="0"/>
    <n v="0"/>
    <s v="MMR001CMP126"/>
    <x v="0"/>
    <x v="0"/>
    <s v="P2"/>
    <n v="0"/>
    <s v="No"/>
  </r>
  <r>
    <n v="41.6"/>
    <d v="2013-11-30T00:00:00"/>
    <x v="0"/>
    <s v="UNHCR"/>
    <s v="Kachin"/>
    <s v="Momauk"/>
    <s v="Pa Kahtawng "/>
    <m/>
    <m/>
    <m/>
    <m/>
    <m/>
    <m/>
    <m/>
    <m/>
    <m/>
    <m/>
    <m/>
    <m/>
    <m/>
    <m/>
    <m/>
    <m/>
    <m/>
    <n v="0"/>
    <n v="0"/>
    <n v="0"/>
    <n v="0"/>
    <n v="0"/>
    <n v="0"/>
    <n v="0"/>
    <n v="0"/>
    <n v="0"/>
    <n v="0"/>
    <n v="0"/>
    <n v="0"/>
    <n v="0"/>
    <n v="0"/>
    <n v="0"/>
    <n v="0"/>
    <n v="0"/>
    <n v="0"/>
    <s v="MMR001CMP126"/>
    <x v="0"/>
    <x v="0"/>
    <s v="P2"/>
    <n v="0"/>
    <s v="No"/>
  </r>
  <r>
    <n v="41.6"/>
    <d v="2013-11-30T00:00:00"/>
    <x v="1"/>
    <s v="KBC"/>
    <s v="Kachin"/>
    <s v="Waingmaw"/>
    <s v="Pajau - Jan Mai"/>
    <m/>
    <m/>
    <m/>
    <m/>
    <m/>
    <m/>
    <m/>
    <m/>
    <m/>
    <m/>
    <m/>
    <m/>
    <m/>
    <m/>
    <m/>
    <m/>
    <m/>
    <n v="0"/>
    <n v="0"/>
    <n v="0"/>
    <n v="0"/>
    <n v="0"/>
    <n v="0"/>
    <n v="0"/>
    <n v="0"/>
    <n v="0"/>
    <n v="0"/>
    <n v="0"/>
    <n v="0"/>
    <n v="0"/>
    <n v="0"/>
    <n v="0"/>
    <n v="0"/>
    <n v="0"/>
    <n v="0"/>
    <s v="MMR001CMP120"/>
    <x v="0"/>
    <x v="0"/>
    <s v="P1"/>
    <n v="0"/>
    <s v="No"/>
  </r>
  <r>
    <n v="41.6"/>
    <d v="2013-11-30T00:00:00"/>
    <x v="6"/>
    <s v="MDCG"/>
    <s v="Kachin"/>
    <s v="Bhamo"/>
    <s v="Phan Khar Kone"/>
    <m/>
    <m/>
    <m/>
    <m/>
    <m/>
    <n v="320"/>
    <m/>
    <m/>
    <m/>
    <m/>
    <n v="234"/>
    <n v="336"/>
    <n v="0"/>
    <m/>
    <m/>
    <m/>
    <m/>
    <n v="0"/>
    <n v="0"/>
    <n v="0"/>
    <n v="0"/>
    <n v="0"/>
    <n v="0"/>
    <n v="0"/>
    <n v="0"/>
    <n v="0"/>
    <n v="0"/>
    <n v="0"/>
    <n v="0"/>
    <n v="0"/>
    <n v="0"/>
    <n v="1"/>
    <n v="0"/>
    <n v="0"/>
    <n v="0"/>
    <s v="MMR001CMP193"/>
    <x v="0"/>
    <x v="0"/>
    <s v="P4"/>
    <n v="0"/>
    <s v="No"/>
  </r>
  <r>
    <n v="41.6"/>
    <d v="2013-11-30T00:00:00"/>
    <x v="1"/>
    <m/>
    <s v="Kachin"/>
    <s v="Bhamo"/>
    <s v="Phan Khar Kone"/>
    <m/>
    <m/>
    <m/>
    <m/>
    <m/>
    <m/>
    <m/>
    <m/>
    <m/>
    <m/>
    <m/>
    <m/>
    <m/>
    <m/>
    <m/>
    <m/>
    <m/>
    <n v="0"/>
    <n v="0"/>
    <n v="0"/>
    <n v="0"/>
    <n v="0"/>
    <n v="0"/>
    <n v="0"/>
    <n v="0"/>
    <n v="0"/>
    <n v="0"/>
    <n v="0"/>
    <n v="0"/>
    <n v="0"/>
    <n v="0"/>
    <n v="0"/>
    <n v="0"/>
    <n v="0"/>
    <n v="0"/>
    <s v="MMR001CMP193"/>
    <x v="0"/>
    <x v="0"/>
    <s v="P4"/>
    <n v="0"/>
    <s v="No"/>
  </r>
  <r>
    <n v="41.6"/>
    <d v="2013-11-30T00:00:00"/>
    <x v="1"/>
    <s v="KBC"/>
    <s v="Kachin"/>
    <s v="Waingmaw"/>
    <s v="Post 6 Camp"/>
    <m/>
    <m/>
    <m/>
    <m/>
    <m/>
    <m/>
    <m/>
    <m/>
    <m/>
    <m/>
    <m/>
    <m/>
    <m/>
    <m/>
    <m/>
    <m/>
    <m/>
    <n v="0"/>
    <n v="0"/>
    <n v="0"/>
    <n v="0"/>
    <n v="0"/>
    <n v="0"/>
    <n v="0"/>
    <n v="0"/>
    <n v="0"/>
    <n v="0"/>
    <n v="0"/>
    <n v="0"/>
    <n v="0"/>
    <n v="0"/>
    <n v="0"/>
    <n v="0"/>
    <n v="0"/>
    <n v="0"/>
    <s v="MMR001CMP160"/>
    <x v="0"/>
    <x v="0"/>
    <s v="P1"/>
    <n v="0"/>
    <s v="No"/>
  </r>
  <r>
    <n v="41.6"/>
    <d v="2013-11-30T00:00:00"/>
    <x v="1"/>
    <s v="KBC"/>
    <s v="Kachin"/>
    <s v="Waingmaw"/>
    <s v="Qtr. 2 Myoma Baptist Church"/>
    <m/>
    <m/>
    <m/>
    <m/>
    <m/>
    <m/>
    <m/>
    <m/>
    <m/>
    <m/>
    <m/>
    <m/>
    <m/>
    <m/>
    <m/>
    <m/>
    <m/>
    <n v="0"/>
    <n v="0"/>
    <n v="0"/>
    <n v="0"/>
    <n v="0"/>
    <n v="0"/>
    <n v="0"/>
    <n v="0"/>
    <n v="0"/>
    <n v="0"/>
    <n v="0"/>
    <n v="0"/>
    <n v="0"/>
    <n v="0"/>
    <n v="0"/>
    <n v="0"/>
    <n v="0"/>
    <n v="0"/>
    <s v="MMR001CMP025"/>
    <x v="0"/>
    <x v="0"/>
    <s v="P4"/>
    <n v="0"/>
    <s v="No"/>
  </r>
  <r>
    <n v="41.6"/>
    <d v="2013-11-30T00:00:00"/>
    <x v="1"/>
    <s v="KBC"/>
    <s v="Kachin"/>
    <s v="Waingmaw"/>
    <s v="Qtr. 3 Mu-yin  Baptist Church"/>
    <m/>
    <m/>
    <m/>
    <m/>
    <m/>
    <m/>
    <m/>
    <m/>
    <m/>
    <m/>
    <m/>
    <m/>
    <m/>
    <m/>
    <m/>
    <m/>
    <m/>
    <n v="0"/>
    <n v="0"/>
    <n v="0"/>
    <n v="0"/>
    <n v="0"/>
    <n v="0"/>
    <n v="0"/>
    <n v="0"/>
    <n v="0"/>
    <n v="0"/>
    <n v="0"/>
    <n v="0"/>
    <n v="0"/>
    <n v="0"/>
    <n v="0"/>
    <n v="0"/>
    <n v="0"/>
    <n v="0"/>
    <s v="MMR001CMP030"/>
    <x v="0"/>
    <x v="0"/>
    <s v="P4"/>
    <n v="0"/>
    <s v="No"/>
  </r>
  <r>
    <n v="41.6"/>
    <d v="2013-11-30T00:00:00"/>
    <x v="1"/>
    <s v="KBC"/>
    <s v="Kachin"/>
    <s v="Waingmaw"/>
    <s v="Qtr. 4 Monestry (Thargaya Thayett Taw)"/>
    <m/>
    <m/>
    <m/>
    <m/>
    <m/>
    <m/>
    <m/>
    <m/>
    <m/>
    <m/>
    <m/>
    <m/>
    <m/>
    <m/>
    <m/>
    <m/>
    <m/>
    <n v="0"/>
    <n v="0"/>
    <n v="0"/>
    <n v="0"/>
    <n v="0"/>
    <n v="0"/>
    <n v="0"/>
    <n v="0"/>
    <n v="0"/>
    <n v="0"/>
    <n v="0"/>
    <n v="0"/>
    <n v="0"/>
    <n v="0"/>
    <n v="0"/>
    <n v="0"/>
    <n v="0"/>
    <n v="0"/>
    <s v="MMR001CMP026"/>
    <x v="0"/>
    <x v="0"/>
    <s v="P4"/>
    <n v="0"/>
    <s v="No"/>
  </r>
  <r>
    <n v="41.6"/>
    <d v="2013-11-30T00:00:00"/>
    <x v="1"/>
    <m/>
    <s v="Kachin"/>
    <s v="Bhamo"/>
    <s v="Robert Church"/>
    <m/>
    <m/>
    <m/>
    <m/>
    <m/>
    <m/>
    <m/>
    <m/>
    <m/>
    <n v="1164"/>
    <m/>
    <m/>
    <m/>
    <m/>
    <m/>
    <m/>
    <m/>
    <n v="0"/>
    <n v="0"/>
    <n v="0"/>
    <n v="0"/>
    <n v="0"/>
    <n v="0"/>
    <n v="0"/>
    <n v="0"/>
    <n v="0"/>
    <n v="0"/>
    <n v="0"/>
    <n v="0"/>
    <n v="0"/>
    <n v="0"/>
    <n v="0"/>
    <n v="0"/>
    <n v="0"/>
    <n v="0"/>
    <s v="MMR001CMP047"/>
    <x v="0"/>
    <x v="0"/>
    <s v="P4"/>
    <n v="0"/>
    <s v="No"/>
  </r>
  <r>
    <n v="41.6"/>
    <d v="2013-11-30T00:00:00"/>
    <x v="0"/>
    <s v="UNHCR"/>
    <s v="Kachin"/>
    <s v="Bhamo"/>
    <s v="Robert Church"/>
    <m/>
    <m/>
    <m/>
    <n v="75"/>
    <n v="36"/>
    <n v="75"/>
    <n v="36"/>
    <n v="36"/>
    <m/>
    <m/>
    <m/>
    <m/>
    <m/>
    <m/>
    <m/>
    <m/>
    <m/>
    <n v="0"/>
    <n v="0"/>
    <n v="0"/>
    <n v="0"/>
    <n v="0"/>
    <n v="0"/>
    <n v="0"/>
    <n v="0"/>
    <n v="0"/>
    <n v="0"/>
    <n v="0"/>
    <n v="0"/>
    <n v="0"/>
    <n v="0"/>
    <n v="0"/>
    <n v="0"/>
    <n v="0"/>
    <n v="0"/>
    <s v="MMR001CMP047"/>
    <x v="0"/>
    <x v="0"/>
    <s v="P4"/>
    <n v="8.8397790055248619E-4"/>
    <s v="No"/>
  </r>
  <r>
    <n v="41.6"/>
    <d v="2013-11-30T00:00:00"/>
    <x v="1"/>
    <m/>
    <s v="Kachin"/>
    <s v="Momauk"/>
    <s v="Seng Ja "/>
    <m/>
    <m/>
    <m/>
    <m/>
    <m/>
    <m/>
    <m/>
    <m/>
    <m/>
    <n v="99"/>
    <m/>
    <m/>
    <m/>
    <m/>
    <m/>
    <m/>
    <m/>
    <n v="0"/>
    <n v="0"/>
    <n v="0"/>
    <n v="0"/>
    <n v="0"/>
    <n v="0"/>
    <n v="0"/>
    <n v="0"/>
    <n v="0"/>
    <n v="0"/>
    <n v="0"/>
    <n v="0"/>
    <n v="0"/>
    <n v="0"/>
    <n v="0"/>
    <n v="0"/>
    <n v="0"/>
    <n v="0"/>
    <s v="MMR001CMP073"/>
    <x v="0"/>
    <x v="0"/>
    <s v="P3"/>
    <n v="0"/>
    <s v="No"/>
  </r>
  <r>
    <n v="41.6"/>
    <d v="2013-11-30T00:00:00"/>
    <x v="1"/>
    <s v="KBC"/>
    <s v="Kachin"/>
    <s v="Waingmaw"/>
    <s v="Shing Jai"/>
    <m/>
    <m/>
    <m/>
    <m/>
    <m/>
    <m/>
    <m/>
    <m/>
    <m/>
    <m/>
    <m/>
    <m/>
    <m/>
    <m/>
    <m/>
    <m/>
    <m/>
    <n v="0"/>
    <n v="0"/>
    <n v="0"/>
    <n v="0"/>
    <n v="0"/>
    <n v="0"/>
    <n v="0"/>
    <n v="0"/>
    <n v="0"/>
    <n v="0"/>
    <n v="0"/>
    <n v="0"/>
    <n v="0"/>
    <n v="0"/>
    <n v="0"/>
    <n v="0"/>
    <n v="0"/>
    <n v="0"/>
    <s v="MMR001CMP041"/>
    <x v="0"/>
    <x v="0"/>
    <s v="P1"/>
    <n v="0"/>
    <s v="No"/>
  </r>
  <r>
    <n v="41.6"/>
    <d v="2013-11-30T00:00:00"/>
    <x v="6"/>
    <s v="MDCG"/>
    <s v="Kachin"/>
    <s v="Shwegu"/>
    <s v="Shwe Gu Baptist Church"/>
    <m/>
    <m/>
    <m/>
    <m/>
    <m/>
    <n v="197"/>
    <m/>
    <m/>
    <m/>
    <m/>
    <n v="226"/>
    <n v="68"/>
    <n v="0"/>
    <m/>
    <m/>
    <m/>
    <m/>
    <n v="0"/>
    <n v="0"/>
    <n v="0"/>
    <n v="0"/>
    <n v="0"/>
    <n v="0"/>
    <n v="0"/>
    <n v="0"/>
    <n v="0"/>
    <n v="0"/>
    <n v="0"/>
    <n v="0"/>
    <n v="0"/>
    <n v="0"/>
    <n v="1"/>
    <n v="0"/>
    <n v="0"/>
    <n v="0"/>
    <s v="MMR001CMP067"/>
    <x v="0"/>
    <x v="0"/>
    <s v="P4"/>
    <n v="0"/>
    <s v="No"/>
  </r>
  <r>
    <n v="41.6"/>
    <d v="2013-11-30T00:00:00"/>
    <x v="1"/>
    <m/>
    <s v="Kachin"/>
    <s v="Shwegu"/>
    <s v="Shwe Gu Baptist Church"/>
    <m/>
    <m/>
    <m/>
    <m/>
    <m/>
    <m/>
    <m/>
    <m/>
    <m/>
    <n v="204"/>
    <m/>
    <m/>
    <m/>
    <m/>
    <m/>
    <m/>
    <m/>
    <n v="0"/>
    <n v="0"/>
    <n v="0"/>
    <n v="0"/>
    <n v="0"/>
    <n v="0"/>
    <n v="0"/>
    <n v="0"/>
    <n v="0"/>
    <n v="0"/>
    <n v="0"/>
    <n v="0"/>
    <n v="0"/>
    <n v="0"/>
    <n v="0"/>
    <n v="0"/>
    <n v="0"/>
    <n v="0"/>
    <s v="MMR001CMP067"/>
    <x v="0"/>
    <x v="0"/>
    <s v="P4"/>
    <n v="0"/>
    <s v="No"/>
  </r>
  <r>
    <n v="41.6"/>
    <d v="2013-11-30T00:00:00"/>
    <x v="6"/>
    <s v="MDCG"/>
    <s v="Kachin"/>
    <s v="Shwegu"/>
    <s v="Shwe Gu Catholic Church"/>
    <m/>
    <m/>
    <m/>
    <m/>
    <m/>
    <n v="142"/>
    <m/>
    <m/>
    <m/>
    <m/>
    <n v="182"/>
    <n v="60"/>
    <n v="0"/>
    <m/>
    <m/>
    <m/>
    <m/>
    <n v="0"/>
    <n v="0"/>
    <n v="0"/>
    <n v="0"/>
    <n v="0"/>
    <n v="0"/>
    <n v="0"/>
    <n v="0"/>
    <n v="0"/>
    <n v="0"/>
    <n v="0"/>
    <n v="0"/>
    <n v="0"/>
    <n v="0"/>
    <n v="1"/>
    <n v="0"/>
    <n v="0"/>
    <n v="0"/>
    <s v="MMR001CMP068"/>
    <x v="0"/>
    <x v="0"/>
    <s v="P4"/>
    <n v="0"/>
    <s v="No"/>
  </r>
  <r>
    <n v="41.6"/>
    <d v="2013-11-30T00:00:00"/>
    <x v="1"/>
    <m/>
    <s v="Kachin"/>
    <s v="Shwegu"/>
    <s v="Shwe Gu Catholic Church"/>
    <m/>
    <m/>
    <m/>
    <m/>
    <m/>
    <m/>
    <m/>
    <m/>
    <m/>
    <n v="126"/>
    <m/>
    <m/>
    <m/>
    <m/>
    <m/>
    <m/>
    <m/>
    <n v="0"/>
    <n v="0"/>
    <n v="0"/>
    <n v="0"/>
    <n v="0"/>
    <n v="0"/>
    <n v="0"/>
    <n v="0"/>
    <n v="0"/>
    <n v="0"/>
    <n v="0"/>
    <n v="0"/>
    <n v="0"/>
    <n v="0"/>
    <n v="0"/>
    <n v="0"/>
    <n v="0"/>
    <n v="0"/>
    <s v="MMR001CMP068"/>
    <x v="0"/>
    <x v="0"/>
    <s v="P4"/>
    <n v="0"/>
    <s v="No"/>
  </r>
  <r>
    <n v="41.6"/>
    <d v="2013-11-30T00:00:00"/>
    <x v="6"/>
    <s v="MDCG"/>
    <s v="Kachin"/>
    <s v="Bhamo"/>
    <s v="Ta Gun Taing Monastery (Shwe Kyi Na)"/>
    <m/>
    <m/>
    <m/>
    <m/>
    <m/>
    <n v="135"/>
    <m/>
    <m/>
    <m/>
    <m/>
    <n v="68"/>
    <n v="61"/>
    <n v="0"/>
    <m/>
    <m/>
    <m/>
    <m/>
    <n v="0"/>
    <n v="0"/>
    <n v="0"/>
    <n v="0"/>
    <n v="0"/>
    <n v="0"/>
    <n v="0"/>
    <n v="0"/>
    <n v="0"/>
    <n v="0"/>
    <n v="0"/>
    <n v="0"/>
    <n v="0"/>
    <n v="0"/>
    <n v="1"/>
    <n v="0"/>
    <n v="0"/>
    <n v="0"/>
    <s v="MMR001CMP055"/>
    <x v="0"/>
    <x v="0"/>
    <s v="P4"/>
    <n v="0"/>
    <s v="No"/>
  </r>
  <r>
    <n v="41.6"/>
    <d v="2013-11-30T00:00:00"/>
    <x v="1"/>
    <m/>
    <s v="Kachin"/>
    <s v="Bhamo"/>
    <s v="Ta Gun Taing Monastery (Shwe Kyi Na)"/>
    <m/>
    <m/>
    <m/>
    <m/>
    <m/>
    <m/>
    <m/>
    <m/>
    <m/>
    <m/>
    <m/>
    <m/>
    <m/>
    <m/>
    <m/>
    <m/>
    <m/>
    <n v="0"/>
    <n v="0"/>
    <n v="0"/>
    <n v="0"/>
    <n v="0"/>
    <n v="0"/>
    <n v="0"/>
    <n v="0"/>
    <n v="0"/>
    <n v="0"/>
    <n v="0"/>
    <n v="0"/>
    <n v="0"/>
    <n v="0"/>
    <n v="0"/>
    <n v="0"/>
    <n v="0"/>
    <n v="0"/>
    <s v="MMR001CMP055"/>
    <x v="0"/>
    <x v="0"/>
    <s v="P4"/>
    <n v="0"/>
    <s v="No"/>
  </r>
  <r>
    <n v="41.6"/>
    <d v="2013-11-30T00:00:00"/>
    <x v="1"/>
    <s v="KBC"/>
    <s v="Kachin"/>
    <s v="Waingmaw"/>
    <s v="Thargaya Lisu Baptist Church"/>
    <m/>
    <m/>
    <m/>
    <m/>
    <m/>
    <m/>
    <m/>
    <m/>
    <m/>
    <m/>
    <m/>
    <m/>
    <m/>
    <m/>
    <m/>
    <m/>
    <m/>
    <n v="0"/>
    <n v="0"/>
    <n v="0"/>
    <n v="0"/>
    <n v="0"/>
    <n v="0"/>
    <n v="0"/>
    <n v="0"/>
    <n v="0"/>
    <n v="0"/>
    <n v="0"/>
    <n v="0"/>
    <n v="0"/>
    <n v="0"/>
    <n v="0"/>
    <n v="0"/>
    <n v="0"/>
    <n v="0"/>
    <s v="MMR001CMP037"/>
    <x v="0"/>
    <x v="0"/>
    <s v="P4"/>
    <n v="0"/>
    <s v="No"/>
  </r>
  <r>
    <n v="41.6"/>
    <d v="2013-11-30T00:00:00"/>
    <x v="1"/>
    <s v="KBC"/>
    <s v="Kachin"/>
    <s v="Waingmaw"/>
    <s v="Waingmaw AG Church"/>
    <m/>
    <m/>
    <m/>
    <m/>
    <m/>
    <m/>
    <m/>
    <m/>
    <m/>
    <m/>
    <m/>
    <m/>
    <m/>
    <m/>
    <m/>
    <m/>
    <m/>
    <n v="0"/>
    <n v="0"/>
    <n v="0"/>
    <n v="0"/>
    <n v="0"/>
    <n v="0"/>
    <n v="0"/>
    <n v="0"/>
    <n v="0"/>
    <n v="0"/>
    <n v="0"/>
    <n v="0"/>
    <n v="0"/>
    <n v="0"/>
    <n v="0"/>
    <n v="0"/>
    <n v="0"/>
    <n v="0"/>
    <s v="MMR001CMP038"/>
    <x v="0"/>
    <x v="0"/>
    <s v="P4"/>
    <n v="0"/>
    <s v="No"/>
  </r>
  <r>
    <n v="41.6"/>
    <d v="2013-11-30T00:00:00"/>
    <x v="1"/>
    <s v="KBC"/>
    <s v="Kachin"/>
    <s v="Waingmaw"/>
    <s v="Woi Chyai "/>
    <m/>
    <m/>
    <m/>
    <m/>
    <m/>
    <m/>
    <m/>
    <m/>
    <m/>
    <n v="1851"/>
    <m/>
    <m/>
    <m/>
    <m/>
    <m/>
    <m/>
    <m/>
    <n v="0"/>
    <n v="0"/>
    <n v="0"/>
    <n v="0"/>
    <n v="0"/>
    <n v="0"/>
    <n v="0"/>
    <n v="0"/>
    <n v="0"/>
    <n v="0"/>
    <n v="0"/>
    <n v="0"/>
    <n v="0"/>
    <n v="0"/>
    <n v="0"/>
    <n v="0"/>
    <n v="0"/>
    <n v="0"/>
    <s v="MMR001CMP116"/>
    <x v="0"/>
    <x v="0"/>
    <s v="P4"/>
    <n v="0"/>
    <s v="No"/>
  </r>
  <r>
    <n v="41.6"/>
    <d v="2013-11-30T00:00:00"/>
    <x v="6"/>
    <s v="MDCG"/>
    <s v="Kachin"/>
    <s v="Bhamo"/>
    <s v="Yoe Kyi Monastery"/>
    <m/>
    <m/>
    <m/>
    <m/>
    <m/>
    <n v="64"/>
    <m/>
    <m/>
    <m/>
    <m/>
    <n v="58"/>
    <n v="52"/>
    <n v="0"/>
    <m/>
    <m/>
    <m/>
    <m/>
    <n v="0"/>
    <n v="0"/>
    <n v="0"/>
    <n v="0"/>
    <n v="0"/>
    <n v="0"/>
    <n v="0"/>
    <n v="0"/>
    <n v="0"/>
    <n v="0"/>
    <n v="0"/>
    <n v="0"/>
    <n v="0"/>
    <n v="0"/>
    <n v="1"/>
    <n v="0"/>
    <n v="0"/>
    <n v="0"/>
    <s v="MMR001CMP053"/>
    <x v="0"/>
    <x v="0"/>
    <s v="P4"/>
    <n v="0"/>
    <s v="No"/>
  </r>
  <r>
    <n v="41.6"/>
    <d v="2013-11-30T00:00:00"/>
    <x v="1"/>
    <m/>
    <s v="Kachin"/>
    <s v="Bhamo"/>
    <s v="Yoe Kyi Monastery"/>
    <m/>
    <m/>
    <m/>
    <m/>
    <m/>
    <m/>
    <m/>
    <m/>
    <m/>
    <n v="99"/>
    <m/>
    <m/>
    <m/>
    <m/>
    <m/>
    <m/>
    <m/>
    <n v="0"/>
    <n v="0"/>
    <n v="0"/>
    <n v="0"/>
    <n v="0"/>
    <n v="0"/>
    <n v="0"/>
    <n v="0"/>
    <n v="0"/>
    <n v="0"/>
    <n v="0"/>
    <n v="0"/>
    <n v="0"/>
    <n v="0"/>
    <n v="0"/>
    <n v="0"/>
    <n v="0"/>
    <n v="0"/>
    <s v="MMR001CMP053"/>
    <x v="0"/>
    <x v="0"/>
    <s v="P4"/>
    <n v="0"/>
    <s v="No"/>
  </r>
  <r>
    <n v="41.56666666666667"/>
    <d v="2013-12-01T00:00:00"/>
    <x v="0"/>
    <s v="UNHCR"/>
    <s v="Kachin"/>
    <s v="Bhamo"/>
    <s v="Robert Church"/>
    <m/>
    <m/>
    <m/>
    <m/>
    <m/>
    <n v="30"/>
    <m/>
    <m/>
    <m/>
    <m/>
    <m/>
    <m/>
    <m/>
    <m/>
    <m/>
    <m/>
    <m/>
    <n v="0"/>
    <n v="0"/>
    <n v="0"/>
    <n v="0"/>
    <n v="0"/>
    <n v="0"/>
    <n v="0"/>
    <n v="0"/>
    <n v="0"/>
    <n v="0"/>
    <n v="0"/>
    <n v="0"/>
    <n v="0"/>
    <n v="0"/>
    <n v="0"/>
    <n v="0"/>
    <n v="0"/>
    <n v="0"/>
    <s v="MMR001CMP047"/>
    <x v="0"/>
    <x v="0"/>
    <s v="P4"/>
    <n v="0"/>
    <s v="No"/>
  </r>
  <r>
    <n v="41.533333333333331"/>
    <d v="2013-12-02T00:00:00"/>
    <x v="1"/>
    <s v="KBC"/>
    <s v="Kachin"/>
    <s v="Waingmaw"/>
    <s v="Post 6 Camp"/>
    <m/>
    <m/>
    <m/>
    <m/>
    <m/>
    <m/>
    <m/>
    <m/>
    <m/>
    <m/>
    <n v="124"/>
    <n v="248"/>
    <n v="744"/>
    <n v="372"/>
    <m/>
    <m/>
    <m/>
    <n v="0"/>
    <n v="0"/>
    <n v="0"/>
    <n v="0"/>
    <n v="0"/>
    <n v="0"/>
    <n v="0"/>
    <n v="0"/>
    <n v="0"/>
    <n v="0"/>
    <n v="0"/>
    <n v="0"/>
    <n v="0"/>
    <n v="0"/>
    <n v="1"/>
    <n v="0"/>
    <n v="0"/>
    <n v="0"/>
    <s v="MMR001CMP160"/>
    <x v="0"/>
    <x v="0"/>
    <s v="P1"/>
    <n v="0"/>
    <m/>
  </r>
  <r>
    <n v="41.6"/>
    <d v="2013-11-30T00:00:00"/>
    <x v="1"/>
    <s v="KBC"/>
    <s v="Kachin"/>
    <s v="Waingmaw"/>
    <s v="Zai Awng - Mung Ga Zup"/>
    <m/>
    <m/>
    <m/>
    <m/>
    <m/>
    <m/>
    <m/>
    <m/>
    <m/>
    <m/>
    <m/>
    <m/>
    <m/>
    <m/>
    <m/>
    <m/>
    <m/>
    <n v="0"/>
    <n v="0"/>
    <n v="0"/>
    <n v="0"/>
    <n v="0"/>
    <n v="0"/>
    <n v="0"/>
    <n v="0"/>
    <n v="0"/>
    <n v="0"/>
    <n v="0"/>
    <n v="0"/>
    <n v="0"/>
    <n v="0"/>
    <n v="0"/>
    <n v="0"/>
    <n v="0"/>
    <n v="0"/>
    <s v="MMR001CMP111"/>
    <x v="0"/>
    <x v="1"/>
    <s v="P2"/>
    <n v="0"/>
    <s v="No"/>
  </r>
  <r>
    <n v="41.5"/>
    <d v="2013-12-03T00:00:00"/>
    <x v="1"/>
    <s v="KBC"/>
    <s v="Kachin"/>
    <s v="Waingmaw"/>
    <s v="Border Post 8"/>
    <m/>
    <m/>
    <m/>
    <m/>
    <m/>
    <m/>
    <m/>
    <m/>
    <m/>
    <m/>
    <n v="181"/>
    <n v="362"/>
    <n v="1086"/>
    <n v="543"/>
    <m/>
    <m/>
    <m/>
    <n v="0"/>
    <n v="0"/>
    <n v="0"/>
    <n v="0"/>
    <n v="0"/>
    <n v="0"/>
    <n v="0"/>
    <n v="0"/>
    <n v="0"/>
    <n v="0"/>
    <n v="0"/>
    <n v="0"/>
    <n v="0"/>
    <n v="0"/>
    <n v="1"/>
    <n v="0"/>
    <n v="0"/>
    <n v="0"/>
    <s v="MMR001CMP113"/>
    <x v="0"/>
    <x v="0"/>
    <s v="P1"/>
    <n v="0"/>
    <m/>
  </r>
  <r>
    <n v="41.5"/>
    <d v="2013-12-03T00:00:00"/>
    <x v="0"/>
    <s v="UNHCR"/>
    <s v="Kachin"/>
    <s v="Momauk"/>
    <s v="Momauk Baptist Church"/>
    <m/>
    <m/>
    <m/>
    <n v="25"/>
    <n v="13"/>
    <n v="25"/>
    <n v="13"/>
    <n v="13"/>
    <m/>
    <m/>
    <m/>
    <m/>
    <m/>
    <m/>
    <m/>
    <m/>
    <m/>
    <n v="0"/>
    <n v="0"/>
    <n v="0"/>
    <n v="0"/>
    <n v="0"/>
    <n v="0"/>
    <n v="0"/>
    <n v="0"/>
    <n v="0"/>
    <n v="0"/>
    <n v="0"/>
    <n v="0"/>
    <n v="0"/>
    <n v="0"/>
    <n v="0"/>
    <n v="0"/>
    <n v="0"/>
    <n v="0"/>
    <s v="MMR001CMP056"/>
    <x v="0"/>
    <x v="0"/>
    <s v="P4"/>
    <n v="3.1944956382848013E-4"/>
    <s v="No"/>
  </r>
  <r>
    <n v="41.466666666666669"/>
    <d v="2013-12-04T00:00:00"/>
    <x v="0"/>
    <s v="UNHCR"/>
    <s v="Kachin"/>
    <s v="Bhamo"/>
    <s v="Aung Thar Church"/>
    <m/>
    <m/>
    <m/>
    <m/>
    <m/>
    <n v="10"/>
    <n v="5"/>
    <n v="5"/>
    <m/>
    <m/>
    <m/>
    <m/>
    <m/>
    <m/>
    <m/>
    <m/>
    <m/>
    <n v="0"/>
    <n v="0"/>
    <n v="0"/>
    <n v="0"/>
    <n v="0"/>
    <n v="0"/>
    <n v="0"/>
    <n v="0"/>
    <n v="0"/>
    <n v="0"/>
    <n v="0"/>
    <n v="0"/>
    <n v="0"/>
    <n v="0"/>
    <n v="0"/>
    <n v="0"/>
    <n v="0"/>
    <n v="0"/>
    <s v="MMR001CMP194"/>
    <x v="0"/>
    <x v="0"/>
    <s v="P4"/>
    <n v="1.2258807953514599E-4"/>
    <s v="No"/>
  </r>
  <r>
    <n v="41.466666666666669"/>
    <d v="2013-12-04T00:00:00"/>
    <x v="0"/>
    <s v="UNHCR"/>
    <s v="Kachin"/>
    <s v="Bhamo"/>
    <s v="Robert Church"/>
    <m/>
    <m/>
    <m/>
    <m/>
    <m/>
    <n v="120"/>
    <m/>
    <m/>
    <m/>
    <m/>
    <m/>
    <m/>
    <m/>
    <m/>
    <m/>
    <m/>
    <m/>
    <n v="0"/>
    <n v="0"/>
    <n v="0"/>
    <n v="0"/>
    <n v="0"/>
    <n v="0"/>
    <n v="0"/>
    <n v="0"/>
    <n v="0"/>
    <n v="0"/>
    <n v="0"/>
    <n v="0"/>
    <n v="0"/>
    <n v="0"/>
    <n v="0"/>
    <n v="0"/>
    <n v="0"/>
    <n v="0"/>
    <s v="MMR001CMP047"/>
    <x v="0"/>
    <x v="0"/>
    <s v="P4"/>
    <n v="0"/>
    <s v="No"/>
  </r>
  <r>
    <n v="41.466666666666669"/>
    <d v="2013-12-04T00:00:00"/>
    <x v="0"/>
    <s v="UNHCR"/>
    <s v="Kachin"/>
    <s v="Bhamo"/>
    <s v="Robert Church"/>
    <m/>
    <m/>
    <m/>
    <m/>
    <n v="5"/>
    <m/>
    <m/>
    <m/>
    <m/>
    <m/>
    <m/>
    <m/>
    <m/>
    <m/>
    <m/>
    <m/>
    <m/>
    <n v="0"/>
    <n v="0"/>
    <n v="0"/>
    <n v="0"/>
    <n v="0"/>
    <n v="0"/>
    <n v="0"/>
    <n v="0"/>
    <n v="0"/>
    <n v="0"/>
    <n v="0"/>
    <n v="0"/>
    <n v="0"/>
    <n v="0"/>
    <n v="0"/>
    <n v="0"/>
    <n v="0"/>
    <n v="0"/>
    <s v="MMR001CMP047"/>
    <x v="0"/>
    <x v="0"/>
    <s v="P4"/>
    <n v="0"/>
    <s v="No"/>
  </r>
  <r>
    <n v="41.43333333333333"/>
    <d v="2013-12-05T00:00:00"/>
    <x v="1"/>
    <s v="KBC"/>
    <s v="Kachin"/>
    <s v="Momauk"/>
    <s v="Dum Bung "/>
    <m/>
    <m/>
    <m/>
    <m/>
    <m/>
    <m/>
    <m/>
    <m/>
    <m/>
    <m/>
    <n v="120"/>
    <n v="240"/>
    <n v="720"/>
    <n v="360"/>
    <m/>
    <m/>
    <m/>
    <n v="0"/>
    <n v="0"/>
    <n v="0"/>
    <n v="0"/>
    <n v="0"/>
    <n v="0"/>
    <n v="0"/>
    <n v="0"/>
    <n v="0"/>
    <n v="0"/>
    <n v="0"/>
    <n v="0"/>
    <n v="0"/>
    <n v="0"/>
    <n v="1"/>
    <n v="0"/>
    <n v="0"/>
    <n v="0"/>
    <s v="MMR001CMP123"/>
    <x v="0"/>
    <x v="0"/>
    <s v="P2"/>
    <n v="0"/>
    <m/>
  </r>
  <r>
    <n v="41.266666666666666"/>
    <d v="2013-12-10T00:00:00"/>
    <x v="2"/>
    <m/>
    <s v="Kachin"/>
    <s v="Mansi"/>
    <s v="Man Wing Catholic Church"/>
    <m/>
    <m/>
    <m/>
    <m/>
    <m/>
    <m/>
    <m/>
    <m/>
    <m/>
    <m/>
    <m/>
    <n v="256"/>
    <m/>
    <m/>
    <m/>
    <m/>
    <m/>
    <n v="0"/>
    <n v="0"/>
    <n v="0"/>
    <n v="0"/>
    <n v="0"/>
    <n v="0"/>
    <n v="0"/>
    <n v="0"/>
    <n v="0"/>
    <n v="0"/>
    <n v="0"/>
    <n v="0"/>
    <n v="0"/>
    <n v="0"/>
    <n v="1"/>
    <n v="0"/>
    <n v="0"/>
    <n v="0"/>
    <s v="MMR001CMP132"/>
    <x v="0"/>
    <x v="0"/>
    <s v="P4"/>
    <n v="0"/>
    <s v="No"/>
  </r>
  <r>
    <n v="41.233333333333334"/>
    <d v="2013-12-11T00:00:00"/>
    <x v="7"/>
    <s v="WPN"/>
    <s v="Kachin"/>
    <s v="Mansi"/>
    <s v="Bum Tsit Pa "/>
    <m/>
    <m/>
    <m/>
    <m/>
    <m/>
    <n v="278"/>
    <m/>
    <m/>
    <m/>
    <m/>
    <m/>
    <m/>
    <m/>
    <m/>
    <m/>
    <m/>
    <m/>
    <n v="0"/>
    <n v="0"/>
    <n v="0"/>
    <n v="0"/>
    <n v="0"/>
    <n v="0"/>
    <n v="0"/>
    <n v="0"/>
    <n v="0"/>
    <n v="0"/>
    <n v="0"/>
    <n v="0"/>
    <n v="0"/>
    <n v="0"/>
    <n v="0"/>
    <n v="0"/>
    <n v="0"/>
    <n v="0"/>
    <s v="MMR001CMP129"/>
    <x v="0"/>
    <x v="0"/>
    <s v="P2"/>
    <n v="0"/>
    <s v="No"/>
  </r>
  <r>
    <n v="41.233333333333334"/>
    <d v="2013-12-11T00:00:00"/>
    <x v="7"/>
    <s v="WPN"/>
    <s v="Kachin"/>
    <s v="Mansi"/>
    <s v="Bum Tsit Pa "/>
    <m/>
    <m/>
    <m/>
    <m/>
    <m/>
    <n v="174"/>
    <m/>
    <m/>
    <m/>
    <m/>
    <m/>
    <m/>
    <m/>
    <m/>
    <m/>
    <m/>
    <m/>
    <n v="0"/>
    <n v="0"/>
    <n v="0"/>
    <n v="0"/>
    <n v="0"/>
    <n v="0"/>
    <n v="0"/>
    <n v="0"/>
    <n v="0"/>
    <n v="0"/>
    <n v="0"/>
    <n v="0"/>
    <n v="0"/>
    <n v="0"/>
    <n v="0"/>
    <n v="0"/>
    <n v="0"/>
    <n v="0"/>
    <s v="MMR001CMP129"/>
    <x v="0"/>
    <x v="0"/>
    <s v="P2"/>
    <n v="0"/>
    <s v="No"/>
  </r>
  <r>
    <n v="41.233333333333334"/>
    <d v="2013-12-11T00:00:00"/>
    <x v="7"/>
    <s v="WPN"/>
    <s v="Kachin"/>
    <s v="Mansi"/>
    <s v="Lung Kawk  ( Hka Hkye Zup)"/>
    <m/>
    <m/>
    <m/>
    <m/>
    <m/>
    <n v="38"/>
    <m/>
    <m/>
    <m/>
    <m/>
    <m/>
    <m/>
    <m/>
    <m/>
    <m/>
    <m/>
    <m/>
    <n v="0"/>
    <n v="0"/>
    <n v="0"/>
    <n v="0"/>
    <n v="0"/>
    <n v="0"/>
    <n v="0"/>
    <n v="0"/>
    <n v="0"/>
    <n v="0"/>
    <n v="0"/>
    <n v="0"/>
    <n v="0"/>
    <n v="0"/>
    <n v="0"/>
    <n v="0"/>
    <n v="0"/>
    <n v="0"/>
    <s v="MMR001CMP135"/>
    <x v="0"/>
    <x v="1"/>
    <s v="P2"/>
    <n v="0"/>
    <s v="No"/>
  </r>
  <r>
    <n v="41.233333333333334"/>
    <d v="2013-12-11T00:00:00"/>
    <x v="7"/>
    <s v="WPN"/>
    <s v="Kachin"/>
    <s v="Mansi"/>
    <s v="Lana Zup Ja "/>
    <m/>
    <m/>
    <m/>
    <m/>
    <m/>
    <n v="543"/>
    <m/>
    <m/>
    <m/>
    <m/>
    <m/>
    <m/>
    <m/>
    <m/>
    <m/>
    <m/>
    <m/>
    <n v="0"/>
    <n v="0"/>
    <n v="0"/>
    <n v="0"/>
    <n v="0"/>
    <n v="0"/>
    <n v="0"/>
    <n v="0"/>
    <n v="0"/>
    <n v="0"/>
    <n v="0"/>
    <n v="0"/>
    <n v="0"/>
    <n v="0"/>
    <n v="0"/>
    <n v="0"/>
    <n v="0"/>
    <n v="0"/>
    <s v="MMR001CMP128"/>
    <x v="0"/>
    <x v="0"/>
    <s v="P2"/>
    <n v="0"/>
    <s v="No"/>
  </r>
  <r>
    <n v="41.233333333333334"/>
    <d v="2013-12-11T00:00:00"/>
    <x v="7"/>
    <s v="WPN"/>
    <s v="Kachin"/>
    <s v="Momauk"/>
    <s v="Nhkawng Pa "/>
    <m/>
    <m/>
    <m/>
    <m/>
    <m/>
    <n v="350"/>
    <m/>
    <m/>
    <m/>
    <m/>
    <m/>
    <m/>
    <m/>
    <m/>
    <m/>
    <m/>
    <m/>
    <n v="0"/>
    <n v="0"/>
    <n v="0"/>
    <n v="0"/>
    <n v="0"/>
    <n v="0"/>
    <n v="0"/>
    <n v="0"/>
    <n v="0"/>
    <n v="0"/>
    <n v="0"/>
    <n v="0"/>
    <n v="0"/>
    <n v="0"/>
    <n v="0"/>
    <n v="0"/>
    <n v="0"/>
    <n v="0"/>
    <s v="MMR001CMP131"/>
    <x v="0"/>
    <x v="0"/>
    <s v="P1"/>
    <n v="0"/>
    <s v="No"/>
  </r>
  <r>
    <n v="41.233333333333334"/>
    <d v="2013-12-11T00:00:00"/>
    <x v="7"/>
    <s v="WPN"/>
    <s v="Kachin"/>
    <s v="Momauk"/>
    <s v="Pa Kahtawng "/>
    <m/>
    <m/>
    <m/>
    <m/>
    <m/>
    <n v="417"/>
    <m/>
    <m/>
    <m/>
    <m/>
    <m/>
    <m/>
    <m/>
    <m/>
    <m/>
    <m/>
    <m/>
    <n v="0"/>
    <n v="0"/>
    <n v="0"/>
    <n v="0"/>
    <n v="0"/>
    <n v="0"/>
    <n v="0"/>
    <n v="0"/>
    <n v="0"/>
    <n v="0"/>
    <n v="0"/>
    <n v="0"/>
    <n v="0"/>
    <n v="0"/>
    <n v="0"/>
    <n v="0"/>
    <n v="0"/>
    <n v="0"/>
    <s v="MMR001CMP126"/>
    <x v="0"/>
    <x v="0"/>
    <s v="P2"/>
    <n v="0"/>
    <s v="No"/>
  </r>
  <r>
    <n v="41.166666666666664"/>
    <d v="2013-12-13T00:00:00"/>
    <x v="1"/>
    <s v="Solidarities"/>
    <s v="Kachin"/>
    <s v="Mansi"/>
    <s v="Mansi Baptist Church"/>
    <m/>
    <m/>
    <m/>
    <m/>
    <m/>
    <m/>
    <m/>
    <m/>
    <m/>
    <m/>
    <n v="13"/>
    <n v="53"/>
    <n v="132"/>
    <n v="66"/>
    <m/>
    <m/>
    <m/>
    <n v="0"/>
    <n v="0"/>
    <n v="0"/>
    <n v="0"/>
    <n v="0"/>
    <n v="0"/>
    <n v="0"/>
    <n v="0"/>
    <n v="0"/>
    <n v="0"/>
    <n v="0"/>
    <n v="0"/>
    <n v="0"/>
    <n v="0"/>
    <n v="1"/>
    <n v="0"/>
    <n v="0"/>
    <n v="0"/>
    <s v="MMR001CMP066"/>
    <x v="0"/>
    <x v="0"/>
    <s v="P4"/>
    <n v="0"/>
    <m/>
  </r>
  <r>
    <n v="41.06666666666667"/>
    <d v="2013-12-16T00:00:00"/>
    <x v="1"/>
    <s v="KBC"/>
    <s v="Kachin"/>
    <s v="Waingmaw"/>
    <s v="Waingmaw AG Church"/>
    <m/>
    <m/>
    <m/>
    <m/>
    <m/>
    <m/>
    <m/>
    <m/>
    <m/>
    <m/>
    <n v="77"/>
    <n v="153"/>
    <n v="460"/>
    <n v="230"/>
    <m/>
    <m/>
    <m/>
    <n v="0"/>
    <n v="0"/>
    <n v="0"/>
    <n v="0"/>
    <n v="0"/>
    <n v="0"/>
    <n v="0"/>
    <n v="0"/>
    <n v="0"/>
    <n v="0"/>
    <n v="0"/>
    <n v="0"/>
    <n v="0"/>
    <n v="0"/>
    <n v="1"/>
    <n v="0"/>
    <n v="0"/>
    <n v="0"/>
    <s v="MMR001CMP038"/>
    <x v="0"/>
    <x v="0"/>
    <s v="P4"/>
    <n v="0"/>
    <m/>
  </r>
  <r>
    <n v="41.033333333333331"/>
    <d v="2013-12-17T00:00:00"/>
    <x v="1"/>
    <s v="KBC"/>
    <s v="Kachin"/>
    <s v="Waingmaw"/>
    <s v="Qtr. 2 Myoma Baptist Church"/>
    <m/>
    <m/>
    <m/>
    <m/>
    <m/>
    <m/>
    <m/>
    <m/>
    <m/>
    <m/>
    <n v="73"/>
    <n v="146"/>
    <n v="438"/>
    <n v="219"/>
    <m/>
    <m/>
    <m/>
    <n v="0"/>
    <n v="0"/>
    <n v="0"/>
    <n v="0"/>
    <n v="0"/>
    <n v="0"/>
    <n v="0"/>
    <n v="0"/>
    <n v="0"/>
    <n v="0"/>
    <n v="0"/>
    <n v="0"/>
    <n v="0"/>
    <n v="0"/>
    <n v="1"/>
    <n v="0"/>
    <n v="0"/>
    <n v="0"/>
    <s v="MMR001CMP025"/>
    <x v="0"/>
    <x v="0"/>
    <s v="P4"/>
    <n v="0"/>
    <m/>
  </r>
  <r>
    <n v="41.033333333333331"/>
    <d v="2013-12-17T00:00:00"/>
    <x v="1"/>
    <s v="KBC"/>
    <s v="Kachin"/>
    <s v="Waingmaw"/>
    <s v="Shing Jai"/>
    <m/>
    <m/>
    <m/>
    <m/>
    <m/>
    <m/>
    <m/>
    <m/>
    <m/>
    <m/>
    <n v="188"/>
    <n v="343"/>
    <n v="1062"/>
    <n v="531"/>
    <m/>
    <m/>
    <m/>
    <n v="0"/>
    <n v="0"/>
    <n v="0"/>
    <n v="0"/>
    <n v="0"/>
    <n v="0"/>
    <n v="0"/>
    <n v="0"/>
    <n v="0"/>
    <n v="0"/>
    <n v="0"/>
    <n v="0"/>
    <n v="0"/>
    <n v="0"/>
    <n v="1"/>
    <n v="0"/>
    <n v="0"/>
    <n v="0"/>
    <s v="MMR001CMP041"/>
    <x v="0"/>
    <x v="0"/>
    <s v="P1"/>
    <n v="0"/>
    <m/>
  </r>
  <r>
    <n v="41"/>
    <d v="2013-12-18T00:00:00"/>
    <x v="1"/>
    <s v="KBC"/>
    <s v="Kachin"/>
    <s v="Waingmaw"/>
    <s v="Hkat Cho "/>
    <m/>
    <m/>
    <m/>
    <m/>
    <m/>
    <m/>
    <m/>
    <m/>
    <m/>
    <m/>
    <n v="134"/>
    <n v="238"/>
    <n v="744"/>
    <n v="372"/>
    <m/>
    <m/>
    <m/>
    <n v="0"/>
    <n v="0"/>
    <n v="0"/>
    <n v="0"/>
    <n v="0"/>
    <n v="0"/>
    <n v="0"/>
    <n v="0"/>
    <n v="0"/>
    <n v="0"/>
    <n v="0"/>
    <n v="0"/>
    <n v="0"/>
    <n v="0"/>
    <n v="1"/>
    <n v="0"/>
    <n v="0"/>
    <n v="0"/>
    <s v="MMR001CMP028"/>
    <x v="0"/>
    <x v="0"/>
    <s v="P4"/>
    <n v="0"/>
    <m/>
  </r>
  <r>
    <n v="41"/>
    <d v="2013-12-18T00:00:00"/>
    <x v="0"/>
    <s v="UNHCR"/>
    <s v="Kachin"/>
    <s v="Bhamo"/>
    <s v="Host Families"/>
    <m/>
    <m/>
    <m/>
    <m/>
    <n v="4"/>
    <m/>
    <m/>
    <m/>
    <m/>
    <m/>
    <m/>
    <m/>
    <m/>
    <m/>
    <m/>
    <m/>
    <m/>
    <n v="0"/>
    <n v="0"/>
    <n v="0"/>
    <n v="0"/>
    <n v="0"/>
    <n v="0"/>
    <n v="0"/>
    <n v="0"/>
    <n v="0"/>
    <n v="0"/>
    <n v="0"/>
    <n v="0"/>
    <n v="0"/>
    <n v="0"/>
    <n v="0"/>
    <n v="0"/>
    <n v="0"/>
    <n v="0"/>
    <s v="MMR001CMP163"/>
    <x v="0"/>
    <x v="0"/>
    <s v="P4"/>
    <s v=""/>
    <s v="No"/>
  </r>
  <r>
    <n v="41"/>
    <d v="2013-12-18T00:00:00"/>
    <x v="1"/>
    <s v="KBC"/>
    <s v="Kachin"/>
    <s v="Waingmaw"/>
    <s v="Mading Baptist Church"/>
    <m/>
    <m/>
    <m/>
    <m/>
    <m/>
    <m/>
    <m/>
    <m/>
    <m/>
    <m/>
    <n v="23"/>
    <n v="45"/>
    <n v="136"/>
    <n v="68"/>
    <m/>
    <m/>
    <m/>
    <n v="0"/>
    <n v="0"/>
    <n v="0"/>
    <n v="0"/>
    <n v="0"/>
    <n v="0"/>
    <n v="0"/>
    <n v="0"/>
    <n v="0"/>
    <n v="0"/>
    <n v="0"/>
    <n v="0"/>
    <n v="0"/>
    <n v="0"/>
    <n v="1"/>
    <n v="0"/>
    <n v="0"/>
    <n v="0"/>
    <s v="MMR001CMP027"/>
    <x v="0"/>
    <x v="0"/>
    <s v="P4"/>
    <n v="0"/>
    <m/>
  </r>
  <r>
    <n v="41"/>
    <d v="2013-12-18T00:00:00"/>
    <x v="1"/>
    <s v="KBC"/>
    <s v="Kachin"/>
    <s v="Waingmaw"/>
    <s v="Qtr. 3 Mu-yin  Baptist Church"/>
    <m/>
    <m/>
    <m/>
    <m/>
    <m/>
    <m/>
    <m/>
    <m/>
    <m/>
    <m/>
    <n v="30"/>
    <n v="57"/>
    <n v="174"/>
    <n v="87"/>
    <m/>
    <m/>
    <m/>
    <n v="0"/>
    <n v="0"/>
    <n v="0"/>
    <n v="0"/>
    <n v="0"/>
    <n v="0"/>
    <n v="0"/>
    <n v="0"/>
    <n v="0"/>
    <n v="0"/>
    <n v="0"/>
    <n v="0"/>
    <n v="0"/>
    <n v="0"/>
    <n v="1"/>
    <n v="0"/>
    <n v="0"/>
    <n v="0"/>
    <s v="MMR001CMP030"/>
    <x v="0"/>
    <x v="0"/>
    <s v="P4"/>
    <n v="0"/>
    <m/>
  </r>
  <r>
    <n v="40.966666666666669"/>
    <d v="2013-12-19T00:00:00"/>
    <x v="1"/>
    <s v="KBC"/>
    <s v="Kachin"/>
    <s v="Waingmaw"/>
    <s v="Maina KBC (Bawng Ring)"/>
    <m/>
    <m/>
    <m/>
    <m/>
    <m/>
    <m/>
    <m/>
    <m/>
    <m/>
    <m/>
    <n v="414"/>
    <n v="764"/>
    <n v="2356"/>
    <n v="1178"/>
    <m/>
    <m/>
    <m/>
    <n v="0"/>
    <n v="0"/>
    <n v="0"/>
    <n v="0"/>
    <n v="0"/>
    <n v="0"/>
    <n v="0"/>
    <n v="0"/>
    <n v="0"/>
    <n v="0"/>
    <n v="0"/>
    <n v="0"/>
    <n v="0"/>
    <n v="0"/>
    <n v="1"/>
    <n v="0"/>
    <n v="0"/>
    <n v="0"/>
    <s v="MMR001CMP040"/>
    <x v="0"/>
    <x v="0"/>
    <s v="P4"/>
    <n v="0"/>
    <m/>
  </r>
  <r>
    <n v="40.93333333333333"/>
    <d v="2013-12-20T00:00:00"/>
    <x v="1"/>
    <s v="KBC"/>
    <s v="Kachin"/>
    <s v="Waingmaw"/>
    <s v="Maina AG Church"/>
    <m/>
    <m/>
    <m/>
    <m/>
    <m/>
    <m/>
    <m/>
    <m/>
    <m/>
    <m/>
    <n v="141"/>
    <n v="265"/>
    <n v="812"/>
    <n v="406"/>
    <m/>
    <m/>
    <m/>
    <n v="0"/>
    <n v="0"/>
    <n v="0"/>
    <n v="0"/>
    <n v="0"/>
    <n v="0"/>
    <n v="0"/>
    <n v="0"/>
    <n v="0"/>
    <n v="0"/>
    <n v="0"/>
    <n v="0"/>
    <n v="0"/>
    <n v="0"/>
    <n v="1"/>
    <n v="0"/>
    <n v="0"/>
    <n v="0"/>
    <s v="MMR001CMP031"/>
    <x v="0"/>
    <x v="0"/>
    <s v="P4"/>
    <n v="0"/>
    <m/>
  </r>
  <r>
    <n v="40.93333333333333"/>
    <d v="2013-12-20T00:00:00"/>
    <x v="1"/>
    <s v="KBC"/>
    <s v="Kachin"/>
    <s v="Waingmaw"/>
    <s v="Maina Lawang Baptist Church"/>
    <m/>
    <m/>
    <m/>
    <m/>
    <m/>
    <m/>
    <m/>
    <m/>
    <m/>
    <m/>
    <n v="47"/>
    <n v="85"/>
    <n v="264"/>
    <n v="132"/>
    <m/>
    <m/>
    <m/>
    <n v="0"/>
    <n v="0"/>
    <n v="0"/>
    <n v="0"/>
    <n v="0"/>
    <n v="0"/>
    <n v="0"/>
    <n v="0"/>
    <n v="0"/>
    <n v="0"/>
    <n v="0"/>
    <n v="0"/>
    <n v="0"/>
    <n v="0"/>
    <n v="1"/>
    <n v="0"/>
    <n v="0"/>
    <n v="0"/>
    <s v="MMR001CMP039"/>
    <x v="0"/>
    <x v="0"/>
    <s v="P4"/>
    <n v="0"/>
    <m/>
  </r>
  <r>
    <n v="40.93333333333333"/>
    <d v="2013-12-20T00:00:00"/>
    <x v="1"/>
    <s v="KBC"/>
    <s v="Kachin"/>
    <s v="Waingmaw"/>
    <s v="Qtr. 4 Monestry (Thargaya Thayett Taw)"/>
    <m/>
    <m/>
    <m/>
    <m/>
    <m/>
    <m/>
    <m/>
    <m/>
    <m/>
    <m/>
    <n v="102"/>
    <n v="188"/>
    <n v="580"/>
    <n v="290"/>
    <m/>
    <m/>
    <m/>
    <n v="0"/>
    <n v="0"/>
    <n v="0"/>
    <n v="0"/>
    <n v="0"/>
    <n v="0"/>
    <n v="0"/>
    <n v="0"/>
    <n v="0"/>
    <n v="0"/>
    <n v="0"/>
    <n v="0"/>
    <n v="0"/>
    <n v="0"/>
    <n v="1"/>
    <n v="0"/>
    <n v="0"/>
    <n v="0"/>
    <s v="MMR001CMP026"/>
    <x v="0"/>
    <x v="0"/>
    <s v="P4"/>
    <n v="0"/>
    <m/>
  </r>
  <r>
    <n v="40.9"/>
    <d v="2013-12-21T00:00:00"/>
    <x v="1"/>
    <s v="KBC"/>
    <s v="Kachin"/>
    <s v="Waingmaw"/>
    <s v="Thargaya Lisu Baptist Church"/>
    <m/>
    <m/>
    <m/>
    <m/>
    <m/>
    <m/>
    <m/>
    <m/>
    <m/>
    <m/>
    <n v="75"/>
    <n v="139"/>
    <n v="428"/>
    <n v="214"/>
    <m/>
    <m/>
    <m/>
    <n v="0"/>
    <n v="0"/>
    <n v="0"/>
    <n v="0"/>
    <n v="0"/>
    <n v="0"/>
    <n v="0"/>
    <n v="0"/>
    <n v="0"/>
    <n v="0"/>
    <n v="0"/>
    <n v="0"/>
    <n v="0"/>
    <n v="0"/>
    <n v="1"/>
    <n v="0"/>
    <n v="0"/>
    <n v="0"/>
    <s v="MMR001CMP037"/>
    <x v="0"/>
    <x v="0"/>
    <s v="P4"/>
    <n v="0"/>
    <m/>
  </r>
  <r>
    <n v="40.833333333333336"/>
    <d v="2013-12-23T00:00:00"/>
    <x v="0"/>
    <s v="UNHCR"/>
    <s v="Kachin"/>
    <s v="Bhamo"/>
    <s v="AD-2000 Tharthana Compound"/>
    <m/>
    <m/>
    <n v="10"/>
    <n v="10"/>
    <n v="7"/>
    <n v="10"/>
    <n v="7"/>
    <n v="7"/>
    <m/>
    <m/>
    <m/>
    <m/>
    <m/>
    <m/>
    <m/>
    <m/>
    <m/>
    <n v="0"/>
    <n v="0"/>
    <n v="0"/>
    <n v="0"/>
    <n v="0"/>
    <n v="0"/>
    <n v="0"/>
    <n v="0"/>
    <n v="0"/>
    <n v="0"/>
    <n v="0"/>
    <n v="0"/>
    <n v="0"/>
    <n v="0"/>
    <n v="0"/>
    <n v="0"/>
    <n v="0"/>
    <n v="0"/>
    <s v="MMR001CMP050"/>
    <x v="0"/>
    <x v="0"/>
    <s v="P4"/>
    <n v="1.7136701919310616E-4"/>
    <s v="No"/>
  </r>
  <r>
    <n v="40.833333333333336"/>
    <d v="2013-12-23T00:00:00"/>
    <x v="1"/>
    <s v="KBC"/>
    <s v="Kachin"/>
    <s v="Waingmaw"/>
    <s v="IDP Boarding School, A Len Bum"/>
    <m/>
    <m/>
    <m/>
    <m/>
    <m/>
    <m/>
    <m/>
    <m/>
    <m/>
    <m/>
    <n v="2"/>
    <n v="111"/>
    <n v="226"/>
    <n v="113"/>
    <m/>
    <m/>
    <m/>
    <n v="0"/>
    <n v="0"/>
    <n v="0"/>
    <n v="0"/>
    <n v="0"/>
    <n v="0"/>
    <n v="0"/>
    <n v="0"/>
    <n v="0"/>
    <n v="0"/>
    <n v="0"/>
    <n v="0"/>
    <n v="0"/>
    <n v="0"/>
    <n v="1"/>
    <n v="0"/>
    <n v="0"/>
    <n v="0"/>
    <s v="MMR001CMP208"/>
    <x v="0"/>
    <x v="0"/>
    <s v="P2"/>
    <s v=""/>
    <m/>
  </r>
  <r>
    <n v="40.833333333333336"/>
    <d v="2013-12-23T00:00:00"/>
    <x v="1"/>
    <s v="KBC"/>
    <s v="Kachin"/>
    <s v="Waingmaw"/>
    <s v="Qtr. 2 Lhaovo Baptist Church"/>
    <m/>
    <m/>
    <m/>
    <m/>
    <m/>
    <m/>
    <m/>
    <m/>
    <m/>
    <m/>
    <n v="59"/>
    <n v="196"/>
    <n v="510"/>
    <n v="255"/>
    <m/>
    <m/>
    <m/>
    <n v="0"/>
    <n v="0"/>
    <n v="0"/>
    <n v="0"/>
    <n v="0"/>
    <n v="0"/>
    <n v="0"/>
    <n v="0"/>
    <n v="0"/>
    <n v="0"/>
    <n v="0"/>
    <n v="0"/>
    <n v="0"/>
    <n v="0"/>
    <n v="1"/>
    <n v="0"/>
    <n v="0"/>
    <n v="0"/>
    <s v="MMR001CMP032"/>
    <x v="0"/>
    <x v="0"/>
    <s v="P4"/>
    <n v="0"/>
    <m/>
  </r>
  <r>
    <n v="40.533333333333331"/>
    <d v="2014-01-01T00:00:00"/>
    <x v="8"/>
    <s v="MRCS"/>
    <s v="Kachin"/>
    <s v="Mogaung"/>
    <s v="Mang Hawng Baptist Church"/>
    <m/>
    <m/>
    <m/>
    <m/>
    <m/>
    <m/>
    <n v="14"/>
    <m/>
    <m/>
    <m/>
    <m/>
    <m/>
    <m/>
    <m/>
    <m/>
    <m/>
    <m/>
    <n v="0"/>
    <n v="0"/>
    <n v="0"/>
    <n v="0"/>
    <n v="0"/>
    <n v="0"/>
    <n v="0"/>
    <n v="0"/>
    <n v="0"/>
    <n v="0"/>
    <n v="0"/>
    <n v="0"/>
    <n v="0"/>
    <n v="0"/>
    <n v="0"/>
    <n v="0"/>
    <n v="0"/>
    <n v="0"/>
    <s v="MMR001CMP077"/>
    <x v="0"/>
    <x v="0"/>
    <s v="P4"/>
    <n v="3.4121374603948332E-4"/>
    <s v="No"/>
  </r>
  <r>
    <n v="40.533333333333331"/>
    <d v="2014-01-01T00:00:00"/>
    <x v="8"/>
    <s v="MRCS"/>
    <s v="Kachin"/>
    <s v="Mogaung"/>
    <s v="Nat Gyi Kone Baptist Church "/>
    <m/>
    <m/>
    <m/>
    <m/>
    <m/>
    <m/>
    <n v="13"/>
    <m/>
    <m/>
    <m/>
    <m/>
    <m/>
    <m/>
    <m/>
    <m/>
    <m/>
    <m/>
    <n v="0"/>
    <n v="0"/>
    <n v="0"/>
    <n v="0"/>
    <n v="0"/>
    <n v="0"/>
    <n v="0"/>
    <n v="0"/>
    <n v="0"/>
    <n v="0"/>
    <n v="0"/>
    <n v="0"/>
    <n v="0"/>
    <n v="0"/>
    <n v="0"/>
    <n v="0"/>
    <n v="0"/>
    <n v="0"/>
    <s v="MMR001CMP079"/>
    <x v="0"/>
    <x v="0"/>
    <s v="P4"/>
    <n v="3.1731309038541335E-4"/>
    <s v="No"/>
  </r>
  <r>
    <n v="40.533333333333331"/>
    <d v="2014-01-01T00:00:00"/>
    <x v="8"/>
    <s v="MRCS"/>
    <s v="Kachin"/>
    <s v="Mohnyin"/>
    <s v="Nant Mun"/>
    <m/>
    <m/>
    <m/>
    <m/>
    <m/>
    <m/>
    <n v="12"/>
    <m/>
    <m/>
    <m/>
    <m/>
    <m/>
    <m/>
    <m/>
    <m/>
    <m/>
    <m/>
    <n v="0"/>
    <n v="0"/>
    <n v="0"/>
    <n v="0"/>
    <n v="0"/>
    <n v="0"/>
    <n v="0"/>
    <n v="0"/>
    <n v="0"/>
    <n v="0"/>
    <n v="0"/>
    <n v="0"/>
    <n v="0"/>
    <n v="0"/>
    <n v="0"/>
    <n v="0"/>
    <n v="0"/>
    <n v="0"/>
    <s v="MMR001CMP081"/>
    <x v="0"/>
    <x v="1"/>
    <s v="P4"/>
    <n v="2.9290439112499695E-4"/>
    <s v="No"/>
  </r>
  <r>
    <n v="40.533333333333331"/>
    <d v="2014-01-01T00:00:00"/>
    <x v="8"/>
    <s v="MRCS"/>
    <s v="Kachin"/>
    <s v="Chipwi"/>
    <s v="Pan Wa"/>
    <m/>
    <m/>
    <m/>
    <m/>
    <m/>
    <m/>
    <n v="92"/>
    <m/>
    <m/>
    <m/>
    <m/>
    <m/>
    <m/>
    <m/>
    <m/>
    <m/>
    <m/>
    <n v="0"/>
    <n v="0"/>
    <n v="0"/>
    <n v="0"/>
    <n v="0"/>
    <n v="0"/>
    <n v="0"/>
    <n v="0"/>
    <n v="0"/>
    <n v="0"/>
    <n v="0"/>
    <n v="0"/>
    <n v="0"/>
    <n v="0"/>
    <n v="0"/>
    <n v="0"/>
    <n v="0"/>
    <n v="0"/>
    <s v="MMR001CMP210"/>
    <x v="0"/>
    <x v="0"/>
    <s v="P1"/>
    <n v="2.2389330997055318E-3"/>
    <s v="No"/>
  </r>
  <r>
    <n v="40.333333333333336"/>
    <d v="2014-01-07T00:00:00"/>
    <x v="0"/>
    <s v="UNHCR"/>
    <s v="Kachin"/>
    <s v="Bhamo"/>
    <s v="Robert Church"/>
    <m/>
    <m/>
    <m/>
    <n v="44"/>
    <n v="30"/>
    <n v="44"/>
    <n v="20"/>
    <n v="20"/>
    <m/>
    <m/>
    <m/>
    <m/>
    <m/>
    <m/>
    <m/>
    <m/>
    <m/>
    <n v="0"/>
    <n v="0"/>
    <n v="0"/>
    <n v="0"/>
    <n v="0"/>
    <n v="0"/>
    <n v="0"/>
    <n v="0"/>
    <n v="0"/>
    <n v="0"/>
    <n v="0"/>
    <n v="0"/>
    <n v="0"/>
    <n v="0"/>
    <n v="0"/>
    <n v="0"/>
    <n v="0"/>
    <n v="0"/>
    <s v="MMR001CMP047"/>
    <x v="0"/>
    <x v="0"/>
    <s v="P4"/>
    <n v="4.9109883364027013E-4"/>
    <s v="No"/>
  </r>
  <r>
    <n v="40.200000000000003"/>
    <d v="2014-01-11T00:00:00"/>
    <x v="0"/>
    <m/>
    <s v="Kachin"/>
    <s v="Bhamo"/>
    <s v="Phan Khar Kone"/>
    <m/>
    <m/>
    <m/>
    <m/>
    <n v="10"/>
    <m/>
    <m/>
    <m/>
    <m/>
    <m/>
    <m/>
    <m/>
    <m/>
    <m/>
    <m/>
    <m/>
    <m/>
    <n v="0"/>
    <n v="0"/>
    <n v="0"/>
    <n v="0"/>
    <n v="0"/>
    <n v="0"/>
    <n v="0"/>
    <n v="0"/>
    <n v="0"/>
    <n v="0"/>
    <n v="0"/>
    <n v="0"/>
    <n v="0"/>
    <n v="0"/>
    <n v="0"/>
    <n v="0"/>
    <n v="0"/>
    <n v="0"/>
    <s v="MMR001CMP193"/>
    <x v="0"/>
    <x v="0"/>
    <s v="P4"/>
    <n v="0"/>
    <m/>
  </r>
  <r>
    <n v="40.166666666666664"/>
    <d v="2014-01-12T00:00:00"/>
    <x v="2"/>
    <s v="KMSS"/>
    <s v="Kachin"/>
    <s v="Momauk"/>
    <s v="Dum Bung "/>
    <m/>
    <m/>
    <m/>
    <m/>
    <m/>
    <m/>
    <m/>
    <n v="125"/>
    <m/>
    <m/>
    <m/>
    <m/>
    <m/>
    <m/>
    <m/>
    <m/>
    <m/>
    <n v="0"/>
    <n v="0"/>
    <n v="0"/>
    <n v="0"/>
    <n v="0"/>
    <n v="0"/>
    <n v="0"/>
    <n v="0"/>
    <n v="0"/>
    <n v="0"/>
    <n v="0"/>
    <n v="0"/>
    <n v="0"/>
    <n v="0"/>
    <n v="0"/>
    <n v="0"/>
    <n v="0"/>
    <n v="0"/>
    <s v="MMR001CMP123"/>
    <x v="0"/>
    <x v="0"/>
    <s v="P2"/>
    <n v="0"/>
    <s v="No"/>
  </r>
  <r>
    <n v="40.266666666666666"/>
    <d v="2014-01-09T00:00:00"/>
    <x v="1"/>
    <s v="KBC"/>
    <s v="Kachin"/>
    <s v="Mansi"/>
    <s v="IDPs scattered in South Mansi"/>
    <m/>
    <m/>
    <m/>
    <m/>
    <m/>
    <m/>
    <m/>
    <m/>
    <m/>
    <m/>
    <n v="142"/>
    <n v="284"/>
    <n v="852"/>
    <n v="426"/>
    <m/>
    <m/>
    <m/>
    <n v="0"/>
    <n v="0"/>
    <n v="0"/>
    <n v="0"/>
    <n v="0"/>
    <n v="0"/>
    <n v="0"/>
    <n v="0"/>
    <n v="0"/>
    <n v="0"/>
    <n v="0"/>
    <n v="0"/>
    <n v="0"/>
    <n v="0"/>
    <n v="1"/>
    <n v="0"/>
    <n v="0"/>
    <n v="0"/>
    <s v="MMR001CMP217"/>
    <x v="0"/>
    <x v="1"/>
    <s v=""/>
    <s v=""/>
    <m/>
  </r>
  <r>
    <n v="40.166666666666664"/>
    <d v="2014-01-12T00:00:00"/>
    <x v="2"/>
    <s v="KMSS"/>
    <s v="Kachin"/>
    <s v="Momauk"/>
    <s v="Dum Bung "/>
    <m/>
    <m/>
    <m/>
    <m/>
    <m/>
    <m/>
    <m/>
    <m/>
    <m/>
    <m/>
    <n v="393"/>
    <n v="232"/>
    <m/>
    <m/>
    <m/>
    <m/>
    <m/>
    <n v="0"/>
    <n v="0"/>
    <n v="0"/>
    <n v="0"/>
    <n v="0"/>
    <n v="0"/>
    <n v="0"/>
    <n v="0"/>
    <n v="0"/>
    <n v="0"/>
    <n v="0"/>
    <n v="0"/>
    <n v="0"/>
    <n v="0"/>
    <n v="1"/>
    <n v="0"/>
    <n v="0"/>
    <n v="0"/>
    <s v="MMR001CMP123"/>
    <x v="0"/>
    <x v="0"/>
    <s v="P2"/>
    <n v="0"/>
    <s v="No"/>
  </r>
  <r>
    <n v="40.1"/>
    <d v="2014-01-14T00:00:00"/>
    <x v="2"/>
    <s v="KMSS"/>
    <s v="Kachin"/>
    <s v="Waingmaw"/>
    <s v="Border Post 8"/>
    <m/>
    <m/>
    <m/>
    <m/>
    <m/>
    <m/>
    <m/>
    <n v="180"/>
    <m/>
    <m/>
    <m/>
    <m/>
    <m/>
    <m/>
    <m/>
    <m/>
    <m/>
    <n v="0"/>
    <n v="0"/>
    <n v="0"/>
    <n v="0"/>
    <n v="0"/>
    <n v="0"/>
    <n v="0"/>
    <n v="0"/>
    <n v="0"/>
    <n v="0"/>
    <n v="0"/>
    <n v="0"/>
    <n v="0"/>
    <n v="0"/>
    <n v="0"/>
    <n v="0"/>
    <n v="0"/>
    <n v="0"/>
    <s v="MMR001CMP113"/>
    <x v="0"/>
    <x v="0"/>
    <s v="P1"/>
    <n v="0"/>
    <s v="No"/>
  </r>
  <r>
    <n v="40.1"/>
    <d v="2014-01-14T00:00:00"/>
    <x v="2"/>
    <s v="KMSS"/>
    <s v="Kachin"/>
    <s v="Waingmaw"/>
    <s v="Border Post 8"/>
    <m/>
    <m/>
    <m/>
    <m/>
    <m/>
    <m/>
    <m/>
    <m/>
    <m/>
    <m/>
    <n v="501"/>
    <n v="335"/>
    <m/>
    <m/>
    <m/>
    <m/>
    <m/>
    <n v="0"/>
    <n v="0"/>
    <n v="0"/>
    <n v="0"/>
    <n v="0"/>
    <n v="0"/>
    <n v="0"/>
    <n v="0"/>
    <n v="0"/>
    <n v="0"/>
    <n v="0"/>
    <n v="0"/>
    <n v="0"/>
    <n v="0"/>
    <n v="1"/>
    <n v="0"/>
    <n v="0"/>
    <n v="0"/>
    <s v="MMR001CMP113"/>
    <x v="0"/>
    <x v="0"/>
    <s v="P1"/>
    <n v="0"/>
    <s v="No"/>
  </r>
  <r>
    <n v="40.1"/>
    <d v="2014-01-14T00:00:00"/>
    <x v="0"/>
    <s v="UNHCR"/>
    <s v="Kachin"/>
    <s v="Mansi"/>
    <s v="Lana Zup Ja "/>
    <m/>
    <m/>
    <m/>
    <n v="140"/>
    <n v="70"/>
    <n v="140"/>
    <n v="70"/>
    <m/>
    <n v="70"/>
    <n v="350"/>
    <m/>
    <m/>
    <m/>
    <m/>
    <m/>
    <m/>
    <m/>
    <n v="0"/>
    <n v="0"/>
    <n v="0"/>
    <n v="0"/>
    <n v="0"/>
    <n v="0"/>
    <n v="0"/>
    <n v="0"/>
    <n v="0"/>
    <n v="0"/>
    <n v="0"/>
    <n v="0"/>
    <n v="0"/>
    <n v="0"/>
    <n v="0"/>
    <n v="0"/>
    <n v="0"/>
    <n v="0"/>
    <s v="MMR001CMP128"/>
    <x v="0"/>
    <x v="0"/>
    <s v="P2"/>
    <n v="1.7149717029669011E-3"/>
    <s v="No"/>
  </r>
  <r>
    <n v="40.033333333333331"/>
    <d v="2014-01-16T00:00:00"/>
    <x v="0"/>
    <s v="UNHCR"/>
    <s v="Kachin"/>
    <s v="Mansi"/>
    <s v="Bum Tsit Pa "/>
    <m/>
    <m/>
    <m/>
    <n v="45"/>
    <n v="30"/>
    <n v="45"/>
    <n v="30"/>
    <m/>
    <n v="30"/>
    <n v="150"/>
    <m/>
    <m/>
    <m/>
    <m/>
    <m/>
    <m/>
    <m/>
    <n v="0"/>
    <n v="0"/>
    <n v="0"/>
    <n v="0"/>
    <n v="0"/>
    <n v="0"/>
    <n v="0"/>
    <n v="0"/>
    <n v="0"/>
    <n v="0"/>
    <n v="0"/>
    <n v="0"/>
    <n v="0"/>
    <n v="0"/>
    <n v="0"/>
    <n v="0"/>
    <n v="0"/>
    <n v="0"/>
    <s v="MMR001CMP129"/>
    <x v="0"/>
    <x v="0"/>
    <s v="P2"/>
    <n v="7.3498787270010043E-4"/>
    <s v="No"/>
  </r>
  <r>
    <n v="40.033333333333331"/>
    <d v="2014-01-16T00:00:00"/>
    <x v="2"/>
    <s v="KMSS"/>
    <s v="Kachin"/>
    <s v="Waingmaw"/>
    <s v="Maga Yang "/>
    <m/>
    <m/>
    <m/>
    <m/>
    <m/>
    <m/>
    <m/>
    <n v="600"/>
    <m/>
    <m/>
    <m/>
    <m/>
    <m/>
    <m/>
    <m/>
    <m/>
    <m/>
    <n v="0"/>
    <n v="0"/>
    <n v="0"/>
    <n v="0"/>
    <n v="0"/>
    <n v="0"/>
    <n v="0"/>
    <n v="0"/>
    <n v="0"/>
    <n v="0"/>
    <n v="0"/>
    <n v="0"/>
    <n v="0"/>
    <n v="0"/>
    <n v="0"/>
    <n v="0"/>
    <n v="0"/>
    <n v="0"/>
    <s v="MMR001CMP119"/>
    <x v="0"/>
    <x v="0"/>
    <s v="P2"/>
    <n v="0"/>
    <s v="No"/>
  </r>
  <r>
    <n v="39.9"/>
    <d v="2014-01-20T00:00:00"/>
    <x v="2"/>
    <s v="KMSS"/>
    <s v="Kachin"/>
    <s v="Waingmaw"/>
    <s v="Maga Yang "/>
    <m/>
    <m/>
    <m/>
    <m/>
    <m/>
    <m/>
    <m/>
    <m/>
    <m/>
    <m/>
    <n v="1497"/>
    <n v="925"/>
    <m/>
    <m/>
    <m/>
    <m/>
    <m/>
    <n v="0"/>
    <n v="0"/>
    <n v="0"/>
    <n v="0"/>
    <n v="0"/>
    <n v="0"/>
    <n v="0"/>
    <n v="0"/>
    <n v="0"/>
    <n v="0"/>
    <n v="0"/>
    <n v="0"/>
    <n v="0"/>
    <n v="0"/>
    <n v="1"/>
    <n v="0"/>
    <n v="0"/>
    <n v="0"/>
    <s v="MMR001CMP119"/>
    <x v="0"/>
    <x v="0"/>
    <s v="P2"/>
    <n v="0"/>
    <s v="No"/>
  </r>
  <r>
    <n v="39.9"/>
    <d v="2014-01-20T00:00:00"/>
    <x v="2"/>
    <s v="KMSS"/>
    <s v="Kachin"/>
    <s v="Waingmaw"/>
    <s v="Post 6 Camp"/>
    <m/>
    <m/>
    <m/>
    <m/>
    <m/>
    <m/>
    <m/>
    <n v="127"/>
    <m/>
    <m/>
    <m/>
    <m/>
    <m/>
    <m/>
    <m/>
    <m/>
    <m/>
    <n v="0"/>
    <n v="0"/>
    <n v="0"/>
    <n v="0"/>
    <n v="0"/>
    <n v="0"/>
    <n v="0"/>
    <n v="0"/>
    <n v="0"/>
    <n v="0"/>
    <n v="0"/>
    <n v="0"/>
    <n v="0"/>
    <n v="0"/>
    <n v="0"/>
    <n v="0"/>
    <n v="0"/>
    <n v="0"/>
    <s v="MMR001CMP160"/>
    <x v="0"/>
    <x v="0"/>
    <s v="P1"/>
    <n v="0"/>
    <s v="No"/>
  </r>
  <r>
    <n v="39.9"/>
    <d v="2014-01-20T00:00:00"/>
    <x v="9"/>
    <s v="MRCS"/>
    <s v="Kachin"/>
    <s v="Machanbaw"/>
    <s v="Machanbaw - KBC"/>
    <m/>
    <m/>
    <m/>
    <n v="8"/>
    <n v="16"/>
    <n v="16"/>
    <n v="8"/>
    <m/>
    <m/>
    <m/>
    <n v="19"/>
    <n v="9"/>
    <m/>
    <m/>
    <m/>
    <m/>
    <m/>
    <n v="0"/>
    <n v="0"/>
    <n v="0"/>
    <n v="0"/>
    <n v="0"/>
    <n v="0"/>
    <n v="0"/>
    <n v="0"/>
    <n v="0"/>
    <n v="0"/>
    <n v="0"/>
    <n v="0"/>
    <n v="0"/>
    <n v="0"/>
    <n v="1"/>
    <n v="0"/>
    <n v="0"/>
    <n v="0"/>
    <s v="MMR001CMP221"/>
    <x v="0"/>
    <x v="1"/>
    <s v="P3"/>
    <n v="1.9268750903222699E-4"/>
    <m/>
  </r>
  <r>
    <n v="39.9"/>
    <d v="2014-01-20T00:00:00"/>
    <x v="9"/>
    <s v="MRCS"/>
    <s v="Kachin"/>
    <s v="Puta-O"/>
    <s v="Naung Khaing"/>
    <m/>
    <m/>
    <m/>
    <n v="17"/>
    <n v="34"/>
    <n v="34"/>
    <n v="17"/>
    <m/>
    <m/>
    <m/>
    <n v="31"/>
    <n v="28"/>
    <m/>
    <m/>
    <m/>
    <m/>
    <m/>
    <n v="0"/>
    <n v="0"/>
    <n v="0"/>
    <n v="0"/>
    <n v="0"/>
    <n v="0"/>
    <n v="0"/>
    <n v="0"/>
    <n v="0"/>
    <n v="0"/>
    <n v="0"/>
    <n v="0"/>
    <n v="0"/>
    <n v="0"/>
    <n v="1"/>
    <n v="0"/>
    <n v="0"/>
    <n v="0"/>
    <s v="MMR001CMP220"/>
    <x v="0"/>
    <x v="1"/>
    <s v="P3"/>
    <n v="4.0976691493720927E-4"/>
    <m/>
  </r>
  <r>
    <n v="39.9"/>
    <d v="2014-01-20T00:00:00"/>
    <x v="2"/>
    <s v="KMSS"/>
    <s v="Kachin"/>
    <s v="Waingmaw"/>
    <s v="Post 6 Camp"/>
    <m/>
    <m/>
    <m/>
    <m/>
    <m/>
    <m/>
    <m/>
    <m/>
    <m/>
    <m/>
    <n v="443"/>
    <n v="218"/>
    <m/>
    <m/>
    <m/>
    <m/>
    <m/>
    <n v="0"/>
    <n v="0"/>
    <n v="0"/>
    <n v="0"/>
    <n v="0"/>
    <n v="0"/>
    <n v="0"/>
    <n v="0"/>
    <n v="0"/>
    <n v="0"/>
    <n v="0"/>
    <n v="0"/>
    <n v="0"/>
    <n v="0"/>
    <n v="1"/>
    <n v="0"/>
    <n v="0"/>
    <n v="0"/>
    <s v="MMR001CMP160"/>
    <x v="0"/>
    <x v="0"/>
    <s v="P1"/>
    <n v="0"/>
    <s v="No"/>
  </r>
  <r>
    <n v="39.9"/>
    <d v="2014-01-20T00:00:00"/>
    <x v="9"/>
    <s v="MRCS"/>
    <s v="Kachin"/>
    <s v="Puta-O"/>
    <s v="Tote Tan Ward"/>
    <m/>
    <m/>
    <m/>
    <n v="18"/>
    <n v="36"/>
    <n v="36"/>
    <n v="18"/>
    <m/>
    <m/>
    <m/>
    <n v="53"/>
    <n v="42"/>
    <m/>
    <m/>
    <m/>
    <m/>
    <m/>
    <n v="0"/>
    <n v="0"/>
    <n v="0"/>
    <n v="0"/>
    <n v="0"/>
    <n v="0"/>
    <n v="0"/>
    <n v="0"/>
    <n v="0"/>
    <n v="0"/>
    <n v="0"/>
    <n v="0"/>
    <n v="0"/>
    <n v="0"/>
    <n v="1"/>
    <n v="0"/>
    <n v="0"/>
    <n v="0"/>
    <s v="MMR001CMP075"/>
    <x v="0"/>
    <x v="0"/>
    <s v="P3"/>
    <s v=""/>
    <m/>
  </r>
  <r>
    <n v="39.766666666666666"/>
    <d v="2014-01-24T00:00:00"/>
    <x v="2"/>
    <m/>
    <s v="Kachin"/>
    <s v="Mansi"/>
    <s v="Bum Tsit Pa "/>
    <m/>
    <m/>
    <m/>
    <m/>
    <m/>
    <m/>
    <m/>
    <m/>
    <m/>
    <m/>
    <m/>
    <n v="838"/>
    <m/>
    <m/>
    <m/>
    <m/>
    <m/>
    <n v="0"/>
    <n v="0"/>
    <n v="0"/>
    <n v="0"/>
    <n v="0"/>
    <n v="0"/>
    <n v="0"/>
    <n v="0"/>
    <n v="0"/>
    <n v="0"/>
    <n v="0"/>
    <n v="0"/>
    <n v="0"/>
    <n v="0"/>
    <n v="1"/>
    <n v="0"/>
    <n v="0"/>
    <n v="0"/>
    <s v="MMR001CMP129"/>
    <x v="0"/>
    <x v="0"/>
    <s v="P2"/>
    <n v="0"/>
    <s v="No"/>
  </r>
  <r>
    <n v="39.766666666666666"/>
    <d v="2014-01-24T00:00:00"/>
    <x v="0"/>
    <s v="UNHCR"/>
    <s v="Kachin"/>
    <s v="Momauk"/>
    <s v="Pa Kahtawng "/>
    <m/>
    <m/>
    <m/>
    <n v="60"/>
    <n v="30"/>
    <n v="60"/>
    <n v="30"/>
    <m/>
    <n v="30"/>
    <n v="150"/>
    <m/>
    <m/>
    <m/>
    <m/>
    <m/>
    <m/>
    <m/>
    <n v="0"/>
    <n v="0"/>
    <n v="0"/>
    <n v="0"/>
    <n v="0"/>
    <n v="0"/>
    <n v="0"/>
    <n v="0"/>
    <n v="0"/>
    <n v="0"/>
    <n v="0"/>
    <n v="0"/>
    <n v="0"/>
    <n v="0"/>
    <n v="0"/>
    <n v="0"/>
    <n v="0"/>
    <n v="0"/>
    <s v="MMR001CMP126"/>
    <x v="0"/>
    <x v="0"/>
    <s v="P2"/>
    <n v="7.3170731707317073E-4"/>
    <s v="No"/>
  </r>
  <r>
    <n v="39.733333333333334"/>
    <d v="2014-01-25T00:00:00"/>
    <x v="0"/>
    <s v="UNHCR"/>
    <s v="Kachin"/>
    <s v="Momauk"/>
    <s v="Dum Bung "/>
    <m/>
    <m/>
    <m/>
    <n v="62"/>
    <n v="31"/>
    <n v="62"/>
    <n v="31"/>
    <m/>
    <n v="31"/>
    <n v="155"/>
    <m/>
    <m/>
    <m/>
    <m/>
    <m/>
    <m/>
    <m/>
    <n v="0"/>
    <n v="0"/>
    <n v="0"/>
    <n v="0"/>
    <n v="0"/>
    <n v="0"/>
    <n v="0"/>
    <n v="0"/>
    <n v="0"/>
    <n v="0"/>
    <n v="0"/>
    <n v="0"/>
    <n v="0"/>
    <n v="0"/>
    <n v="0"/>
    <n v="0"/>
    <n v="0"/>
    <n v="0"/>
    <s v="MMR001CMP123"/>
    <x v="0"/>
    <x v="0"/>
    <s v="P2"/>
    <n v="7.6062420257140052E-4"/>
    <s v="No"/>
  </r>
  <r>
    <n v="39.733333333333334"/>
    <d v="2014-01-25T00:00:00"/>
    <x v="10"/>
    <s v="KBC"/>
    <s v="Kachin"/>
    <s v="Waingmaw"/>
    <s v="Pajau - Jan Mai"/>
    <m/>
    <m/>
    <m/>
    <m/>
    <m/>
    <n v="191"/>
    <n v="191"/>
    <n v="191"/>
    <m/>
    <n v="191"/>
    <m/>
    <m/>
    <m/>
    <m/>
    <m/>
    <m/>
    <m/>
    <n v="0"/>
    <n v="0"/>
    <n v="0"/>
    <n v="0"/>
    <n v="0"/>
    <n v="0"/>
    <n v="0"/>
    <n v="0"/>
    <n v="0"/>
    <n v="0"/>
    <n v="0"/>
    <n v="0"/>
    <n v="0"/>
    <n v="0"/>
    <n v="0"/>
    <n v="0"/>
    <n v="0"/>
    <n v="0"/>
    <s v="MMR001CMP120"/>
    <x v="0"/>
    <x v="0"/>
    <s v="P1"/>
    <n v="4.6899938612645796E-3"/>
    <s v="No"/>
  </r>
  <r>
    <n v="39.733333333333334"/>
    <d v="2014-01-25T00:00:00"/>
    <x v="10"/>
    <s v="KBC"/>
    <s v="Kachin"/>
    <s v="Waingmaw"/>
    <s v="Shing Jai"/>
    <m/>
    <m/>
    <m/>
    <m/>
    <m/>
    <n v="198"/>
    <n v="198"/>
    <n v="198"/>
    <m/>
    <n v="198"/>
    <m/>
    <m/>
    <m/>
    <m/>
    <m/>
    <m/>
    <m/>
    <n v="0"/>
    <n v="0"/>
    <n v="0"/>
    <n v="0"/>
    <n v="0"/>
    <n v="0"/>
    <n v="0"/>
    <n v="0"/>
    <n v="0"/>
    <n v="0"/>
    <n v="0"/>
    <n v="0"/>
    <n v="0"/>
    <n v="0"/>
    <n v="0"/>
    <n v="0"/>
    <n v="0"/>
    <n v="0"/>
    <s v="MMR001CMP041"/>
    <x v="0"/>
    <x v="0"/>
    <s v="P1"/>
    <n v="4.847238542890717E-3"/>
    <s v="No"/>
  </r>
  <r>
    <n v="39.666666666666664"/>
    <d v="2014-01-27T00:00:00"/>
    <x v="10"/>
    <s v="KBC"/>
    <s v="Kachin"/>
    <s v="Waingmaw"/>
    <s v="Hkau Shau (BP 12)"/>
    <m/>
    <m/>
    <m/>
    <m/>
    <m/>
    <n v="181"/>
    <n v="181"/>
    <n v="181"/>
    <m/>
    <n v="181"/>
    <m/>
    <m/>
    <m/>
    <m/>
    <m/>
    <m/>
    <m/>
    <n v="0"/>
    <n v="0"/>
    <n v="0"/>
    <n v="0"/>
    <n v="0"/>
    <n v="0"/>
    <n v="0"/>
    <n v="0"/>
    <n v="0"/>
    <n v="0"/>
    <n v="0"/>
    <n v="0"/>
    <n v="0"/>
    <n v="0"/>
    <n v="0"/>
    <n v="0"/>
    <n v="0"/>
    <n v="0"/>
    <s v="MMR001CMP115"/>
    <x v="0"/>
    <x v="0"/>
    <s v="P1"/>
    <n v="4.4278095797250358E-3"/>
    <s v="No"/>
  </r>
  <r>
    <n v="39.666666666666664"/>
    <d v="2014-01-27T00:00:00"/>
    <x v="10"/>
    <s v="KBC"/>
    <s v="Kachin"/>
    <s v="Chipwi"/>
    <s v="Hpare Hkyer - BP6"/>
    <m/>
    <m/>
    <m/>
    <m/>
    <m/>
    <n v="155"/>
    <n v="155"/>
    <n v="155"/>
    <m/>
    <n v="155"/>
    <m/>
    <m/>
    <m/>
    <m/>
    <m/>
    <m/>
    <m/>
    <n v="0"/>
    <n v="0"/>
    <n v="0"/>
    <n v="0"/>
    <n v="0"/>
    <n v="0"/>
    <n v="0"/>
    <n v="0"/>
    <n v="0"/>
    <n v="0"/>
    <n v="0"/>
    <n v="0"/>
    <n v="0"/>
    <n v="0"/>
    <n v="0"/>
    <n v="0"/>
    <n v="0"/>
    <n v="0"/>
    <s v="MMR001CMP043"/>
    <x v="0"/>
    <x v="0"/>
    <s v="P1"/>
    <n v="3.777723616865708E-3"/>
    <s v="No"/>
  </r>
  <r>
    <n v="39.733333333333334"/>
    <d v="2014-01-25T00:00:00"/>
    <x v="10"/>
    <s v="KBC"/>
    <s v="Kachin"/>
    <s v="Waingmaw"/>
    <s v="Zai Awng - Mung Ga Zup"/>
    <m/>
    <m/>
    <m/>
    <m/>
    <m/>
    <n v="646"/>
    <n v="646"/>
    <n v="646"/>
    <m/>
    <n v="646"/>
    <m/>
    <m/>
    <m/>
    <m/>
    <m/>
    <m/>
    <m/>
    <n v="0"/>
    <n v="0"/>
    <n v="0"/>
    <n v="0"/>
    <n v="0"/>
    <n v="0"/>
    <n v="0"/>
    <n v="0"/>
    <n v="0"/>
    <n v="0"/>
    <n v="0"/>
    <n v="0"/>
    <n v="0"/>
    <n v="0"/>
    <n v="0"/>
    <n v="0"/>
    <n v="0"/>
    <n v="0"/>
    <s v="MMR001CMP111"/>
    <x v="0"/>
    <x v="1"/>
    <s v="P2"/>
    <n v="1.5814727771249509E-2"/>
    <s v="No"/>
  </r>
  <r>
    <n v="39.633333333333333"/>
    <d v="2014-01-28T00:00:00"/>
    <x v="0"/>
    <m/>
    <s v="Kachin"/>
    <s v="Mansi"/>
    <s v="Maing Khaung Catholic Church"/>
    <m/>
    <m/>
    <m/>
    <n v="18"/>
    <n v="10"/>
    <n v="18"/>
    <n v="40"/>
    <m/>
    <n v="10"/>
    <n v="50"/>
    <m/>
    <m/>
    <m/>
    <m/>
    <m/>
    <m/>
    <m/>
    <n v="0"/>
    <n v="0"/>
    <n v="0"/>
    <n v="0"/>
    <n v="0"/>
    <n v="0"/>
    <n v="0"/>
    <n v="0"/>
    <n v="0"/>
    <n v="0"/>
    <n v="0"/>
    <n v="0"/>
    <n v="0"/>
    <n v="0"/>
    <n v="0"/>
    <n v="0"/>
    <n v="0"/>
    <n v="0"/>
    <s v="MMR001CMP223"/>
    <x v="0"/>
    <x v="0"/>
    <s v="P4"/>
    <n v="9.6274188889958602E-4"/>
    <m/>
  </r>
  <r>
    <n v="39.6"/>
    <d v="2014-01-29T00:00:00"/>
    <x v="0"/>
    <s v="UNHCR"/>
    <s v="Kachin"/>
    <s v="Mansi"/>
    <s v="Maing Khaung"/>
    <m/>
    <m/>
    <m/>
    <n v="100"/>
    <n v="58"/>
    <n v="100"/>
    <n v="58"/>
    <m/>
    <n v="58"/>
    <n v="290"/>
    <m/>
    <m/>
    <m/>
    <m/>
    <m/>
    <m/>
    <m/>
    <n v="0"/>
    <n v="0"/>
    <n v="0"/>
    <n v="0"/>
    <n v="0"/>
    <n v="0"/>
    <n v="0"/>
    <n v="0"/>
    <n v="0"/>
    <n v="0"/>
    <n v="0"/>
    <n v="0"/>
    <n v="0"/>
    <n v="0"/>
    <n v="0"/>
    <n v="0"/>
    <n v="0"/>
    <n v="0"/>
    <s v="MMR001CMP218"/>
    <x v="0"/>
    <x v="0"/>
    <s v="P4"/>
    <n v="1.3959757389043997E-3"/>
    <s v="No"/>
  </r>
  <r>
    <n v="38.799999999999997"/>
    <d v="2014-02-22T00:00:00"/>
    <x v="11"/>
    <s v="MRCS"/>
    <s v="Kachin"/>
    <s v="Chipwi"/>
    <s v="Pan Wa"/>
    <m/>
    <m/>
    <m/>
    <m/>
    <m/>
    <m/>
    <m/>
    <m/>
    <m/>
    <m/>
    <m/>
    <m/>
    <m/>
    <n v="126"/>
    <m/>
    <m/>
    <m/>
    <n v="0"/>
    <n v="0"/>
    <n v="0"/>
    <n v="0"/>
    <n v="0"/>
    <n v="0"/>
    <n v="0"/>
    <n v="0"/>
    <n v="0"/>
    <n v="0"/>
    <n v="0"/>
    <n v="0"/>
    <n v="0"/>
    <n v="0"/>
    <n v="1"/>
    <n v="0"/>
    <n v="0"/>
    <n v="0"/>
    <s v="MMR001CMP210"/>
    <x v="0"/>
    <x v="0"/>
    <s v="P1"/>
    <n v="0"/>
    <m/>
  </r>
  <r>
    <n v="38.799999999999997"/>
    <d v="2014-02-22T00:00:00"/>
    <x v="11"/>
    <s v="MRCS"/>
    <s v="Kachin"/>
    <s v="Chipwi"/>
    <s v="Saw Zam"/>
    <m/>
    <m/>
    <m/>
    <m/>
    <m/>
    <m/>
    <m/>
    <m/>
    <m/>
    <m/>
    <m/>
    <m/>
    <m/>
    <n v="58"/>
    <m/>
    <m/>
    <m/>
    <n v="0"/>
    <n v="0"/>
    <n v="0"/>
    <n v="0"/>
    <n v="0"/>
    <n v="0"/>
    <n v="0"/>
    <n v="0"/>
    <n v="0"/>
    <n v="0"/>
    <n v="0"/>
    <n v="0"/>
    <n v="0"/>
    <n v="0"/>
    <n v="1"/>
    <n v="0"/>
    <n v="0"/>
    <n v="0"/>
    <s v="MMR001CMP225"/>
    <x v="0"/>
    <x v="0"/>
    <s v="P1"/>
    <n v="0"/>
    <m/>
  </r>
  <r>
    <n v="38.799999999999997"/>
    <d v="2014-02-22T00:00:00"/>
    <x v="11"/>
    <s v="MRCS"/>
    <s v="Kachin"/>
    <s v="Sumprabum"/>
    <s v="Sumprabum"/>
    <m/>
    <m/>
    <m/>
    <m/>
    <m/>
    <m/>
    <m/>
    <m/>
    <m/>
    <m/>
    <m/>
    <m/>
    <m/>
    <n v="16"/>
    <m/>
    <m/>
    <m/>
    <n v="0"/>
    <n v="0"/>
    <n v="0"/>
    <n v="0"/>
    <n v="0"/>
    <n v="0"/>
    <n v="0"/>
    <n v="0"/>
    <n v="0"/>
    <n v="0"/>
    <n v="0"/>
    <n v="0"/>
    <n v="0"/>
    <n v="0"/>
    <n v="1"/>
    <n v="0"/>
    <n v="0"/>
    <n v="0"/>
    <s v="MMR001CMP206"/>
    <x v="0"/>
    <x v="0"/>
    <s v="P4"/>
    <s v=""/>
    <m/>
  </r>
  <r>
    <n v="38.766666666666666"/>
    <d v="2014-02-23T00:00:00"/>
    <x v="11"/>
    <s v="MRCS"/>
    <s v="Kachin"/>
    <s v="Chipwi"/>
    <s v="Chipwi KBC camp"/>
    <m/>
    <m/>
    <m/>
    <m/>
    <m/>
    <m/>
    <m/>
    <m/>
    <m/>
    <m/>
    <m/>
    <m/>
    <m/>
    <n v="222"/>
    <m/>
    <m/>
    <m/>
    <n v="0"/>
    <n v="0"/>
    <n v="0"/>
    <n v="0"/>
    <n v="0"/>
    <n v="0"/>
    <n v="0"/>
    <n v="0"/>
    <n v="0"/>
    <n v="0"/>
    <n v="0"/>
    <n v="0"/>
    <n v="0"/>
    <n v="0"/>
    <n v="1"/>
    <n v="0"/>
    <n v="0"/>
    <n v="0"/>
    <s v="MMR001CMP042"/>
    <x v="0"/>
    <x v="0"/>
    <s v="P1"/>
    <n v="0"/>
    <m/>
  </r>
  <r>
    <n v="38.766666666666666"/>
    <d v="2014-02-23T00:00:00"/>
    <x v="11"/>
    <s v="MRCS"/>
    <s v="Kachin"/>
    <s v="Chipwi"/>
    <s v="Lhaovao Baptist Church (LBC)"/>
    <m/>
    <m/>
    <m/>
    <m/>
    <m/>
    <m/>
    <m/>
    <m/>
    <m/>
    <m/>
    <m/>
    <m/>
    <m/>
    <n v="278"/>
    <m/>
    <m/>
    <m/>
    <n v="0"/>
    <n v="0"/>
    <n v="0"/>
    <n v="0"/>
    <n v="0"/>
    <n v="0"/>
    <n v="0"/>
    <n v="0"/>
    <n v="0"/>
    <n v="0"/>
    <n v="0"/>
    <n v="0"/>
    <n v="0"/>
    <n v="0"/>
    <n v="1"/>
    <n v="0"/>
    <n v="0"/>
    <n v="0"/>
    <s v="MMR001CMP195"/>
    <x v="0"/>
    <x v="0"/>
    <s v="P1"/>
    <n v="0"/>
    <m/>
  </r>
  <r>
    <n v="38.766666666666666"/>
    <d v="2014-02-23T00:00:00"/>
    <x v="11"/>
    <s v="MRCS"/>
    <s v="Kachin"/>
    <s v="Momauk"/>
    <s v="Seng Ja "/>
    <m/>
    <m/>
    <m/>
    <m/>
    <m/>
    <m/>
    <m/>
    <m/>
    <m/>
    <m/>
    <m/>
    <m/>
    <m/>
    <n v="376"/>
    <m/>
    <m/>
    <m/>
    <n v="0"/>
    <n v="0"/>
    <n v="0"/>
    <n v="0"/>
    <n v="0"/>
    <n v="0"/>
    <n v="0"/>
    <n v="0"/>
    <n v="0"/>
    <n v="0"/>
    <n v="0"/>
    <n v="0"/>
    <n v="0"/>
    <n v="0"/>
    <n v="1"/>
    <n v="0"/>
    <n v="0"/>
    <n v="0"/>
    <s v="MMR001CMP073"/>
    <x v="0"/>
    <x v="0"/>
    <s v="P3"/>
    <n v="0"/>
    <m/>
  </r>
  <r>
    <n v="38.700000000000003"/>
    <d v="2014-02-25T00:00:00"/>
    <x v="11"/>
    <s v="MRCS"/>
    <s v="Kachin"/>
    <s v="Mogaung"/>
    <s v="Kyun Taw Baptist Church "/>
    <m/>
    <m/>
    <m/>
    <m/>
    <m/>
    <m/>
    <m/>
    <m/>
    <m/>
    <m/>
    <m/>
    <m/>
    <m/>
    <n v="26"/>
    <m/>
    <m/>
    <m/>
    <n v="0"/>
    <n v="0"/>
    <n v="0"/>
    <n v="0"/>
    <n v="0"/>
    <n v="0"/>
    <n v="0"/>
    <n v="0"/>
    <n v="0"/>
    <n v="0"/>
    <n v="0"/>
    <n v="0"/>
    <n v="0"/>
    <n v="0"/>
    <n v="1"/>
    <n v="0"/>
    <n v="0"/>
    <n v="0"/>
    <s v="MMR001CMP078"/>
    <x v="0"/>
    <x v="0"/>
    <s v="P4"/>
    <n v="0"/>
    <m/>
  </r>
  <r>
    <n v="38.700000000000003"/>
    <d v="2014-02-25T00:00:00"/>
    <x v="11"/>
    <s v="MRCS"/>
    <s v="Kachin"/>
    <s v="Mogaung"/>
    <s v="Mang Hawng Baptist Church"/>
    <m/>
    <m/>
    <m/>
    <m/>
    <m/>
    <m/>
    <m/>
    <m/>
    <m/>
    <m/>
    <m/>
    <m/>
    <m/>
    <n v="26"/>
    <m/>
    <m/>
    <m/>
    <n v="0"/>
    <n v="0"/>
    <n v="0"/>
    <n v="0"/>
    <n v="0"/>
    <n v="0"/>
    <n v="0"/>
    <n v="0"/>
    <n v="0"/>
    <n v="0"/>
    <n v="0"/>
    <n v="0"/>
    <n v="0"/>
    <n v="0"/>
    <n v="1"/>
    <n v="0"/>
    <n v="0"/>
    <n v="0"/>
    <s v="MMR001CMP077"/>
    <x v="0"/>
    <x v="0"/>
    <s v="P4"/>
    <n v="0"/>
    <m/>
  </r>
  <r>
    <n v="38.700000000000003"/>
    <d v="2014-02-25T00:00:00"/>
    <x v="11"/>
    <s v="MRCS"/>
    <s v="Kachin"/>
    <s v="Mogaung"/>
    <s v="Nat Gyi Kone Baptist Church "/>
    <m/>
    <m/>
    <m/>
    <m/>
    <m/>
    <m/>
    <m/>
    <m/>
    <m/>
    <m/>
    <m/>
    <m/>
    <m/>
    <n v="28"/>
    <m/>
    <m/>
    <m/>
    <n v="0"/>
    <n v="0"/>
    <n v="0"/>
    <n v="0"/>
    <n v="0"/>
    <n v="0"/>
    <n v="0"/>
    <n v="0"/>
    <n v="0"/>
    <n v="0"/>
    <n v="0"/>
    <n v="0"/>
    <n v="0"/>
    <n v="0"/>
    <n v="1"/>
    <n v="0"/>
    <n v="0"/>
    <n v="0"/>
    <s v="MMR001CMP079"/>
    <x v="0"/>
    <x v="0"/>
    <s v="P4"/>
    <n v="0"/>
    <m/>
  </r>
  <r>
    <n v="37.5"/>
    <d v="2014-04-02T00:00:00"/>
    <x v="0"/>
    <s v="UNHCR"/>
    <s v="Kachin"/>
    <s v="Bhamo"/>
    <s v="Mu-yin Baptist Church"/>
    <m/>
    <m/>
    <m/>
    <m/>
    <n v="1"/>
    <n v="3"/>
    <n v="2"/>
    <m/>
    <n v="3"/>
    <m/>
    <m/>
    <m/>
    <m/>
    <m/>
    <m/>
    <m/>
    <m/>
    <n v="0"/>
    <n v="0"/>
    <n v="0"/>
    <n v="0"/>
    <n v="0"/>
    <n v="0"/>
    <n v="0"/>
    <n v="0"/>
    <n v="0"/>
    <n v="0"/>
    <n v="0"/>
    <n v="0"/>
    <n v="0"/>
    <n v="0"/>
    <n v="0"/>
    <n v="0"/>
    <n v="0"/>
    <n v="0"/>
    <s v="MMR001CMP051"/>
    <x v="0"/>
    <x v="0"/>
    <s v="P4"/>
    <n v="4.8563727751742226E-5"/>
    <s v="No"/>
  </r>
  <r>
    <n v="37.4"/>
    <d v="2014-04-05T00:00:00"/>
    <x v="11"/>
    <s v="MRCS"/>
    <s v="Kachin"/>
    <s v="Hpakant"/>
    <s v="Hlaing Naung Baptist"/>
    <m/>
    <m/>
    <m/>
    <m/>
    <m/>
    <m/>
    <m/>
    <m/>
    <m/>
    <m/>
    <m/>
    <m/>
    <m/>
    <n v="44"/>
    <m/>
    <m/>
    <m/>
    <n v="0"/>
    <n v="0"/>
    <n v="0"/>
    <n v="0"/>
    <n v="0"/>
    <n v="0"/>
    <n v="0"/>
    <n v="0"/>
    <n v="0"/>
    <n v="0"/>
    <n v="0"/>
    <n v="0"/>
    <n v="0"/>
    <n v="0"/>
    <n v="1"/>
    <n v="0"/>
    <n v="0"/>
    <n v="0"/>
    <s v="MMR001CMP148"/>
    <x v="0"/>
    <x v="0"/>
    <s v="P4"/>
    <n v="0"/>
    <m/>
  </r>
  <r>
    <n v="37.333333333333336"/>
    <d v="2014-04-07T00:00:00"/>
    <x v="11"/>
    <s v="MRCS"/>
    <s v="Kachin"/>
    <s v="Mansi"/>
    <s v="Host Families"/>
    <m/>
    <m/>
    <m/>
    <m/>
    <m/>
    <m/>
    <m/>
    <m/>
    <m/>
    <m/>
    <m/>
    <m/>
    <m/>
    <n v="558"/>
    <m/>
    <m/>
    <m/>
    <n v="0"/>
    <n v="0"/>
    <n v="0"/>
    <n v="0"/>
    <n v="0"/>
    <n v="0"/>
    <n v="0"/>
    <n v="0"/>
    <n v="0"/>
    <n v="0"/>
    <n v="0"/>
    <n v="0"/>
    <n v="0"/>
    <n v="0"/>
    <n v="1"/>
    <n v="0"/>
    <n v="0"/>
    <n v="0"/>
    <s v="MMR001CMP163"/>
    <x v="0"/>
    <x v="0"/>
    <s v="P4"/>
    <s v=""/>
    <m/>
  </r>
  <r>
    <n v="37.333333333333336"/>
    <d v="2014-04-07T00:00:00"/>
    <x v="11"/>
    <s v="MRCS"/>
    <s v="Kachin"/>
    <s v="Mansi"/>
    <s v="Maing Khaung"/>
    <m/>
    <m/>
    <m/>
    <m/>
    <m/>
    <m/>
    <m/>
    <m/>
    <m/>
    <m/>
    <m/>
    <m/>
    <m/>
    <n v="478"/>
    <m/>
    <m/>
    <m/>
    <n v="0"/>
    <n v="0"/>
    <n v="0"/>
    <n v="0"/>
    <n v="0"/>
    <n v="0"/>
    <n v="0"/>
    <n v="0"/>
    <n v="0"/>
    <n v="0"/>
    <n v="0"/>
    <n v="0"/>
    <n v="0"/>
    <n v="0"/>
    <n v="1"/>
    <n v="0"/>
    <n v="0"/>
    <n v="0"/>
    <s v="MMR001CMP218"/>
    <x v="0"/>
    <x v="0"/>
    <s v="P4"/>
    <n v="0"/>
    <m/>
  </r>
  <r>
    <n v="37.366666666666667"/>
    <d v="2014-04-06T00:00:00"/>
    <x v="11"/>
    <s v="MRCS"/>
    <s v="Kachin"/>
    <s v="Hpakant"/>
    <s v="Baptist Church, Naung Hmee VT"/>
    <m/>
    <m/>
    <m/>
    <m/>
    <m/>
    <m/>
    <m/>
    <m/>
    <m/>
    <m/>
    <m/>
    <m/>
    <m/>
    <n v="30"/>
    <m/>
    <m/>
    <m/>
    <n v="0"/>
    <n v="0"/>
    <n v="0"/>
    <n v="0"/>
    <n v="0"/>
    <n v="0"/>
    <n v="0"/>
    <n v="0"/>
    <n v="0"/>
    <n v="0"/>
    <n v="0"/>
    <n v="0"/>
    <n v="0"/>
    <n v="0"/>
    <n v="1"/>
    <n v="0"/>
    <n v="0"/>
    <n v="0"/>
    <s v="MMR001CMP188"/>
    <x v="0"/>
    <x v="1"/>
    <s v="P4"/>
    <s v=""/>
    <m/>
  </r>
  <r>
    <n v="37.333333333333336"/>
    <d v="2014-04-07T00:00:00"/>
    <x v="11"/>
    <s v="MRCS"/>
    <s v="Kachin"/>
    <s v="Mansi"/>
    <s v="Maing Khaung Catholic Church"/>
    <m/>
    <m/>
    <m/>
    <m/>
    <m/>
    <m/>
    <m/>
    <m/>
    <m/>
    <m/>
    <m/>
    <m/>
    <m/>
    <n v="158"/>
    <m/>
    <m/>
    <m/>
    <n v="0"/>
    <n v="0"/>
    <n v="0"/>
    <n v="0"/>
    <n v="0"/>
    <n v="0"/>
    <n v="0"/>
    <n v="0"/>
    <n v="0"/>
    <n v="0"/>
    <n v="0"/>
    <n v="0"/>
    <n v="0"/>
    <n v="0"/>
    <n v="1"/>
    <n v="0"/>
    <n v="0"/>
    <n v="0"/>
    <s v="MMR001CMP223"/>
    <x v="0"/>
    <x v="0"/>
    <s v="P4"/>
    <n v="0"/>
    <m/>
  </r>
  <r>
    <n v="37.333333333333336"/>
    <d v="2014-04-07T00:00:00"/>
    <x v="11"/>
    <s v="MRCS"/>
    <s v="Kachin"/>
    <s v="Mansi"/>
    <s v="Mansi Baptist Church"/>
    <m/>
    <m/>
    <m/>
    <m/>
    <m/>
    <m/>
    <m/>
    <m/>
    <m/>
    <m/>
    <m/>
    <m/>
    <m/>
    <n v="262"/>
    <m/>
    <m/>
    <m/>
    <n v="0"/>
    <n v="0"/>
    <n v="0"/>
    <n v="0"/>
    <n v="0"/>
    <n v="0"/>
    <n v="0"/>
    <n v="0"/>
    <n v="0"/>
    <n v="0"/>
    <n v="0"/>
    <n v="0"/>
    <n v="0"/>
    <n v="0"/>
    <n v="1"/>
    <n v="0"/>
    <n v="0"/>
    <n v="0"/>
    <s v="MMR001CMP066"/>
    <x v="0"/>
    <x v="0"/>
    <s v="P4"/>
    <n v="0"/>
    <m/>
  </r>
  <r>
    <n v="37.299999999999997"/>
    <d v="2014-04-08T00:00:00"/>
    <x v="11"/>
    <s v="MRCS"/>
    <s v="Kachin"/>
    <s v="Bhamo"/>
    <s v="Htoi San Church"/>
    <m/>
    <m/>
    <m/>
    <m/>
    <m/>
    <m/>
    <m/>
    <m/>
    <m/>
    <m/>
    <m/>
    <m/>
    <m/>
    <n v="90"/>
    <m/>
    <m/>
    <m/>
    <n v="0"/>
    <n v="0"/>
    <n v="0"/>
    <n v="0"/>
    <n v="0"/>
    <n v="0"/>
    <n v="0"/>
    <n v="0"/>
    <n v="0"/>
    <n v="0"/>
    <n v="0"/>
    <n v="0"/>
    <n v="0"/>
    <n v="0"/>
    <n v="1"/>
    <n v="0"/>
    <n v="0"/>
    <n v="0"/>
    <s v="MMR001CMP052"/>
    <x v="0"/>
    <x v="0"/>
    <s v="P4"/>
    <n v="0"/>
    <m/>
  </r>
  <r>
    <n v="37.299999999999997"/>
    <d v="2014-04-08T00:00:00"/>
    <x v="11"/>
    <s v="MRCS"/>
    <s v="Kachin"/>
    <s v="Bhamo"/>
    <s v="Phan Khar Kone"/>
    <m/>
    <m/>
    <m/>
    <m/>
    <m/>
    <m/>
    <m/>
    <m/>
    <m/>
    <m/>
    <m/>
    <m/>
    <m/>
    <n v="372"/>
    <m/>
    <m/>
    <m/>
    <n v="0"/>
    <n v="0"/>
    <n v="0"/>
    <n v="0"/>
    <n v="0"/>
    <n v="0"/>
    <n v="0"/>
    <n v="0"/>
    <n v="0"/>
    <n v="0"/>
    <n v="0"/>
    <n v="0"/>
    <n v="0"/>
    <n v="0"/>
    <n v="1"/>
    <n v="0"/>
    <n v="0"/>
    <n v="0"/>
    <s v="MMR001CMP193"/>
    <x v="0"/>
    <x v="0"/>
    <s v="P4"/>
    <n v="0"/>
    <m/>
  </r>
  <r>
    <n v="37.299999999999997"/>
    <d v="2014-04-08T00:00:00"/>
    <x v="11"/>
    <s v="MRCS"/>
    <s v="Kachin"/>
    <s v="Momauk"/>
    <s v="Mandalay Monestry"/>
    <m/>
    <m/>
    <m/>
    <m/>
    <m/>
    <m/>
    <m/>
    <m/>
    <m/>
    <m/>
    <m/>
    <m/>
    <m/>
    <n v="10"/>
    <m/>
    <m/>
    <m/>
    <n v="0"/>
    <n v="0"/>
    <n v="0"/>
    <n v="0"/>
    <n v="0"/>
    <n v="0"/>
    <n v="0"/>
    <n v="0"/>
    <n v="0"/>
    <n v="0"/>
    <n v="0"/>
    <n v="0"/>
    <n v="0"/>
    <n v="0"/>
    <n v="1"/>
    <n v="0"/>
    <n v="0"/>
    <n v="0"/>
    <s v="MMR001CMP058"/>
    <x v="0"/>
    <x v="1"/>
    <s v="P4"/>
    <n v="0"/>
    <m/>
  </r>
  <r>
    <n v="37.299999999999997"/>
    <d v="2014-04-08T00:00:00"/>
    <x v="11"/>
    <s v="MRCS"/>
    <s v="Kachin"/>
    <s v="Momauk"/>
    <s v="Ni Thaw Ka Monestry"/>
    <m/>
    <m/>
    <m/>
    <m/>
    <m/>
    <m/>
    <m/>
    <m/>
    <m/>
    <m/>
    <m/>
    <m/>
    <m/>
    <n v="46"/>
    <m/>
    <m/>
    <m/>
    <n v="0"/>
    <n v="0"/>
    <n v="0"/>
    <n v="0"/>
    <n v="0"/>
    <n v="0"/>
    <n v="0"/>
    <n v="0"/>
    <n v="0"/>
    <n v="0"/>
    <n v="0"/>
    <n v="0"/>
    <n v="0"/>
    <n v="0"/>
    <n v="1"/>
    <n v="0"/>
    <n v="0"/>
    <n v="0"/>
    <s v="MMR001CMP059"/>
    <x v="0"/>
    <x v="1"/>
    <s v="P4"/>
    <n v="0"/>
    <m/>
  </r>
  <r>
    <n v="37.266666666666666"/>
    <d v="2014-04-09T00:00:00"/>
    <x v="11"/>
    <s v="MRCS"/>
    <s v="Kachin"/>
    <s v="Bhamo"/>
    <s v="Ta Gun Taing Monastery (Shwe Kyi Na)"/>
    <m/>
    <m/>
    <m/>
    <m/>
    <m/>
    <m/>
    <m/>
    <m/>
    <m/>
    <m/>
    <m/>
    <m/>
    <m/>
    <n v="122"/>
    <m/>
    <m/>
    <m/>
    <n v="0"/>
    <n v="0"/>
    <n v="0"/>
    <n v="0"/>
    <n v="0"/>
    <n v="0"/>
    <n v="0"/>
    <n v="0"/>
    <n v="0"/>
    <n v="0"/>
    <n v="0"/>
    <n v="0"/>
    <n v="0"/>
    <n v="0"/>
    <n v="1"/>
    <n v="0"/>
    <n v="0"/>
    <n v="0"/>
    <s v="MMR001CMP055"/>
    <x v="0"/>
    <x v="0"/>
    <s v="P4"/>
    <n v="0"/>
    <m/>
  </r>
  <r>
    <n v="37.266666666666666"/>
    <d v="2014-04-09T00:00:00"/>
    <x v="11"/>
    <s v="MRCS"/>
    <s v="Kachin"/>
    <s v="Bhamo"/>
    <s v="Yoe Kyi Monastery"/>
    <m/>
    <m/>
    <m/>
    <m/>
    <m/>
    <m/>
    <m/>
    <m/>
    <m/>
    <m/>
    <m/>
    <m/>
    <m/>
    <n v="42"/>
    <m/>
    <m/>
    <m/>
    <n v="0"/>
    <n v="0"/>
    <n v="0"/>
    <n v="0"/>
    <n v="0"/>
    <n v="0"/>
    <n v="0"/>
    <n v="0"/>
    <n v="0"/>
    <n v="0"/>
    <n v="0"/>
    <n v="0"/>
    <n v="0"/>
    <n v="0"/>
    <n v="1"/>
    <n v="0"/>
    <n v="0"/>
    <n v="0"/>
    <s v="MMR001CMP053"/>
    <x v="0"/>
    <x v="0"/>
    <s v="P4"/>
    <n v="0"/>
    <m/>
  </r>
  <r>
    <n v="37.1"/>
    <d v="2014-04-14T00:00:00"/>
    <x v="0"/>
    <s v="UNHCR"/>
    <s v="Kachin"/>
    <s v="Momauk"/>
    <s v="Momauk Baptist Church"/>
    <m/>
    <m/>
    <m/>
    <n v="10"/>
    <n v="5"/>
    <n v="15"/>
    <n v="5"/>
    <n v="5"/>
    <n v="5"/>
    <m/>
    <m/>
    <m/>
    <m/>
    <m/>
    <m/>
    <m/>
    <m/>
    <n v="0"/>
    <n v="0"/>
    <n v="0"/>
    <n v="0"/>
    <n v="0"/>
    <n v="0"/>
    <n v="0"/>
    <n v="0"/>
    <n v="0"/>
    <n v="0"/>
    <n v="0"/>
    <n v="0"/>
    <n v="0"/>
    <n v="0"/>
    <n v="0"/>
    <n v="0"/>
    <n v="0"/>
    <n v="0"/>
    <s v="MMR001CMP056"/>
    <x v="0"/>
    <x v="0"/>
    <s v="P4"/>
    <n v="1.2286521685710776E-4"/>
    <s v="No"/>
  </r>
  <r>
    <n v="37"/>
    <d v="2014-04-17T00:00:00"/>
    <x v="0"/>
    <s v="UNHCR"/>
    <s v="Kachin"/>
    <s v="Momauk"/>
    <s v="Momauk Baptist Church"/>
    <m/>
    <m/>
    <m/>
    <n v="8"/>
    <n v="4"/>
    <n v="12"/>
    <n v="4"/>
    <n v="4"/>
    <n v="4"/>
    <n v="41"/>
    <m/>
    <m/>
    <m/>
    <m/>
    <m/>
    <m/>
    <m/>
    <n v="0"/>
    <n v="0"/>
    <n v="0"/>
    <n v="0"/>
    <n v="0"/>
    <n v="0"/>
    <n v="0"/>
    <n v="0"/>
    <n v="0"/>
    <n v="0"/>
    <n v="0"/>
    <n v="0"/>
    <n v="0"/>
    <n v="0"/>
    <n v="0"/>
    <n v="0"/>
    <n v="0"/>
    <n v="0"/>
    <s v="MMR001CMP056"/>
    <x v="0"/>
    <x v="0"/>
    <s v="P4"/>
    <n v="9.8292173485686198E-5"/>
    <s v="No"/>
  </r>
  <r>
    <n v="36.93333333333333"/>
    <d v="2014-04-19T00:00:00"/>
    <x v="0"/>
    <m/>
    <s v="Kachin"/>
    <s v="Mansi"/>
    <s v="Man Wing Catholic Church"/>
    <m/>
    <m/>
    <m/>
    <n v="400"/>
    <n v="190"/>
    <n v="870"/>
    <n v="190"/>
    <m/>
    <n v="190"/>
    <n v="1000"/>
    <m/>
    <m/>
    <m/>
    <m/>
    <m/>
    <m/>
    <m/>
    <n v="0"/>
    <n v="0"/>
    <n v="0"/>
    <n v="0"/>
    <n v="0"/>
    <n v="0"/>
    <n v="0"/>
    <n v="0"/>
    <n v="0"/>
    <n v="0"/>
    <n v="0"/>
    <n v="0"/>
    <n v="0"/>
    <n v="0"/>
    <n v="0"/>
    <n v="0"/>
    <n v="0"/>
    <n v="0"/>
    <s v="MMR001CMP132"/>
    <x v="0"/>
    <x v="0"/>
    <s v="P4"/>
    <n v="4.6513905209557387E-3"/>
    <m/>
  </r>
  <r>
    <n v="36.9"/>
    <d v="2014-04-20T00:00:00"/>
    <x v="0"/>
    <m/>
    <s v="Kachin"/>
    <s v="Mansi"/>
    <s v="Man Wing Baptist Church"/>
    <m/>
    <m/>
    <m/>
    <n v="220"/>
    <n v="110"/>
    <n v="1000"/>
    <n v="110"/>
    <m/>
    <n v="110"/>
    <n v="550"/>
    <m/>
    <m/>
    <m/>
    <m/>
    <m/>
    <m/>
    <m/>
    <n v="0"/>
    <n v="0"/>
    <n v="0"/>
    <n v="0"/>
    <n v="0"/>
    <n v="0"/>
    <n v="0"/>
    <n v="0"/>
    <n v="0"/>
    <n v="0"/>
    <n v="0"/>
    <n v="0"/>
    <n v="0"/>
    <n v="0"/>
    <n v="0"/>
    <n v="0"/>
    <n v="0"/>
    <n v="0"/>
    <s v="MMR001CMP133"/>
    <x v="0"/>
    <x v="0"/>
    <s v="P4"/>
    <n v="2.6868588177821201E-3"/>
    <m/>
  </r>
  <r>
    <n v="36.866666666666667"/>
    <d v="2014-04-21T00:00:00"/>
    <x v="0"/>
    <s v="UNHCR"/>
    <s v="Kachin"/>
    <s v="Bhamo"/>
    <s v="AD-2000 Tharthana Compound"/>
    <m/>
    <m/>
    <n v="5"/>
    <n v="6"/>
    <n v="2"/>
    <n v="6"/>
    <n v="2"/>
    <n v="2"/>
    <n v="2"/>
    <n v="6"/>
    <m/>
    <m/>
    <m/>
    <m/>
    <m/>
    <m/>
    <m/>
    <n v="0"/>
    <n v="0"/>
    <n v="0"/>
    <n v="0"/>
    <n v="0"/>
    <n v="0"/>
    <n v="0"/>
    <n v="0"/>
    <n v="0"/>
    <n v="0"/>
    <n v="0"/>
    <n v="0"/>
    <n v="0"/>
    <n v="0"/>
    <n v="0"/>
    <n v="0"/>
    <n v="0"/>
    <n v="0"/>
    <s v="MMR001CMP050"/>
    <x v="0"/>
    <x v="0"/>
    <s v="P4"/>
    <n v="4.8962005483744613E-5"/>
    <s v="No"/>
  </r>
  <r>
    <n v="36.866666666666667"/>
    <d v="2014-04-21T00:00:00"/>
    <x v="0"/>
    <s v="UNHCR"/>
    <s v="Kachin"/>
    <s v="Mansi"/>
    <s v="Mansi Baptist Church"/>
    <m/>
    <m/>
    <n v="20"/>
    <n v="30"/>
    <n v="13"/>
    <n v="40"/>
    <n v="13"/>
    <n v="13"/>
    <n v="13"/>
    <n v="25"/>
    <m/>
    <m/>
    <m/>
    <m/>
    <m/>
    <m/>
    <m/>
    <n v="0"/>
    <n v="0"/>
    <n v="0"/>
    <n v="0"/>
    <n v="0"/>
    <n v="0"/>
    <n v="0"/>
    <n v="0"/>
    <n v="0"/>
    <n v="0"/>
    <n v="0"/>
    <n v="0"/>
    <n v="0"/>
    <n v="0"/>
    <n v="0"/>
    <n v="0"/>
    <n v="0"/>
    <n v="0"/>
    <s v="MMR001CMP066"/>
    <x v="0"/>
    <x v="0"/>
    <s v="P4"/>
    <n v="3.1265783207869358E-4"/>
    <s v="No"/>
  </r>
  <r>
    <n v="36.866666666666667"/>
    <d v="2014-04-21T00:00:00"/>
    <x v="0"/>
    <m/>
    <s v="Kachin"/>
    <s v="Mansi"/>
    <s v="Bum Tsit Pa Camp II"/>
    <m/>
    <m/>
    <m/>
    <n v="800"/>
    <n v="400"/>
    <m/>
    <n v="100"/>
    <m/>
    <n v="400"/>
    <n v="2000"/>
    <m/>
    <m/>
    <m/>
    <m/>
    <m/>
    <m/>
    <m/>
    <n v="0"/>
    <n v="0"/>
    <n v="0"/>
    <n v="0"/>
    <n v="0"/>
    <n v="0"/>
    <n v="0"/>
    <n v="0"/>
    <n v="0"/>
    <n v="0"/>
    <n v="0"/>
    <n v="0"/>
    <n v="0"/>
    <n v="0"/>
    <n v="0"/>
    <n v="0"/>
    <n v="0"/>
    <n v="0"/>
    <s v="MMR001CMP226"/>
    <x v="0"/>
    <x v="1"/>
    <s v="P2"/>
    <n v="2.4499595756670013E-3"/>
    <m/>
  </r>
  <r>
    <n v="36.866666666666667"/>
    <d v="2014-04-21T00:00:00"/>
    <x v="0"/>
    <s v="UNHCR"/>
    <s v="Kachin"/>
    <s v="Momauk"/>
    <s v="Momauk Baptist Church"/>
    <m/>
    <m/>
    <n v="15"/>
    <n v="16"/>
    <n v="50"/>
    <n v="16"/>
    <n v="7"/>
    <n v="7"/>
    <n v="7"/>
    <n v="13"/>
    <m/>
    <m/>
    <m/>
    <m/>
    <m/>
    <m/>
    <m/>
    <n v="0"/>
    <n v="0"/>
    <n v="0"/>
    <n v="0"/>
    <n v="0"/>
    <n v="0"/>
    <n v="0"/>
    <n v="0"/>
    <n v="0"/>
    <n v="0"/>
    <n v="0"/>
    <n v="0"/>
    <n v="0"/>
    <n v="0"/>
    <n v="0"/>
    <n v="0"/>
    <n v="0"/>
    <n v="0"/>
    <s v="MMR001CMP056"/>
    <x v="0"/>
    <x v="0"/>
    <s v="P4"/>
    <n v="1.7201130359995086E-4"/>
    <s v="No"/>
  </r>
  <r>
    <n v="36.866666666666667"/>
    <d v="2014-04-21T00:00:00"/>
    <x v="0"/>
    <m/>
    <s v="Shan_North"/>
    <s v="Namhkan"/>
    <s v="Nam Hkam (KBC Jaw Wang) II"/>
    <m/>
    <m/>
    <m/>
    <n v="0"/>
    <n v="1"/>
    <n v="167"/>
    <n v="1"/>
    <n v="0"/>
    <n v="1"/>
    <n v="0"/>
    <m/>
    <m/>
    <m/>
    <m/>
    <m/>
    <m/>
    <m/>
    <n v="0"/>
    <n v="0"/>
    <n v="0"/>
    <n v="0"/>
    <n v="0"/>
    <n v="0"/>
    <n v="0"/>
    <n v="0"/>
    <n v="0"/>
    <n v="0"/>
    <n v="0"/>
    <n v="0"/>
    <n v="0"/>
    <n v="0"/>
    <n v="0"/>
    <n v="0"/>
    <n v="0"/>
    <n v="0"/>
    <s v="MMR015CMP214"/>
    <x v="2"/>
    <x v="0"/>
    <s v="P4"/>
    <n v="2.3839607123274607E-5"/>
    <m/>
  </r>
  <r>
    <n v="36.866666666666667"/>
    <d v="2014-04-21T00:00:00"/>
    <x v="0"/>
    <m/>
    <s v="Shan_North"/>
    <s v="Namhkan"/>
    <s v="Nam Hkam (KBC Jaw Wang) II"/>
    <m/>
    <m/>
    <m/>
    <n v="90"/>
    <n v="49"/>
    <n v="98"/>
    <n v="49"/>
    <m/>
    <n v="49"/>
    <n v="225"/>
    <m/>
    <m/>
    <m/>
    <m/>
    <m/>
    <m/>
    <m/>
    <n v="0"/>
    <n v="0"/>
    <n v="0"/>
    <n v="0"/>
    <n v="0"/>
    <n v="0"/>
    <n v="0"/>
    <n v="0"/>
    <n v="0"/>
    <n v="0"/>
    <n v="0"/>
    <n v="0"/>
    <n v="0"/>
    <n v="0"/>
    <n v="0"/>
    <n v="0"/>
    <n v="0"/>
    <n v="0"/>
    <s v="MMR015CMP214"/>
    <x v="2"/>
    <x v="0"/>
    <s v="P4"/>
    <n v="1.1681407490404558E-3"/>
    <m/>
  </r>
  <r>
    <n v="36.266666666666666"/>
    <d v="2014-05-09T00:00:00"/>
    <x v="11"/>
    <s v="MRCS"/>
    <s v="Kachin"/>
    <s v="Myitkyina"/>
    <s v="Pa Dauk Myaing(Pa La Na)"/>
    <m/>
    <m/>
    <m/>
    <m/>
    <m/>
    <m/>
    <m/>
    <m/>
    <m/>
    <m/>
    <m/>
    <m/>
    <m/>
    <n v="58"/>
    <m/>
    <m/>
    <m/>
    <n v="0"/>
    <n v="0"/>
    <n v="0"/>
    <n v="0"/>
    <n v="0"/>
    <n v="0"/>
    <n v="0"/>
    <n v="0"/>
    <n v="0"/>
    <n v="0"/>
    <n v="0"/>
    <n v="0"/>
    <n v="0"/>
    <n v="0"/>
    <n v="1"/>
    <n v="0"/>
    <n v="0"/>
    <n v="0"/>
    <s v="MMR001CMP162"/>
    <x v="0"/>
    <x v="0"/>
    <s v="P4"/>
    <n v="0"/>
    <m/>
  </r>
  <r>
    <n v="36.266666666666666"/>
    <d v="2014-05-09T00:00:00"/>
    <x v="11"/>
    <s v="MRCS"/>
    <s v="Kachin"/>
    <s v="Myitkyina"/>
    <s v="Shatapru Sut Ngai Tawng"/>
    <m/>
    <m/>
    <m/>
    <m/>
    <m/>
    <m/>
    <m/>
    <m/>
    <m/>
    <m/>
    <m/>
    <m/>
    <m/>
    <n v="208"/>
    <m/>
    <m/>
    <m/>
    <n v="0"/>
    <n v="0"/>
    <n v="0"/>
    <n v="0"/>
    <n v="0"/>
    <n v="0"/>
    <n v="0"/>
    <n v="0"/>
    <n v="0"/>
    <n v="0"/>
    <n v="0"/>
    <n v="0"/>
    <n v="0"/>
    <n v="0"/>
    <n v="1"/>
    <n v="0"/>
    <n v="0"/>
    <n v="0"/>
    <s v="MMR001CMP006"/>
    <x v="0"/>
    <x v="0"/>
    <s v="P4"/>
    <n v="0"/>
    <m/>
  </r>
  <r>
    <n v="36.200000000000003"/>
    <d v="2014-05-11T00:00:00"/>
    <x v="0"/>
    <m/>
    <s v="Shan_North"/>
    <s v="Muse"/>
    <s v="Muse Baptist Church"/>
    <m/>
    <m/>
    <m/>
    <n v="138"/>
    <n v="19"/>
    <n v="238"/>
    <n v="19"/>
    <n v="0"/>
    <n v="19"/>
    <n v="95"/>
    <m/>
    <m/>
    <m/>
    <m/>
    <m/>
    <m/>
    <m/>
    <n v="0"/>
    <n v="0"/>
    <n v="0"/>
    <n v="0"/>
    <n v="0"/>
    <n v="0"/>
    <n v="0"/>
    <n v="0"/>
    <n v="0"/>
    <n v="0"/>
    <n v="0"/>
    <n v="0"/>
    <n v="0"/>
    <n v="0"/>
    <n v="0"/>
    <n v="0"/>
    <n v="0"/>
    <n v="0"/>
    <s v="MMR015CMP213"/>
    <x v="2"/>
    <x v="0"/>
    <s v="P4"/>
    <n v="4.5560271443301442E-4"/>
    <m/>
  </r>
  <r>
    <n v="36.200000000000003"/>
    <d v="2014-05-11T00:00:00"/>
    <x v="0"/>
    <m/>
    <s v="Shan_North"/>
    <s v="Muse"/>
    <s v="Muse Baptist Church"/>
    <m/>
    <m/>
    <m/>
    <n v="162"/>
    <n v="81"/>
    <n v="162"/>
    <n v="81"/>
    <m/>
    <n v="81"/>
    <n v="405"/>
    <m/>
    <m/>
    <m/>
    <m/>
    <m/>
    <m/>
    <m/>
    <n v="0"/>
    <n v="0"/>
    <n v="0"/>
    <n v="0"/>
    <n v="0"/>
    <n v="0"/>
    <n v="0"/>
    <n v="0"/>
    <n v="0"/>
    <n v="0"/>
    <n v="0"/>
    <n v="0"/>
    <n v="0"/>
    <n v="0"/>
    <n v="0"/>
    <n v="0"/>
    <n v="0"/>
    <n v="0"/>
    <s v="MMR015CMP213"/>
    <x v="2"/>
    <x v="0"/>
    <s v="P4"/>
    <n v="1.9423063088986404E-3"/>
    <m/>
  </r>
  <r>
    <n v="36.166666666666664"/>
    <d v="2014-05-12T00:00:00"/>
    <x v="11"/>
    <s v="MRCS"/>
    <s v="Kachin"/>
    <s v="Myitkyina"/>
    <s v="Man Hkring Baptist Church"/>
    <m/>
    <m/>
    <m/>
    <m/>
    <m/>
    <m/>
    <m/>
    <m/>
    <m/>
    <m/>
    <m/>
    <m/>
    <m/>
    <n v="184"/>
    <m/>
    <m/>
    <m/>
    <n v="0"/>
    <n v="0"/>
    <n v="0"/>
    <n v="0"/>
    <n v="0"/>
    <n v="0"/>
    <n v="0"/>
    <n v="0"/>
    <n v="0"/>
    <n v="0"/>
    <n v="0"/>
    <n v="0"/>
    <n v="0"/>
    <n v="0"/>
    <n v="1"/>
    <n v="0"/>
    <n v="0"/>
    <n v="0"/>
    <s v="MMR001CMP008"/>
    <x v="0"/>
    <x v="0"/>
    <s v="P4"/>
    <n v="0"/>
    <m/>
  </r>
  <r>
    <n v="36.166666666666664"/>
    <d v="2014-05-12T00:00:00"/>
    <x v="0"/>
    <m/>
    <s v="Shan_North"/>
    <s v="Muse"/>
    <s v="Muse Catholic Church"/>
    <m/>
    <m/>
    <m/>
    <n v="68"/>
    <n v="9"/>
    <n v="118"/>
    <n v="9"/>
    <n v="0"/>
    <n v="9"/>
    <n v="45"/>
    <m/>
    <m/>
    <m/>
    <m/>
    <m/>
    <m/>
    <m/>
    <n v="0"/>
    <n v="0"/>
    <n v="0"/>
    <n v="0"/>
    <n v="0"/>
    <n v="0"/>
    <n v="0"/>
    <n v="0"/>
    <n v="0"/>
    <n v="0"/>
    <n v="0"/>
    <n v="0"/>
    <n v="0"/>
    <n v="0"/>
    <n v="0"/>
    <n v="0"/>
    <n v="0"/>
    <n v="0"/>
    <s v="MMR015CMP216"/>
    <x v="2"/>
    <x v="0"/>
    <s v="P4"/>
    <n v="2.156515071644223E-4"/>
    <m/>
  </r>
  <r>
    <n v="36.166666666666664"/>
    <d v="2014-05-12T00:00:00"/>
    <x v="0"/>
    <m/>
    <s v="Shan_North"/>
    <s v="Muse"/>
    <s v="Muse Catholic Church"/>
    <m/>
    <m/>
    <m/>
    <n v="82"/>
    <n v="41"/>
    <n v="82"/>
    <n v="41"/>
    <m/>
    <n v="41"/>
    <n v="205"/>
    <m/>
    <m/>
    <m/>
    <m/>
    <m/>
    <m/>
    <m/>
    <n v="0"/>
    <n v="0"/>
    <n v="0"/>
    <n v="0"/>
    <n v="0"/>
    <n v="0"/>
    <n v="0"/>
    <n v="0"/>
    <n v="0"/>
    <n v="0"/>
    <n v="0"/>
    <n v="0"/>
    <n v="0"/>
    <n v="0"/>
    <n v="0"/>
    <n v="0"/>
    <n v="0"/>
    <n v="0"/>
    <s v="MMR015CMP216"/>
    <x v="2"/>
    <x v="0"/>
    <s v="P4"/>
    <n v="9.8241242152681259E-4"/>
    <m/>
  </r>
  <r>
    <n v="36.166666666666664"/>
    <d v="2014-05-12T00:00:00"/>
    <x v="11"/>
    <s v="MRCS"/>
    <s v="Kachin"/>
    <s v="Myitkyina"/>
    <s v="Shwe Zet Baptist Church"/>
    <m/>
    <m/>
    <m/>
    <m/>
    <m/>
    <m/>
    <m/>
    <m/>
    <m/>
    <m/>
    <m/>
    <m/>
    <m/>
    <n v="168"/>
    <m/>
    <m/>
    <m/>
    <n v="0"/>
    <n v="0"/>
    <n v="0"/>
    <n v="0"/>
    <n v="0"/>
    <n v="0"/>
    <n v="0"/>
    <n v="0"/>
    <n v="0"/>
    <n v="0"/>
    <n v="0"/>
    <n v="0"/>
    <n v="0"/>
    <n v="0"/>
    <n v="1"/>
    <n v="0"/>
    <n v="0"/>
    <n v="0"/>
    <s v="MMR001CMP009"/>
    <x v="0"/>
    <x v="0"/>
    <s v="P4"/>
    <n v="0"/>
    <m/>
  </r>
  <r>
    <n v="36.133333333333333"/>
    <d v="2014-05-13T00:00:00"/>
    <x v="11"/>
    <s v="MRCS"/>
    <s v="Kachin"/>
    <s v="Myitkyina"/>
    <s v="Njang Dung Baptist Church "/>
    <m/>
    <m/>
    <m/>
    <m/>
    <m/>
    <m/>
    <m/>
    <m/>
    <m/>
    <m/>
    <m/>
    <m/>
    <m/>
    <n v="112"/>
    <m/>
    <m/>
    <m/>
    <n v="0"/>
    <n v="0"/>
    <n v="0"/>
    <n v="0"/>
    <n v="0"/>
    <n v="0"/>
    <n v="0"/>
    <n v="0"/>
    <n v="0"/>
    <n v="0"/>
    <n v="0"/>
    <n v="0"/>
    <n v="0"/>
    <n v="0"/>
    <n v="1"/>
    <n v="0"/>
    <n v="0"/>
    <n v="0"/>
    <s v="MMR001CMP002"/>
    <x v="0"/>
    <x v="0"/>
    <s v="P4"/>
    <n v="0"/>
    <m/>
  </r>
  <r>
    <n v="36.1"/>
    <d v="2014-05-14T00:00:00"/>
    <x v="0"/>
    <s v="UNHCR"/>
    <s v="Kachin"/>
    <s v="Bhamo"/>
    <s v="AD-2000 Tharthana Compound"/>
    <m/>
    <m/>
    <n v="11"/>
    <n v="12"/>
    <n v="4"/>
    <n v="12"/>
    <n v="4"/>
    <n v="4"/>
    <n v="4"/>
    <n v="15"/>
    <m/>
    <m/>
    <m/>
    <m/>
    <m/>
    <m/>
    <m/>
    <n v="0"/>
    <n v="0"/>
    <n v="0"/>
    <n v="0"/>
    <n v="0"/>
    <n v="0"/>
    <n v="0"/>
    <n v="0"/>
    <n v="0"/>
    <n v="0"/>
    <n v="0"/>
    <n v="0"/>
    <n v="0"/>
    <n v="0"/>
    <n v="0"/>
    <n v="0"/>
    <n v="0"/>
    <n v="0"/>
    <s v="MMR001CMP050"/>
    <x v="0"/>
    <x v="0"/>
    <s v="P4"/>
    <n v="9.7924010967489225E-5"/>
    <s v="No"/>
  </r>
  <r>
    <n v="36.1"/>
    <d v="2014-05-14T00:00:00"/>
    <x v="0"/>
    <s v="UNHCR"/>
    <s v="Kachin"/>
    <s v="Momauk"/>
    <s v="Momauk Baptist Church"/>
    <m/>
    <m/>
    <n v="5"/>
    <n v="6"/>
    <n v="32"/>
    <n v="6"/>
    <n v="2"/>
    <n v="2"/>
    <n v="2"/>
    <n v="10"/>
    <m/>
    <m/>
    <m/>
    <m/>
    <m/>
    <m/>
    <m/>
    <n v="0"/>
    <n v="0"/>
    <n v="0"/>
    <n v="0"/>
    <n v="0"/>
    <n v="0"/>
    <n v="0"/>
    <n v="0"/>
    <n v="0"/>
    <n v="0"/>
    <n v="0"/>
    <n v="0"/>
    <n v="0"/>
    <n v="0"/>
    <n v="0"/>
    <n v="0"/>
    <n v="0"/>
    <n v="0"/>
    <s v="MMR001CMP056"/>
    <x v="0"/>
    <x v="0"/>
    <s v="P4"/>
    <n v="4.9146086742843099E-5"/>
    <s v="No"/>
  </r>
  <r>
    <n v="36.1"/>
    <d v="2014-05-14T00:00:00"/>
    <x v="0"/>
    <s v="UNHCR"/>
    <s v="Kachin"/>
    <s v="Bhamo"/>
    <s v="Ta Gun Taing Monastery (Shwe Kyi Na)"/>
    <m/>
    <m/>
    <n v="17"/>
    <n v="108"/>
    <n v="36"/>
    <n v="108"/>
    <n v="36"/>
    <n v="36"/>
    <n v="36"/>
    <n v="142"/>
    <m/>
    <m/>
    <m/>
    <m/>
    <m/>
    <m/>
    <m/>
    <n v="0"/>
    <n v="0"/>
    <n v="0"/>
    <n v="0"/>
    <n v="0"/>
    <n v="0"/>
    <n v="0"/>
    <n v="0"/>
    <n v="0"/>
    <n v="0"/>
    <n v="0"/>
    <n v="0"/>
    <n v="0"/>
    <n v="0"/>
    <n v="0"/>
    <n v="0"/>
    <n v="0"/>
    <n v="0"/>
    <s v="MMR001CMP055"/>
    <x v="0"/>
    <x v="0"/>
    <s v="P4"/>
    <n v="8.7740677553009995E-4"/>
    <s v="No"/>
  </r>
  <r>
    <n v="36.06666666666667"/>
    <d v="2014-05-15T00:00:00"/>
    <x v="0"/>
    <s v="UNHCR"/>
    <s v="Kachin"/>
    <s v="Bhamo"/>
    <s v="AD-2000 Tharthana Compound"/>
    <m/>
    <m/>
    <m/>
    <n v="10"/>
    <n v="4"/>
    <n v="12"/>
    <n v="4"/>
    <n v="4"/>
    <n v="4"/>
    <n v="12"/>
    <m/>
    <m/>
    <m/>
    <m/>
    <m/>
    <m/>
    <m/>
    <n v="0"/>
    <n v="0"/>
    <n v="0"/>
    <n v="0"/>
    <n v="0"/>
    <n v="0"/>
    <n v="0"/>
    <n v="0"/>
    <n v="0"/>
    <n v="0"/>
    <n v="0"/>
    <n v="0"/>
    <n v="0"/>
    <n v="0"/>
    <n v="0"/>
    <n v="0"/>
    <n v="0"/>
    <n v="0"/>
    <s v="MMR001CMP050"/>
    <x v="0"/>
    <x v="0"/>
    <s v="P4"/>
    <n v="9.7924010967489225E-5"/>
    <s v="No"/>
  </r>
  <r>
    <n v="36.06666666666667"/>
    <d v="2014-05-15T00:00:00"/>
    <x v="0"/>
    <s v="UNHCR"/>
    <s v="Kachin"/>
    <s v="Mansi"/>
    <s v="Maing Khaung"/>
    <m/>
    <m/>
    <n v="10"/>
    <n v="10"/>
    <n v="5"/>
    <n v="15"/>
    <n v="5"/>
    <n v="5"/>
    <n v="5"/>
    <n v="20"/>
    <m/>
    <m/>
    <m/>
    <m/>
    <m/>
    <m/>
    <m/>
    <n v="0"/>
    <n v="0"/>
    <n v="0"/>
    <n v="0"/>
    <n v="0"/>
    <n v="0"/>
    <n v="0"/>
    <n v="0"/>
    <n v="0"/>
    <n v="0"/>
    <n v="0"/>
    <n v="0"/>
    <n v="0"/>
    <n v="0"/>
    <n v="0"/>
    <n v="0"/>
    <n v="0"/>
    <n v="0"/>
    <s v="MMR001CMP218"/>
    <x v="0"/>
    <x v="0"/>
    <s v="P4"/>
    <n v="1.2034273611244825E-4"/>
    <s v="No"/>
  </r>
  <r>
    <n v="36.033333333333331"/>
    <d v="2014-05-16T00:00:00"/>
    <x v="11"/>
    <s v="MRCS"/>
    <s v="Kachin"/>
    <s v="Waingmaw"/>
    <s v="Maina Catholic Church (St. Joseph)"/>
    <m/>
    <m/>
    <m/>
    <m/>
    <m/>
    <m/>
    <m/>
    <m/>
    <m/>
    <m/>
    <m/>
    <m/>
    <m/>
    <n v="470"/>
    <m/>
    <m/>
    <m/>
    <n v="0"/>
    <n v="0"/>
    <n v="0"/>
    <n v="0"/>
    <n v="0"/>
    <n v="0"/>
    <n v="0"/>
    <n v="0"/>
    <n v="0"/>
    <n v="0"/>
    <n v="0"/>
    <n v="0"/>
    <n v="0"/>
    <n v="0"/>
    <n v="1"/>
    <n v="0"/>
    <n v="0"/>
    <n v="0"/>
    <s v="MMR001CMP029"/>
    <x v="0"/>
    <x v="0"/>
    <s v="P4"/>
    <n v="0"/>
    <m/>
  </r>
  <r>
    <n v="36.033333333333331"/>
    <d v="2014-05-16T00:00:00"/>
    <x v="0"/>
    <s v="UNHCR"/>
    <s v="Kachin"/>
    <s v="Bhamo"/>
    <s v="Mu-yin Baptist Church"/>
    <m/>
    <m/>
    <m/>
    <n v="10"/>
    <n v="4"/>
    <n v="10"/>
    <n v="4"/>
    <n v="4"/>
    <n v="4"/>
    <n v="18"/>
    <m/>
    <m/>
    <m/>
    <m/>
    <m/>
    <m/>
    <m/>
    <n v="0"/>
    <n v="0"/>
    <n v="0"/>
    <n v="0"/>
    <n v="0"/>
    <n v="0"/>
    <n v="0"/>
    <n v="0"/>
    <n v="0"/>
    <n v="0"/>
    <n v="0"/>
    <n v="0"/>
    <n v="0"/>
    <n v="0"/>
    <n v="0"/>
    <n v="0"/>
    <n v="0"/>
    <n v="0"/>
    <s v="MMR001CMP051"/>
    <x v="0"/>
    <x v="0"/>
    <s v="P4"/>
    <n v="9.7127455503484453E-5"/>
    <s v="No"/>
  </r>
  <r>
    <n v="36.033333333333331"/>
    <d v="2014-05-16T00:00:00"/>
    <x v="11"/>
    <s v="MRCS"/>
    <s v="Kachin"/>
    <s v="Myitkyina"/>
    <s v="Nan Kway St. John Catholic Church"/>
    <m/>
    <m/>
    <m/>
    <m/>
    <m/>
    <m/>
    <m/>
    <m/>
    <m/>
    <m/>
    <m/>
    <m/>
    <m/>
    <n v="142"/>
    <m/>
    <m/>
    <m/>
    <n v="0"/>
    <n v="0"/>
    <n v="0"/>
    <n v="0"/>
    <n v="0"/>
    <n v="0"/>
    <n v="0"/>
    <n v="0"/>
    <n v="0"/>
    <n v="0"/>
    <n v="0"/>
    <n v="0"/>
    <n v="0"/>
    <n v="0"/>
    <n v="1"/>
    <n v="0"/>
    <n v="0"/>
    <n v="0"/>
    <s v="MMR001CMP024"/>
    <x v="0"/>
    <x v="0"/>
    <s v="P4"/>
    <n v="0"/>
    <m/>
  </r>
  <r>
    <n v="36.033333333333331"/>
    <d v="2014-05-16T00:00:00"/>
    <x v="0"/>
    <s v="UNHCR"/>
    <s v="Kachin"/>
    <s v="Bhamo"/>
    <s v="Ta Gun Taing Monastery (Shwe Kyi Na)"/>
    <m/>
    <m/>
    <m/>
    <n v="24"/>
    <n v="13"/>
    <n v="24"/>
    <n v="13"/>
    <n v="13"/>
    <n v="13"/>
    <n v="33"/>
    <m/>
    <m/>
    <m/>
    <m/>
    <m/>
    <m/>
    <m/>
    <n v="0"/>
    <n v="0"/>
    <n v="0"/>
    <n v="0"/>
    <n v="0"/>
    <n v="0"/>
    <n v="0"/>
    <n v="0"/>
    <n v="0"/>
    <n v="0"/>
    <n v="0"/>
    <n v="0"/>
    <n v="0"/>
    <n v="0"/>
    <n v="0"/>
    <n v="0"/>
    <n v="0"/>
    <n v="0"/>
    <s v="MMR001CMP055"/>
    <x v="0"/>
    <x v="0"/>
    <s v="P4"/>
    <n v="3.1684133560809166E-4"/>
    <s v="No"/>
  </r>
  <r>
    <n v="35.93333333333333"/>
    <d v="2014-05-19T00:00:00"/>
    <x v="11"/>
    <s v="MRCS"/>
    <s v="Kachin"/>
    <s v="Waingmaw"/>
    <s v="Maina AG Church"/>
    <m/>
    <m/>
    <m/>
    <m/>
    <m/>
    <m/>
    <m/>
    <m/>
    <m/>
    <m/>
    <m/>
    <m/>
    <m/>
    <n v="224"/>
    <m/>
    <m/>
    <m/>
    <n v="0"/>
    <n v="0"/>
    <n v="0"/>
    <n v="0"/>
    <n v="0"/>
    <n v="0"/>
    <n v="0"/>
    <n v="0"/>
    <n v="0"/>
    <n v="0"/>
    <n v="0"/>
    <n v="0"/>
    <n v="0"/>
    <n v="0"/>
    <n v="1"/>
    <n v="0"/>
    <n v="0"/>
    <n v="0"/>
    <s v="MMR001CMP031"/>
    <x v="0"/>
    <x v="0"/>
    <s v="P4"/>
    <n v="0"/>
    <m/>
  </r>
  <r>
    <n v="35.93333333333333"/>
    <d v="2014-05-19T00:00:00"/>
    <x v="11"/>
    <s v="MRCS"/>
    <s v="Kachin"/>
    <s v="Waingmaw"/>
    <s v="Maina Lawang Baptist Church"/>
    <m/>
    <m/>
    <m/>
    <m/>
    <m/>
    <m/>
    <m/>
    <m/>
    <m/>
    <m/>
    <m/>
    <m/>
    <m/>
    <n v="230"/>
    <m/>
    <m/>
    <m/>
    <n v="0"/>
    <n v="0"/>
    <n v="0"/>
    <n v="0"/>
    <n v="0"/>
    <n v="0"/>
    <n v="0"/>
    <n v="0"/>
    <n v="0"/>
    <n v="0"/>
    <n v="0"/>
    <n v="0"/>
    <n v="0"/>
    <n v="0"/>
    <n v="1"/>
    <n v="0"/>
    <n v="0"/>
    <n v="0"/>
    <s v="MMR001CMP039"/>
    <x v="0"/>
    <x v="0"/>
    <s v="P4"/>
    <n v="0"/>
    <m/>
  </r>
  <r>
    <n v="35.93333333333333"/>
    <d v="2014-05-19T00:00:00"/>
    <x v="11"/>
    <s v="MRCS"/>
    <s v="Kachin"/>
    <s v="Waingmaw"/>
    <s v="Qtr. 3 Mu-yin  Baptist Church"/>
    <m/>
    <m/>
    <m/>
    <m/>
    <m/>
    <m/>
    <m/>
    <m/>
    <m/>
    <m/>
    <m/>
    <m/>
    <m/>
    <n v="60"/>
    <m/>
    <m/>
    <m/>
    <n v="0"/>
    <n v="0"/>
    <n v="0"/>
    <n v="0"/>
    <n v="0"/>
    <n v="0"/>
    <n v="0"/>
    <n v="0"/>
    <n v="0"/>
    <n v="0"/>
    <n v="0"/>
    <n v="0"/>
    <n v="0"/>
    <n v="0"/>
    <n v="1"/>
    <n v="0"/>
    <n v="0"/>
    <n v="0"/>
    <s v="MMR001CMP030"/>
    <x v="0"/>
    <x v="0"/>
    <s v="P4"/>
    <n v="0"/>
    <m/>
  </r>
  <r>
    <n v="35.9"/>
    <d v="2014-05-20T00:00:00"/>
    <x v="11"/>
    <s v="MRCS"/>
    <s v="Kachin"/>
    <s v="Myitkyina"/>
    <s v="Kyun Pin Thar Baptist Church"/>
    <m/>
    <m/>
    <m/>
    <m/>
    <m/>
    <m/>
    <m/>
    <m/>
    <m/>
    <m/>
    <m/>
    <m/>
    <m/>
    <n v="88"/>
    <m/>
    <m/>
    <m/>
    <n v="0"/>
    <n v="0"/>
    <n v="0"/>
    <n v="0"/>
    <n v="0"/>
    <n v="0"/>
    <n v="0"/>
    <n v="0"/>
    <n v="0"/>
    <n v="0"/>
    <n v="0"/>
    <n v="0"/>
    <n v="0"/>
    <n v="0"/>
    <n v="1"/>
    <n v="0"/>
    <n v="0"/>
    <n v="0"/>
    <s v="MMR001CMP013"/>
    <x v="0"/>
    <x v="0"/>
    <s v="P4"/>
    <n v="0"/>
    <m/>
  </r>
  <r>
    <n v="35.9"/>
    <d v="2014-05-20T00:00:00"/>
    <x v="11"/>
    <s v="MRCS"/>
    <s v="Kachin"/>
    <s v="Myitkyina"/>
    <s v="Le Kone Bethlehem Church"/>
    <m/>
    <m/>
    <m/>
    <m/>
    <m/>
    <m/>
    <m/>
    <m/>
    <m/>
    <m/>
    <m/>
    <m/>
    <m/>
    <n v="188"/>
    <m/>
    <m/>
    <m/>
    <n v="0"/>
    <n v="0"/>
    <n v="0"/>
    <n v="0"/>
    <n v="0"/>
    <n v="0"/>
    <n v="0"/>
    <n v="0"/>
    <n v="0"/>
    <n v="0"/>
    <n v="0"/>
    <n v="0"/>
    <n v="0"/>
    <n v="0"/>
    <n v="1"/>
    <n v="0"/>
    <n v="0"/>
    <n v="0"/>
    <s v="MMR001CMP015"/>
    <x v="0"/>
    <x v="0"/>
    <s v="P4"/>
    <n v="0"/>
    <m/>
  </r>
  <r>
    <n v="35.9"/>
    <d v="2014-05-20T00:00:00"/>
    <x v="11"/>
    <s v="MRCS"/>
    <s v="Kachin"/>
    <s v="Myitkyina"/>
    <s v="Le Kone Ziun Baptist Church "/>
    <m/>
    <m/>
    <m/>
    <m/>
    <m/>
    <m/>
    <m/>
    <m/>
    <m/>
    <m/>
    <m/>
    <m/>
    <m/>
    <n v="278"/>
    <m/>
    <m/>
    <m/>
    <n v="0"/>
    <n v="0"/>
    <n v="0"/>
    <n v="0"/>
    <n v="0"/>
    <n v="0"/>
    <n v="0"/>
    <n v="0"/>
    <n v="0"/>
    <n v="0"/>
    <n v="0"/>
    <n v="0"/>
    <n v="0"/>
    <n v="0"/>
    <n v="1"/>
    <n v="0"/>
    <n v="0"/>
    <n v="0"/>
    <s v="MMR001CMP014"/>
    <x v="0"/>
    <x v="0"/>
    <s v="P4"/>
    <n v="0"/>
    <m/>
  </r>
  <r>
    <n v="35.9"/>
    <d v="2014-05-20T00:00:00"/>
    <x v="11"/>
    <s v="MRCS"/>
    <s v="Kachin"/>
    <s v="Waingmaw"/>
    <s v="Maina KBC (Bawng Ring)"/>
    <m/>
    <m/>
    <m/>
    <m/>
    <m/>
    <m/>
    <m/>
    <m/>
    <m/>
    <m/>
    <m/>
    <m/>
    <m/>
    <n v="824"/>
    <m/>
    <m/>
    <m/>
    <n v="0"/>
    <n v="0"/>
    <n v="0"/>
    <n v="0"/>
    <n v="0"/>
    <n v="0"/>
    <n v="0"/>
    <n v="0"/>
    <n v="0"/>
    <n v="0"/>
    <n v="0"/>
    <n v="0"/>
    <n v="0"/>
    <n v="0"/>
    <n v="1"/>
    <n v="0"/>
    <n v="0"/>
    <n v="0"/>
    <s v="MMR001CMP040"/>
    <x v="0"/>
    <x v="0"/>
    <s v="P4"/>
    <n v="0"/>
    <m/>
  </r>
  <r>
    <n v="35.9"/>
    <d v="2014-05-20T00:00:00"/>
    <x v="11"/>
    <s v="MRCS"/>
    <s v="Kachin"/>
    <s v="Myitkyina"/>
    <s v="Maliyang Baptist Church"/>
    <m/>
    <m/>
    <m/>
    <m/>
    <m/>
    <m/>
    <m/>
    <m/>
    <m/>
    <m/>
    <m/>
    <m/>
    <m/>
    <n v="142"/>
    <m/>
    <m/>
    <m/>
    <n v="0"/>
    <n v="0"/>
    <n v="0"/>
    <n v="0"/>
    <n v="0"/>
    <n v="0"/>
    <n v="0"/>
    <n v="0"/>
    <n v="0"/>
    <n v="0"/>
    <n v="0"/>
    <n v="0"/>
    <n v="0"/>
    <n v="0"/>
    <n v="1"/>
    <n v="0"/>
    <n v="0"/>
    <n v="0"/>
    <s v="MMR001CMP016"/>
    <x v="0"/>
    <x v="0"/>
    <s v="P4"/>
    <n v="0"/>
    <m/>
  </r>
  <r>
    <n v="35.866666666666667"/>
    <d v="2014-05-21T00:00:00"/>
    <x v="11"/>
    <s v="MRCS"/>
    <s v="Kachin"/>
    <s v="Myitkyina"/>
    <s v="Shatapru Thida Aye Baptist Church"/>
    <m/>
    <m/>
    <m/>
    <m/>
    <m/>
    <m/>
    <m/>
    <m/>
    <m/>
    <m/>
    <m/>
    <m/>
    <m/>
    <n v="30"/>
    <m/>
    <m/>
    <m/>
    <n v="0"/>
    <n v="0"/>
    <n v="0"/>
    <n v="0"/>
    <n v="0"/>
    <n v="0"/>
    <n v="0"/>
    <n v="0"/>
    <n v="0"/>
    <n v="0"/>
    <n v="0"/>
    <n v="0"/>
    <n v="0"/>
    <n v="0"/>
    <n v="1"/>
    <n v="0"/>
    <n v="0"/>
    <n v="0"/>
    <s v="MMR001CMP007"/>
    <x v="0"/>
    <x v="0"/>
    <s v="P4"/>
    <n v="0"/>
    <m/>
  </r>
  <r>
    <n v="35.866666666666667"/>
    <d v="2014-05-21T00:00:00"/>
    <x v="11"/>
    <s v="MRCS"/>
    <s v="Kachin"/>
    <s v="Waingmaw"/>
    <s v="Thargaya Lisu Baptist Church"/>
    <m/>
    <m/>
    <m/>
    <m/>
    <m/>
    <m/>
    <m/>
    <m/>
    <m/>
    <m/>
    <m/>
    <m/>
    <m/>
    <n v="136"/>
    <m/>
    <m/>
    <m/>
    <n v="0"/>
    <n v="0"/>
    <n v="0"/>
    <n v="0"/>
    <n v="0"/>
    <n v="0"/>
    <n v="0"/>
    <n v="0"/>
    <n v="0"/>
    <n v="0"/>
    <n v="0"/>
    <n v="0"/>
    <n v="0"/>
    <n v="0"/>
    <n v="1"/>
    <n v="0"/>
    <n v="0"/>
    <n v="0"/>
    <s v="MMR001CMP037"/>
    <x v="0"/>
    <x v="0"/>
    <s v="P4"/>
    <n v="0"/>
    <m/>
  </r>
  <r>
    <n v="35.866666666666667"/>
    <d v="2014-05-21T00:00:00"/>
    <x v="11"/>
    <s v="MRCS"/>
    <s v="Kachin"/>
    <s v="Myitkyina"/>
    <s v="Myay Myint Baptist Church"/>
    <m/>
    <m/>
    <m/>
    <m/>
    <m/>
    <m/>
    <m/>
    <m/>
    <m/>
    <m/>
    <m/>
    <m/>
    <m/>
    <n v="24"/>
    <m/>
    <m/>
    <m/>
    <n v="0"/>
    <n v="0"/>
    <n v="0"/>
    <n v="0"/>
    <n v="0"/>
    <n v="0"/>
    <n v="0"/>
    <n v="0"/>
    <n v="0"/>
    <n v="0"/>
    <n v="0"/>
    <n v="0"/>
    <n v="0"/>
    <n v="0"/>
    <n v="1"/>
    <n v="0"/>
    <n v="0"/>
    <n v="0"/>
    <s v="MMR001CMP017"/>
    <x v="0"/>
    <x v="1"/>
    <s v="P4"/>
    <n v="0"/>
    <m/>
  </r>
  <r>
    <n v="35.833333333333336"/>
    <d v="2014-05-22T00:00:00"/>
    <x v="11"/>
    <s v="MRCS"/>
    <s v="Kachin"/>
    <s v="Waingmaw"/>
    <s v="Mading Baptist Church"/>
    <m/>
    <m/>
    <m/>
    <m/>
    <m/>
    <m/>
    <m/>
    <m/>
    <m/>
    <m/>
    <m/>
    <m/>
    <m/>
    <n v="46"/>
    <m/>
    <m/>
    <m/>
    <n v="0"/>
    <n v="0"/>
    <n v="0"/>
    <n v="0"/>
    <n v="0"/>
    <n v="0"/>
    <n v="0"/>
    <n v="0"/>
    <n v="0"/>
    <n v="0"/>
    <n v="0"/>
    <n v="0"/>
    <n v="0"/>
    <n v="0"/>
    <n v="1"/>
    <n v="0"/>
    <n v="0"/>
    <n v="0"/>
    <s v="MMR001CMP027"/>
    <x v="0"/>
    <x v="0"/>
    <s v="P4"/>
    <n v="0"/>
    <m/>
  </r>
  <r>
    <n v="35.833333333333336"/>
    <d v="2014-05-22T00:00:00"/>
    <x v="11"/>
    <s v="MRCS"/>
    <s v="Kachin"/>
    <s v="Waingmaw"/>
    <s v="Qtr. 2 Lhaovo Baptist Church"/>
    <m/>
    <m/>
    <m/>
    <m/>
    <m/>
    <m/>
    <m/>
    <m/>
    <m/>
    <m/>
    <m/>
    <m/>
    <m/>
    <n v="88"/>
    <m/>
    <m/>
    <m/>
    <n v="0"/>
    <n v="0"/>
    <n v="0"/>
    <n v="0"/>
    <n v="0"/>
    <n v="0"/>
    <n v="0"/>
    <n v="0"/>
    <n v="0"/>
    <n v="0"/>
    <n v="0"/>
    <n v="0"/>
    <n v="0"/>
    <n v="0"/>
    <n v="1"/>
    <n v="0"/>
    <n v="0"/>
    <n v="0"/>
    <s v="MMR001CMP032"/>
    <x v="0"/>
    <x v="0"/>
    <s v="P4"/>
    <n v="0"/>
    <m/>
  </r>
  <r>
    <n v="35.833333333333336"/>
    <d v="2014-05-22T00:00:00"/>
    <x v="11"/>
    <s v="MRCS"/>
    <s v="Kachin"/>
    <s v="Waingmaw"/>
    <s v="Qtr. 2 Myoma Baptist Church"/>
    <m/>
    <m/>
    <m/>
    <m/>
    <m/>
    <m/>
    <m/>
    <m/>
    <m/>
    <m/>
    <m/>
    <m/>
    <m/>
    <n v="140"/>
    <m/>
    <m/>
    <m/>
    <n v="0"/>
    <n v="0"/>
    <n v="0"/>
    <n v="0"/>
    <n v="0"/>
    <n v="0"/>
    <n v="0"/>
    <n v="0"/>
    <n v="0"/>
    <n v="0"/>
    <n v="0"/>
    <n v="0"/>
    <n v="0"/>
    <n v="0"/>
    <n v="1"/>
    <n v="0"/>
    <n v="0"/>
    <n v="0"/>
    <s v="MMR001CMP025"/>
    <x v="0"/>
    <x v="0"/>
    <s v="P4"/>
    <n v="0"/>
    <m/>
  </r>
  <r>
    <n v="35.733333333333334"/>
    <d v="2014-05-25T00:00:00"/>
    <x v="11"/>
    <s v="MRCS"/>
    <s v="Kachin"/>
    <s v="Waingmaw"/>
    <s v="Hkat Cho "/>
    <m/>
    <m/>
    <m/>
    <m/>
    <m/>
    <m/>
    <m/>
    <m/>
    <m/>
    <m/>
    <m/>
    <m/>
    <m/>
    <n v="224"/>
    <m/>
    <m/>
    <m/>
    <n v="0"/>
    <n v="0"/>
    <n v="0"/>
    <n v="0"/>
    <n v="0"/>
    <n v="0"/>
    <n v="0"/>
    <n v="0"/>
    <n v="0"/>
    <n v="0"/>
    <n v="0"/>
    <n v="0"/>
    <n v="0"/>
    <n v="0"/>
    <n v="1"/>
    <n v="0"/>
    <n v="0"/>
    <n v="0"/>
    <s v="MMR001CMP028"/>
    <x v="0"/>
    <x v="0"/>
    <s v="P4"/>
    <n v="0"/>
    <m/>
  </r>
  <r>
    <n v="35.733333333333334"/>
    <d v="2014-05-25T00:00:00"/>
    <x v="11"/>
    <s v="MRCS"/>
    <s v="Kachin"/>
    <s v="Waingmaw"/>
    <s v="Qtr. 4 Monestry (Thargaya Thayett Taw)"/>
    <m/>
    <m/>
    <m/>
    <m/>
    <m/>
    <m/>
    <m/>
    <m/>
    <m/>
    <m/>
    <m/>
    <m/>
    <m/>
    <n v="182"/>
    <m/>
    <m/>
    <m/>
    <n v="0"/>
    <n v="0"/>
    <n v="0"/>
    <n v="0"/>
    <n v="0"/>
    <n v="0"/>
    <n v="0"/>
    <n v="0"/>
    <n v="0"/>
    <n v="0"/>
    <n v="0"/>
    <n v="0"/>
    <n v="0"/>
    <n v="0"/>
    <n v="1"/>
    <n v="0"/>
    <n v="0"/>
    <n v="0"/>
    <s v="MMR001CMP026"/>
    <x v="0"/>
    <x v="0"/>
    <s v="P4"/>
    <n v="0"/>
    <m/>
  </r>
  <r>
    <n v="35.700000000000003"/>
    <d v="2014-05-26T00:00:00"/>
    <x v="11"/>
    <s v="MRCS"/>
    <s v="Kachin"/>
    <s v="Waingmaw"/>
    <s v="Nawng Hee Village"/>
    <m/>
    <m/>
    <m/>
    <m/>
    <m/>
    <m/>
    <m/>
    <m/>
    <m/>
    <m/>
    <m/>
    <m/>
    <m/>
    <n v="36"/>
    <m/>
    <m/>
    <m/>
    <n v="0"/>
    <n v="0"/>
    <n v="0"/>
    <n v="0"/>
    <n v="0"/>
    <n v="0"/>
    <n v="0"/>
    <n v="0"/>
    <n v="0"/>
    <n v="0"/>
    <n v="0"/>
    <n v="0"/>
    <n v="0"/>
    <n v="0"/>
    <n v="1"/>
    <n v="0"/>
    <n v="0"/>
    <n v="0"/>
    <s v="MMR001CMP033"/>
    <x v="0"/>
    <x v="0"/>
    <s v="P4"/>
    <n v="0"/>
    <m/>
  </r>
  <r>
    <n v="35.666666666666664"/>
    <d v="2014-05-27T00:00:00"/>
    <x v="0"/>
    <s v="Shalom"/>
    <s v="Kachin"/>
    <s v="Chipwi"/>
    <s v="Chipwi KBC camp"/>
    <m/>
    <m/>
    <n v="36"/>
    <n v="18"/>
    <n v="36"/>
    <n v="18"/>
    <m/>
    <n v="18"/>
    <n v="90"/>
    <m/>
    <m/>
    <m/>
    <m/>
    <m/>
    <m/>
    <m/>
    <m/>
    <n v="0"/>
    <n v="0"/>
    <n v="0"/>
    <n v="0"/>
    <n v="0"/>
    <n v="0"/>
    <n v="0"/>
    <n v="0"/>
    <n v="0"/>
    <n v="0"/>
    <n v="0"/>
    <n v="0"/>
    <n v="0"/>
    <n v="0"/>
    <n v="0"/>
    <n v="0"/>
    <n v="0"/>
    <n v="0"/>
    <s v="MMR001CMP042"/>
    <x v="0"/>
    <x v="0"/>
    <s v="P1"/>
    <n v="0"/>
    <m/>
  </r>
  <r>
    <n v="35.666666666666664"/>
    <d v="2014-05-27T00:00:00"/>
    <x v="0"/>
    <s v="Shalom"/>
    <s v="Kachin"/>
    <s v="Waingmaw"/>
    <s v="Hkat Cho "/>
    <m/>
    <m/>
    <n v="2"/>
    <n v="1"/>
    <n v="2"/>
    <n v="1"/>
    <m/>
    <n v="1"/>
    <n v="5"/>
    <m/>
    <m/>
    <m/>
    <m/>
    <m/>
    <m/>
    <m/>
    <m/>
    <n v="0"/>
    <n v="0"/>
    <n v="0"/>
    <n v="0"/>
    <n v="0"/>
    <n v="0"/>
    <n v="0"/>
    <n v="0"/>
    <n v="0"/>
    <n v="0"/>
    <n v="0"/>
    <n v="0"/>
    <n v="0"/>
    <n v="0"/>
    <n v="0"/>
    <n v="0"/>
    <n v="0"/>
    <n v="0"/>
    <s v="MMR001CMP028"/>
    <x v="0"/>
    <x v="0"/>
    <s v="P4"/>
    <n v="0"/>
    <m/>
  </r>
  <r>
    <n v="35.666666666666664"/>
    <d v="2014-05-27T00:00:00"/>
    <x v="0"/>
    <s v="Shalom"/>
    <s v="Kachin"/>
    <s v="Waingmaw"/>
    <s v="Maina AG Church"/>
    <m/>
    <m/>
    <n v="50"/>
    <n v="25"/>
    <n v="50"/>
    <n v="25"/>
    <m/>
    <n v="25"/>
    <n v="125"/>
    <m/>
    <m/>
    <m/>
    <m/>
    <m/>
    <m/>
    <m/>
    <m/>
    <n v="0"/>
    <n v="0"/>
    <n v="0"/>
    <n v="0"/>
    <n v="0"/>
    <n v="0"/>
    <n v="0"/>
    <n v="0"/>
    <n v="0"/>
    <n v="0"/>
    <n v="0"/>
    <n v="0"/>
    <n v="0"/>
    <n v="0"/>
    <n v="0"/>
    <n v="0"/>
    <n v="0"/>
    <n v="0"/>
    <s v="MMR001CMP031"/>
    <x v="0"/>
    <x v="0"/>
    <s v="P4"/>
    <n v="0"/>
    <m/>
  </r>
  <r>
    <n v="35.666666666666664"/>
    <d v="2014-05-27T00:00:00"/>
    <x v="0"/>
    <s v="Shalom"/>
    <s v="Kachin"/>
    <s v="Myitkyina"/>
    <s v="Maw Hpawng Hka Nan Baptist Church"/>
    <m/>
    <m/>
    <n v="12"/>
    <n v="6"/>
    <n v="12"/>
    <n v="6"/>
    <m/>
    <n v="6"/>
    <n v="30"/>
    <m/>
    <m/>
    <m/>
    <m/>
    <m/>
    <m/>
    <m/>
    <m/>
    <n v="0"/>
    <n v="0"/>
    <n v="0"/>
    <n v="0"/>
    <n v="0"/>
    <n v="0"/>
    <n v="0"/>
    <n v="0"/>
    <n v="0"/>
    <n v="0"/>
    <n v="0"/>
    <n v="0"/>
    <n v="0"/>
    <n v="0"/>
    <n v="0"/>
    <n v="0"/>
    <n v="0"/>
    <n v="0"/>
    <s v="MMR001CMP020"/>
    <x v="0"/>
    <x v="0"/>
    <s v="P4"/>
    <n v="0"/>
    <m/>
  </r>
  <r>
    <n v="35.666666666666664"/>
    <d v="2014-05-27T00:00:00"/>
    <x v="0"/>
    <s v="Shalom"/>
    <s v="Kachin"/>
    <s v="Waingmaw"/>
    <s v="Qtr. 4 Monestry (Thargaya Thayett Taw)"/>
    <m/>
    <m/>
    <n v="3"/>
    <n v="3"/>
    <n v="6"/>
    <n v="3"/>
    <m/>
    <n v="3"/>
    <n v="15"/>
    <m/>
    <m/>
    <m/>
    <m/>
    <m/>
    <m/>
    <m/>
    <m/>
    <n v="0"/>
    <n v="0"/>
    <n v="0"/>
    <n v="0"/>
    <n v="0"/>
    <n v="0"/>
    <n v="0"/>
    <n v="0"/>
    <n v="0"/>
    <n v="0"/>
    <n v="0"/>
    <n v="0"/>
    <n v="0"/>
    <n v="0"/>
    <n v="0"/>
    <n v="0"/>
    <n v="0"/>
    <n v="0"/>
    <s v="MMR001CMP026"/>
    <x v="0"/>
    <x v="0"/>
    <s v="P4"/>
    <n v="0"/>
    <m/>
  </r>
  <r>
    <n v="35.666666666666664"/>
    <d v="2014-05-27T00:00:00"/>
    <x v="0"/>
    <s v="Shalom"/>
    <s v="Kachin"/>
    <s v="Waingmaw"/>
    <s v="Thargaya Lisu Baptist Church"/>
    <m/>
    <m/>
    <n v="18"/>
    <n v="9"/>
    <n v="18"/>
    <n v="9"/>
    <m/>
    <n v="9"/>
    <n v="45"/>
    <m/>
    <m/>
    <m/>
    <m/>
    <m/>
    <m/>
    <m/>
    <m/>
    <n v="0"/>
    <n v="0"/>
    <n v="0"/>
    <n v="0"/>
    <n v="0"/>
    <n v="0"/>
    <n v="0"/>
    <n v="0"/>
    <n v="0"/>
    <n v="0"/>
    <n v="0"/>
    <n v="0"/>
    <n v="0"/>
    <n v="0"/>
    <n v="0"/>
    <n v="0"/>
    <n v="0"/>
    <n v="0"/>
    <s v="MMR001CMP037"/>
    <x v="0"/>
    <x v="0"/>
    <s v="P4"/>
    <n v="0"/>
    <m/>
  </r>
  <r>
    <n v="35.633333333333333"/>
    <d v="2014-05-28T00:00:00"/>
    <x v="11"/>
    <s v="MRCS"/>
    <s v="Kachin"/>
    <s v="Myitkyina"/>
    <s v="Tat Kone Baptist Church"/>
    <m/>
    <m/>
    <m/>
    <m/>
    <m/>
    <m/>
    <m/>
    <m/>
    <m/>
    <m/>
    <m/>
    <m/>
    <m/>
    <n v="120"/>
    <m/>
    <m/>
    <m/>
    <n v="0"/>
    <n v="0"/>
    <n v="0"/>
    <n v="0"/>
    <n v="0"/>
    <n v="0"/>
    <n v="0"/>
    <n v="0"/>
    <n v="0"/>
    <n v="0"/>
    <n v="0"/>
    <n v="0"/>
    <n v="0"/>
    <n v="0"/>
    <n v="1"/>
    <n v="0"/>
    <n v="0"/>
    <n v="0"/>
    <s v="MMR001CMP001"/>
    <x v="0"/>
    <x v="0"/>
    <s v="P4"/>
    <n v="0"/>
    <m/>
  </r>
  <r>
    <n v="35.633333333333333"/>
    <d v="2014-05-28T00:00:00"/>
    <x v="11"/>
    <s v="MRCS"/>
    <s v="Kachin"/>
    <s v="Myitkyina"/>
    <s v="Tat Kone COC Baptist - Tat Kone Htoi San"/>
    <m/>
    <m/>
    <m/>
    <m/>
    <m/>
    <m/>
    <m/>
    <m/>
    <m/>
    <m/>
    <m/>
    <m/>
    <m/>
    <n v="138"/>
    <m/>
    <m/>
    <m/>
    <n v="0"/>
    <n v="0"/>
    <n v="0"/>
    <n v="0"/>
    <n v="0"/>
    <n v="0"/>
    <n v="0"/>
    <n v="0"/>
    <n v="0"/>
    <n v="0"/>
    <n v="0"/>
    <n v="0"/>
    <n v="0"/>
    <n v="0"/>
    <n v="1"/>
    <n v="0"/>
    <n v="0"/>
    <n v="0"/>
    <s v="MMR001CMP023"/>
    <x v="0"/>
    <x v="0"/>
    <s v="P4"/>
    <n v="0"/>
    <m/>
  </r>
  <r>
    <n v="35.633333333333333"/>
    <d v="2014-05-28T00:00:00"/>
    <x v="11"/>
    <s v="MRCS"/>
    <s v="Kachin"/>
    <s v="Myitkyina"/>
    <s v="Tat Kone Galile Baptist Church"/>
    <m/>
    <m/>
    <m/>
    <m/>
    <m/>
    <m/>
    <m/>
    <m/>
    <m/>
    <m/>
    <m/>
    <m/>
    <m/>
    <n v="58"/>
    <m/>
    <m/>
    <m/>
    <n v="0"/>
    <n v="0"/>
    <n v="0"/>
    <n v="0"/>
    <n v="0"/>
    <n v="0"/>
    <n v="0"/>
    <n v="0"/>
    <n v="0"/>
    <n v="0"/>
    <n v="0"/>
    <n v="0"/>
    <n v="0"/>
    <n v="0"/>
    <n v="1"/>
    <n v="0"/>
    <n v="0"/>
    <n v="0"/>
    <s v="MMR001CMP003"/>
    <x v="0"/>
    <x v="0"/>
    <s v="P4"/>
    <n v="0"/>
    <m/>
  </r>
  <r>
    <n v="35.56666666666667"/>
    <d v="2014-05-30T00:00:00"/>
    <x v="11"/>
    <s v="MRCS"/>
    <s v="Kachin"/>
    <s v="Myitkyina"/>
    <s v="Wun Tho Buddhist Monastery"/>
    <m/>
    <m/>
    <m/>
    <m/>
    <m/>
    <m/>
    <m/>
    <m/>
    <m/>
    <m/>
    <m/>
    <m/>
    <m/>
    <n v="12"/>
    <m/>
    <m/>
    <m/>
    <n v="0"/>
    <n v="0"/>
    <n v="0"/>
    <n v="0"/>
    <n v="0"/>
    <n v="0"/>
    <n v="0"/>
    <n v="0"/>
    <n v="0"/>
    <n v="0"/>
    <n v="0"/>
    <n v="0"/>
    <n v="0"/>
    <n v="0"/>
    <n v="1"/>
    <n v="0"/>
    <n v="0"/>
    <n v="0"/>
    <s v="MMR001CMP022"/>
    <x v="0"/>
    <x v="0"/>
    <s v="P4"/>
    <n v="0"/>
    <m/>
  </r>
  <r>
    <n v="35.4"/>
    <d v="2014-06-04T00:00:00"/>
    <x v="0"/>
    <s v="KBC"/>
    <s v="Kachin"/>
    <s v="Momauk"/>
    <s v="Momauk Baptist Church"/>
    <m/>
    <m/>
    <m/>
    <m/>
    <n v="80"/>
    <m/>
    <m/>
    <m/>
    <m/>
    <m/>
    <m/>
    <m/>
    <m/>
    <m/>
    <m/>
    <m/>
    <m/>
    <n v="0"/>
    <n v="0"/>
    <n v="0"/>
    <n v="0"/>
    <n v="0"/>
    <n v="0"/>
    <n v="0"/>
    <n v="0"/>
    <n v="0"/>
    <n v="0"/>
    <n v="0"/>
    <n v="0"/>
    <n v="0"/>
    <n v="0"/>
    <n v="0"/>
    <n v="0"/>
    <n v="0"/>
    <n v="0"/>
    <s v="MMR001CMP056"/>
    <x v="0"/>
    <x v="0"/>
    <s v="P4"/>
    <n v="0"/>
    <s v="No"/>
  </r>
  <r>
    <n v="35.333333333333336"/>
    <d v="2014-06-06T00:00:00"/>
    <x v="11"/>
    <s v="MRCS"/>
    <s v="Kachin"/>
    <s v="Mohnyin"/>
    <s v="St. Patrick Catholic Church "/>
    <m/>
    <m/>
    <m/>
    <m/>
    <m/>
    <m/>
    <m/>
    <m/>
    <m/>
    <m/>
    <m/>
    <m/>
    <m/>
    <n v="24"/>
    <m/>
    <m/>
    <m/>
    <n v="0"/>
    <n v="0"/>
    <n v="0"/>
    <n v="0"/>
    <n v="0"/>
    <n v="0"/>
    <n v="0"/>
    <n v="0"/>
    <n v="0"/>
    <n v="0"/>
    <n v="0"/>
    <n v="0"/>
    <n v="0"/>
    <n v="0"/>
    <n v="1"/>
    <n v="0"/>
    <n v="0"/>
    <n v="0"/>
    <s v="MMR001CMP080"/>
    <x v="0"/>
    <x v="0"/>
    <s v="P4"/>
    <n v="0"/>
    <m/>
  </r>
  <r>
    <n v="35.299999999999997"/>
    <d v="2014-06-07T00:00:00"/>
    <x v="11"/>
    <s v="MRCS"/>
    <s v="Kachin"/>
    <s v="Mohnyin"/>
    <s v="Nawng Ing (Indawgyi) Baptist Church  "/>
    <m/>
    <m/>
    <m/>
    <m/>
    <m/>
    <m/>
    <m/>
    <m/>
    <m/>
    <m/>
    <m/>
    <m/>
    <m/>
    <n v="40"/>
    <m/>
    <m/>
    <m/>
    <n v="0"/>
    <n v="0"/>
    <n v="0"/>
    <n v="0"/>
    <n v="0"/>
    <n v="0"/>
    <n v="0"/>
    <n v="0"/>
    <n v="0"/>
    <n v="0"/>
    <n v="0"/>
    <n v="0"/>
    <n v="0"/>
    <n v="0"/>
    <n v="1"/>
    <n v="0"/>
    <n v="0"/>
    <n v="0"/>
    <s v="MMR001CMP152"/>
    <x v="0"/>
    <x v="0"/>
    <s v="P4"/>
    <n v="0"/>
    <m/>
  </r>
  <r>
    <n v="35.1"/>
    <d v="2014-06-13T00:00:00"/>
    <x v="0"/>
    <m/>
    <s v="Kachin"/>
    <s v="Mansi"/>
    <s v="Maing Khaung"/>
    <m/>
    <m/>
    <m/>
    <n v="54"/>
    <n v="18"/>
    <n v="45"/>
    <n v="18"/>
    <m/>
    <n v="18"/>
    <n v="50"/>
    <m/>
    <m/>
    <m/>
    <m/>
    <m/>
    <m/>
    <m/>
    <n v="0"/>
    <n v="0"/>
    <n v="0"/>
    <n v="0"/>
    <n v="0"/>
    <n v="0"/>
    <n v="0"/>
    <n v="0"/>
    <n v="0"/>
    <n v="0"/>
    <n v="0"/>
    <n v="0"/>
    <n v="0"/>
    <n v="0"/>
    <n v="0"/>
    <n v="0"/>
    <n v="0"/>
    <n v="0"/>
    <s v="MMR001CMP218"/>
    <x v="0"/>
    <x v="0"/>
    <s v="P4"/>
    <n v="4.332338500048137E-4"/>
    <m/>
  </r>
  <r>
    <n v="35.06666666666667"/>
    <d v="2014-06-14T00:00:00"/>
    <x v="11"/>
    <s v="MRCS"/>
    <s v="Kachin"/>
    <s v="Myitkyina"/>
    <s v="Jan Mai Kawng Baptist Church"/>
    <m/>
    <m/>
    <m/>
    <m/>
    <m/>
    <m/>
    <m/>
    <m/>
    <m/>
    <m/>
    <m/>
    <m/>
    <m/>
    <n v="406"/>
    <m/>
    <m/>
    <m/>
    <n v="0"/>
    <n v="0"/>
    <n v="0"/>
    <n v="0"/>
    <n v="0"/>
    <n v="0"/>
    <n v="0"/>
    <n v="0"/>
    <n v="0"/>
    <n v="0"/>
    <n v="0"/>
    <n v="0"/>
    <n v="0"/>
    <n v="0"/>
    <n v="1"/>
    <n v="0"/>
    <n v="0"/>
    <n v="0"/>
    <s v="MMR001CMP018"/>
    <x v="0"/>
    <x v="0"/>
    <s v="P4"/>
    <n v="0"/>
    <m/>
  </r>
  <r>
    <n v="35.06666666666667"/>
    <d v="2014-06-14T00:00:00"/>
    <x v="11"/>
    <s v="MRCS"/>
    <s v="Kachin"/>
    <s v="Myitkyina"/>
    <s v="Jan Mai Kawng Catholic Church"/>
    <m/>
    <m/>
    <m/>
    <m/>
    <m/>
    <m/>
    <m/>
    <m/>
    <m/>
    <m/>
    <m/>
    <m/>
    <m/>
    <n v="216"/>
    <m/>
    <m/>
    <m/>
    <n v="0"/>
    <n v="0"/>
    <n v="0"/>
    <n v="0"/>
    <n v="0"/>
    <n v="0"/>
    <n v="0"/>
    <n v="0"/>
    <n v="0"/>
    <n v="0"/>
    <n v="0"/>
    <n v="0"/>
    <n v="0"/>
    <n v="0"/>
    <n v="1"/>
    <n v="0"/>
    <n v="0"/>
    <n v="0"/>
    <s v="MMR001CMP019"/>
    <x v="0"/>
    <x v="0"/>
    <s v="P4"/>
    <n v="0"/>
    <m/>
  </r>
  <r>
    <n v="35.033333333333331"/>
    <d v="2014-06-15T00:00:00"/>
    <x v="11"/>
    <s v="MRCS"/>
    <s v="Kachin"/>
    <s v="Shwegu"/>
    <s v="Shwe Gu Baptist Church"/>
    <m/>
    <m/>
    <m/>
    <m/>
    <m/>
    <m/>
    <m/>
    <m/>
    <m/>
    <m/>
    <m/>
    <m/>
    <m/>
    <n v="158"/>
    <m/>
    <m/>
    <m/>
    <n v="0"/>
    <n v="0"/>
    <n v="0"/>
    <n v="0"/>
    <n v="0"/>
    <n v="0"/>
    <n v="0"/>
    <n v="0"/>
    <n v="0"/>
    <n v="0"/>
    <n v="0"/>
    <n v="0"/>
    <n v="0"/>
    <n v="0"/>
    <n v="1"/>
    <n v="0"/>
    <n v="0"/>
    <n v="0"/>
    <s v="MMR001CMP067"/>
    <x v="0"/>
    <x v="0"/>
    <s v="P4"/>
    <n v="0"/>
    <m/>
  </r>
  <r>
    <n v="35.033333333333331"/>
    <d v="2014-06-15T00:00:00"/>
    <x v="11"/>
    <s v="MRCS"/>
    <s v="Kachin"/>
    <s v="Shwegu"/>
    <s v="Shwe Gu Catholic Church"/>
    <m/>
    <m/>
    <m/>
    <m/>
    <m/>
    <m/>
    <m/>
    <m/>
    <m/>
    <m/>
    <m/>
    <m/>
    <m/>
    <n v="112"/>
    <m/>
    <m/>
    <m/>
    <n v="0"/>
    <n v="0"/>
    <n v="0"/>
    <n v="0"/>
    <n v="0"/>
    <n v="0"/>
    <n v="0"/>
    <n v="0"/>
    <n v="0"/>
    <n v="0"/>
    <n v="0"/>
    <n v="0"/>
    <n v="0"/>
    <n v="0"/>
    <n v="1"/>
    <n v="0"/>
    <n v="0"/>
    <n v="0"/>
    <s v="MMR001CMP068"/>
    <x v="0"/>
    <x v="0"/>
    <s v="P4"/>
    <n v="0"/>
    <m/>
  </r>
  <r>
    <n v="34.966666666666669"/>
    <d v="2014-06-17T00:00:00"/>
    <x v="0"/>
    <m/>
    <s v="Kachin"/>
    <s v="Mansi"/>
    <s v="Maing Khaung"/>
    <m/>
    <m/>
    <m/>
    <n v="10"/>
    <n v="3"/>
    <n v="10"/>
    <n v="3"/>
    <m/>
    <n v="3"/>
    <n v="10"/>
    <m/>
    <m/>
    <m/>
    <m/>
    <m/>
    <m/>
    <m/>
    <n v="0"/>
    <n v="0"/>
    <n v="0"/>
    <n v="0"/>
    <n v="0"/>
    <n v="0"/>
    <n v="0"/>
    <n v="0"/>
    <n v="0"/>
    <n v="0"/>
    <n v="0"/>
    <n v="0"/>
    <n v="0"/>
    <n v="0"/>
    <n v="0"/>
    <n v="0"/>
    <n v="0"/>
    <n v="0"/>
    <s v="MMR001CMP218"/>
    <x v="0"/>
    <x v="0"/>
    <s v="P4"/>
    <n v="7.2205641667468946E-5"/>
    <m/>
  </r>
  <r>
    <n v="34.866666666666667"/>
    <d v="2014-06-20T00:00:00"/>
    <x v="11"/>
    <s v="MRCS"/>
    <s v="Kachin"/>
    <s v="Myitkyina"/>
    <s v="Tat Kone Emanuel Church"/>
    <m/>
    <m/>
    <m/>
    <m/>
    <m/>
    <m/>
    <m/>
    <m/>
    <m/>
    <m/>
    <m/>
    <m/>
    <m/>
    <n v="16"/>
    <m/>
    <m/>
    <m/>
    <n v="0"/>
    <n v="0"/>
    <n v="0"/>
    <n v="0"/>
    <n v="0"/>
    <n v="0"/>
    <n v="0"/>
    <n v="0"/>
    <n v="0"/>
    <n v="0"/>
    <n v="0"/>
    <n v="0"/>
    <n v="0"/>
    <n v="0"/>
    <n v="1"/>
    <n v="0"/>
    <n v="0"/>
    <n v="0"/>
    <s v="MMR001CMP004"/>
    <x v="0"/>
    <x v="0"/>
    <s v="P4"/>
    <n v="0"/>
    <m/>
  </r>
  <r>
    <n v="34.833333333333336"/>
    <d v="2014-06-21T00:00:00"/>
    <x v="11"/>
    <s v="MRCS"/>
    <s v="Kachin"/>
    <s v="Myitkyina"/>
    <s v="Du Kahtawng Qtr. 14"/>
    <m/>
    <m/>
    <m/>
    <m/>
    <m/>
    <m/>
    <m/>
    <m/>
    <m/>
    <m/>
    <m/>
    <m/>
    <m/>
    <n v="12"/>
    <m/>
    <m/>
    <m/>
    <n v="0"/>
    <n v="0"/>
    <n v="0"/>
    <n v="0"/>
    <n v="0"/>
    <n v="0"/>
    <n v="0"/>
    <n v="0"/>
    <n v="0"/>
    <n v="0"/>
    <n v="0"/>
    <n v="0"/>
    <n v="0"/>
    <n v="0"/>
    <n v="1"/>
    <n v="0"/>
    <n v="0"/>
    <n v="0"/>
    <s v="MMR001CMP012"/>
    <x v="0"/>
    <x v="0"/>
    <s v="P4"/>
    <n v="0"/>
    <m/>
  </r>
  <r>
    <n v="34.833333333333336"/>
    <d v="2014-06-21T00:00:00"/>
    <x v="11"/>
    <s v="MRCS"/>
    <s v="Kachin"/>
    <s v="Myitkyina"/>
    <s v="Du Kahtawng Qtr. 4"/>
    <m/>
    <m/>
    <m/>
    <m/>
    <m/>
    <m/>
    <m/>
    <m/>
    <m/>
    <m/>
    <m/>
    <m/>
    <m/>
    <n v="12"/>
    <m/>
    <m/>
    <m/>
    <n v="0"/>
    <n v="0"/>
    <n v="0"/>
    <n v="0"/>
    <n v="0"/>
    <n v="0"/>
    <n v="0"/>
    <n v="0"/>
    <n v="0"/>
    <n v="0"/>
    <n v="0"/>
    <n v="0"/>
    <n v="0"/>
    <n v="0"/>
    <n v="1"/>
    <n v="0"/>
    <n v="0"/>
    <n v="0"/>
    <s v="MMR001CMP010"/>
    <x v="0"/>
    <x v="0"/>
    <s v="P4"/>
    <n v="0"/>
    <m/>
  </r>
  <r>
    <n v="34.833333333333336"/>
    <d v="2014-06-21T00:00:00"/>
    <x v="11"/>
    <s v="MRCS"/>
    <s v="Kachin"/>
    <s v="Myitkyina"/>
    <s v="Du Kahtawng Qtr. 5"/>
    <m/>
    <m/>
    <m/>
    <m/>
    <m/>
    <m/>
    <m/>
    <m/>
    <m/>
    <m/>
    <m/>
    <m/>
    <m/>
    <n v="16"/>
    <m/>
    <m/>
    <m/>
    <n v="0"/>
    <n v="0"/>
    <n v="0"/>
    <n v="0"/>
    <n v="0"/>
    <n v="0"/>
    <n v="0"/>
    <n v="0"/>
    <n v="0"/>
    <n v="0"/>
    <n v="0"/>
    <n v="0"/>
    <n v="0"/>
    <n v="0"/>
    <n v="1"/>
    <n v="0"/>
    <n v="0"/>
    <n v="0"/>
    <s v="MMR001CMP011"/>
    <x v="0"/>
    <x v="0"/>
    <s v="P4"/>
    <n v="0"/>
    <m/>
  </r>
  <r>
    <n v="34.766666666666666"/>
    <d v="2014-06-23T00:00:00"/>
    <x v="11"/>
    <s v="MRCS"/>
    <s v="Kachin"/>
    <s v="Myitkyina"/>
    <s v="Tat Kone San Pya Baptist Church"/>
    <m/>
    <m/>
    <m/>
    <m/>
    <m/>
    <m/>
    <m/>
    <m/>
    <m/>
    <m/>
    <m/>
    <m/>
    <m/>
    <n v="88"/>
    <m/>
    <m/>
    <m/>
    <n v="0"/>
    <n v="0"/>
    <n v="0"/>
    <n v="0"/>
    <n v="0"/>
    <n v="0"/>
    <n v="0"/>
    <n v="0"/>
    <n v="0"/>
    <n v="0"/>
    <n v="0"/>
    <n v="0"/>
    <n v="0"/>
    <n v="0"/>
    <n v="1"/>
    <n v="0"/>
    <n v="0"/>
    <n v="0"/>
    <s v="MMR001CMP005"/>
    <x v="0"/>
    <x v="0"/>
    <s v="P4"/>
    <n v="0"/>
    <m/>
  </r>
  <r>
    <n v="34.733333333333334"/>
    <d v="2014-06-24T00:00:00"/>
    <x v="11"/>
    <s v="MRCS"/>
    <s v="Kachin"/>
    <s v="Myitkyina"/>
    <s v="Maw Hpawng Hka Nan Baptist Church"/>
    <m/>
    <m/>
    <m/>
    <m/>
    <m/>
    <m/>
    <m/>
    <m/>
    <m/>
    <m/>
    <m/>
    <m/>
    <m/>
    <n v="44"/>
    <m/>
    <m/>
    <m/>
    <n v="0"/>
    <n v="0"/>
    <n v="0"/>
    <n v="0"/>
    <n v="0"/>
    <n v="0"/>
    <n v="0"/>
    <n v="0"/>
    <n v="0"/>
    <n v="0"/>
    <n v="0"/>
    <n v="0"/>
    <n v="0"/>
    <n v="0"/>
    <n v="1"/>
    <n v="0"/>
    <n v="0"/>
    <n v="0"/>
    <s v="MMR001CMP020"/>
    <x v="0"/>
    <x v="0"/>
    <s v="P4"/>
    <n v="0"/>
    <m/>
  </r>
  <r>
    <n v="34.799999999999997"/>
    <d v="2014-06-22T00:00:00"/>
    <x v="11"/>
    <s v="MRCS"/>
    <s v="Kachin"/>
    <s v="Momauk"/>
    <s v="Momauk Catholic Church (St. Patrick)"/>
    <m/>
    <m/>
    <m/>
    <m/>
    <m/>
    <m/>
    <m/>
    <m/>
    <m/>
    <m/>
    <m/>
    <m/>
    <m/>
    <n v="462"/>
    <m/>
    <m/>
    <m/>
    <n v="0"/>
    <n v="0"/>
    <n v="0"/>
    <n v="0"/>
    <n v="0"/>
    <n v="0"/>
    <n v="0"/>
    <n v="0"/>
    <n v="0"/>
    <n v="0"/>
    <n v="0"/>
    <n v="0"/>
    <n v="0"/>
    <n v="0"/>
    <n v="1"/>
    <n v="0"/>
    <n v="0"/>
    <n v="0"/>
    <s v="MMR001CMP057"/>
    <x v="0"/>
    <x v="1"/>
    <s v="P4"/>
    <n v="0"/>
    <m/>
  </r>
  <r>
    <n v="34.733333333333334"/>
    <d v="2014-06-24T00:00:00"/>
    <x v="11"/>
    <s v="MRCS"/>
    <s v="Kachin"/>
    <s v="Myitkyina"/>
    <s v="Maw Hpawng Lhaovo Baptist Church"/>
    <m/>
    <m/>
    <m/>
    <m/>
    <m/>
    <m/>
    <m/>
    <m/>
    <m/>
    <m/>
    <m/>
    <m/>
    <m/>
    <n v="28"/>
    <m/>
    <m/>
    <m/>
    <n v="0"/>
    <n v="0"/>
    <n v="0"/>
    <n v="0"/>
    <n v="0"/>
    <n v="0"/>
    <n v="0"/>
    <n v="0"/>
    <n v="0"/>
    <n v="0"/>
    <n v="0"/>
    <n v="0"/>
    <n v="0"/>
    <n v="0"/>
    <n v="1"/>
    <n v="0"/>
    <n v="0"/>
    <n v="0"/>
    <s v="MMR001CMP021"/>
    <x v="0"/>
    <x v="0"/>
    <s v="P4"/>
    <n v="0"/>
    <m/>
  </r>
  <r>
    <n v="34.700000000000003"/>
    <d v="2014-06-25T00:00:00"/>
    <x v="11"/>
    <s v="MRCS"/>
    <s v="Kachin"/>
    <s v="Momauk"/>
    <s v="Momauk Baptist Church"/>
    <m/>
    <m/>
    <m/>
    <m/>
    <m/>
    <m/>
    <m/>
    <m/>
    <m/>
    <m/>
    <m/>
    <m/>
    <m/>
    <n v="832"/>
    <m/>
    <m/>
    <m/>
    <n v="0"/>
    <n v="0"/>
    <n v="0"/>
    <n v="0"/>
    <n v="0"/>
    <n v="0"/>
    <n v="0"/>
    <n v="0"/>
    <n v="0"/>
    <n v="0"/>
    <n v="0"/>
    <n v="0"/>
    <n v="0"/>
    <n v="0"/>
    <n v="1"/>
    <n v="0"/>
    <n v="0"/>
    <n v="0"/>
    <s v="MMR001CMP056"/>
    <x v="0"/>
    <x v="0"/>
    <s v="P4"/>
    <n v="0"/>
    <m/>
  </r>
  <r>
    <n v="34.5"/>
    <d v="2014-07-01T00:00:00"/>
    <x v="0"/>
    <m/>
    <s v="Kachin"/>
    <s v="Mansi"/>
    <s v="Maing Khaung"/>
    <m/>
    <m/>
    <m/>
    <m/>
    <n v="19"/>
    <m/>
    <n v="19"/>
    <m/>
    <m/>
    <n v="100"/>
    <m/>
    <m/>
    <m/>
    <m/>
    <m/>
    <m/>
    <m/>
    <n v="0"/>
    <n v="0"/>
    <n v="0"/>
    <n v="0"/>
    <n v="0"/>
    <n v="0"/>
    <n v="0"/>
    <n v="0"/>
    <n v="0"/>
    <n v="0"/>
    <n v="0"/>
    <n v="0"/>
    <n v="0"/>
    <n v="0"/>
    <n v="0"/>
    <n v="0"/>
    <n v="0"/>
    <n v="0"/>
    <s v="MMR001CMP218"/>
    <x v="0"/>
    <x v="0"/>
    <s v="P4"/>
    <n v="4.5730239722730338E-4"/>
    <m/>
  </r>
  <r>
    <n v="34.43333333333333"/>
    <d v="2014-07-03T00:00:00"/>
    <x v="0"/>
    <m/>
    <s v="Kachin"/>
    <s v="Mansi"/>
    <s v="Maing Khaung"/>
    <m/>
    <m/>
    <m/>
    <m/>
    <m/>
    <n v="9"/>
    <m/>
    <m/>
    <n v="19"/>
    <n v="1"/>
    <m/>
    <m/>
    <m/>
    <m/>
    <m/>
    <m/>
    <m/>
    <n v="0"/>
    <n v="0"/>
    <n v="0"/>
    <n v="0"/>
    <n v="0"/>
    <n v="0"/>
    <n v="0"/>
    <n v="0"/>
    <n v="0"/>
    <n v="0"/>
    <n v="0"/>
    <n v="0"/>
    <n v="0"/>
    <n v="0"/>
    <n v="0"/>
    <n v="0"/>
    <n v="0"/>
    <n v="0"/>
    <s v="MMR001CMP218"/>
    <x v="0"/>
    <x v="0"/>
    <s v="P4"/>
    <n v="0"/>
    <m/>
  </r>
  <r>
    <n v="34.43333333333333"/>
    <d v="2014-07-03T00:00:00"/>
    <x v="0"/>
    <m/>
    <s v="Kachin"/>
    <s v="Mansi"/>
    <s v="Maing Khaung Catholic Church"/>
    <m/>
    <m/>
    <m/>
    <n v="50"/>
    <n v="15"/>
    <m/>
    <n v="15"/>
    <m/>
    <n v="15"/>
    <n v="60"/>
    <m/>
    <m/>
    <m/>
    <m/>
    <m/>
    <m/>
    <m/>
    <n v="0"/>
    <n v="0"/>
    <n v="0"/>
    <n v="0"/>
    <n v="0"/>
    <n v="0"/>
    <n v="0"/>
    <n v="0"/>
    <n v="0"/>
    <n v="0"/>
    <n v="0"/>
    <n v="0"/>
    <n v="0"/>
    <n v="0"/>
    <n v="0"/>
    <n v="0"/>
    <n v="0"/>
    <n v="0"/>
    <s v="MMR001CMP223"/>
    <x v="0"/>
    <x v="0"/>
    <s v="P4"/>
    <n v="3.6102820833734477E-4"/>
    <m/>
  </r>
  <r>
    <n v="34.366666666666667"/>
    <d v="2014-07-05T00:00:00"/>
    <x v="11"/>
    <s v="MRCS"/>
    <s v="Kachin"/>
    <s v="Waingmaw"/>
    <s v="Waingmaw AG Church"/>
    <m/>
    <m/>
    <m/>
    <m/>
    <m/>
    <m/>
    <m/>
    <m/>
    <m/>
    <m/>
    <m/>
    <m/>
    <m/>
    <n v="124"/>
    <m/>
    <m/>
    <m/>
    <n v="0"/>
    <n v="0"/>
    <n v="0"/>
    <n v="0"/>
    <n v="0"/>
    <n v="0"/>
    <n v="0"/>
    <n v="0"/>
    <n v="0"/>
    <n v="0"/>
    <n v="0"/>
    <n v="0"/>
    <n v="0"/>
    <n v="0"/>
    <n v="1"/>
    <n v="0"/>
    <n v="0"/>
    <n v="0"/>
    <s v="MMR001CMP038"/>
    <x v="0"/>
    <x v="0"/>
    <s v="P4"/>
    <n v="0"/>
    <m/>
  </r>
  <r>
    <n v="34.233333333333334"/>
    <d v="2014-07-09T00:00:00"/>
    <x v="0"/>
    <m/>
    <s v="Kachin"/>
    <s v="Mansi"/>
    <s v="Maing Khaung"/>
    <m/>
    <m/>
    <m/>
    <m/>
    <m/>
    <n v="10"/>
    <m/>
    <m/>
    <m/>
    <m/>
    <m/>
    <m/>
    <m/>
    <m/>
    <m/>
    <m/>
    <m/>
    <n v="0"/>
    <n v="0"/>
    <n v="0"/>
    <n v="0"/>
    <n v="0"/>
    <n v="0"/>
    <n v="0"/>
    <n v="0"/>
    <n v="0"/>
    <n v="0"/>
    <n v="0"/>
    <n v="0"/>
    <n v="0"/>
    <n v="0"/>
    <n v="0"/>
    <n v="0"/>
    <n v="0"/>
    <n v="0"/>
    <s v="MMR001CMP218"/>
    <x v="0"/>
    <x v="0"/>
    <s v="P4"/>
    <n v="0"/>
    <m/>
  </r>
  <r>
    <n v="34.233333333333334"/>
    <d v="2014-07-09T00:00:00"/>
    <x v="0"/>
    <m/>
    <s v="Kachin"/>
    <s v="Mansi"/>
    <s v="Maing Khaung Catholic Church"/>
    <m/>
    <m/>
    <m/>
    <n v="35"/>
    <n v="13"/>
    <n v="70"/>
    <n v="13"/>
    <m/>
    <n v="13"/>
    <n v="25"/>
    <m/>
    <m/>
    <m/>
    <m/>
    <m/>
    <m/>
    <m/>
    <n v="0"/>
    <n v="0"/>
    <n v="0"/>
    <n v="0"/>
    <n v="0"/>
    <n v="0"/>
    <n v="0"/>
    <n v="0"/>
    <n v="0"/>
    <n v="0"/>
    <n v="0"/>
    <n v="0"/>
    <n v="0"/>
    <n v="0"/>
    <n v="0"/>
    <n v="0"/>
    <n v="0"/>
    <n v="0"/>
    <s v="MMR001CMP223"/>
    <x v="0"/>
    <x v="0"/>
    <s v="P4"/>
    <n v="3.1289111389236547E-4"/>
    <m/>
  </r>
  <r>
    <n v="33.833333333333336"/>
    <d v="2014-07-21T00:00:00"/>
    <x v="0"/>
    <m/>
    <s v="Kachin"/>
    <s v="Bhamo"/>
    <s v="Lisu Boarding-House"/>
    <m/>
    <m/>
    <m/>
    <n v="10"/>
    <n v="36"/>
    <n v="10"/>
    <n v="5"/>
    <m/>
    <n v="33"/>
    <n v="117"/>
    <m/>
    <m/>
    <m/>
    <m/>
    <m/>
    <m/>
    <m/>
    <n v="0"/>
    <n v="0"/>
    <n v="0"/>
    <n v="0"/>
    <n v="0"/>
    <n v="0"/>
    <n v="0"/>
    <n v="0"/>
    <n v="0"/>
    <n v="0"/>
    <n v="0"/>
    <n v="0"/>
    <n v="0"/>
    <n v="0"/>
    <n v="0"/>
    <n v="0"/>
    <n v="0"/>
    <n v="0"/>
    <s v="MMR001CMP049"/>
    <x v="0"/>
    <x v="0"/>
    <s v="P4"/>
    <n v="1.2286521685710776E-4"/>
    <m/>
  </r>
  <r>
    <n v="33.833333333333336"/>
    <d v="2014-07-21T00:00:00"/>
    <x v="0"/>
    <m/>
    <s v="Kachin"/>
    <s v="Momauk"/>
    <s v="Momauk Baptist Church"/>
    <m/>
    <m/>
    <m/>
    <m/>
    <n v="75"/>
    <m/>
    <m/>
    <m/>
    <m/>
    <m/>
    <m/>
    <m/>
    <m/>
    <m/>
    <m/>
    <m/>
    <m/>
    <n v="0"/>
    <n v="0"/>
    <n v="0"/>
    <n v="0"/>
    <n v="0"/>
    <n v="0"/>
    <n v="0"/>
    <n v="0"/>
    <n v="0"/>
    <n v="0"/>
    <n v="0"/>
    <n v="0"/>
    <n v="0"/>
    <n v="0"/>
    <n v="0"/>
    <n v="0"/>
    <n v="0"/>
    <n v="0"/>
    <s v="MMR001CMP056"/>
    <x v="0"/>
    <x v="0"/>
    <s v="P4"/>
    <n v="0"/>
    <m/>
  </r>
  <r>
    <n v="33.700000000000003"/>
    <d v="2014-07-25T00:00:00"/>
    <x v="0"/>
    <m/>
    <s v="Kachin"/>
    <s v="Bhamo"/>
    <s v="Lisu Boarding-House"/>
    <m/>
    <m/>
    <m/>
    <m/>
    <n v="7"/>
    <n v="3"/>
    <m/>
    <m/>
    <n v="4"/>
    <n v="9"/>
    <m/>
    <m/>
    <m/>
    <m/>
    <m/>
    <m/>
    <m/>
    <n v="0"/>
    <n v="0"/>
    <n v="0"/>
    <n v="0"/>
    <n v="0"/>
    <n v="0"/>
    <n v="0"/>
    <n v="0"/>
    <n v="0"/>
    <n v="0"/>
    <n v="0"/>
    <n v="0"/>
    <n v="0"/>
    <n v="0"/>
    <n v="0"/>
    <n v="0"/>
    <n v="0"/>
    <n v="0"/>
    <s v="MMR001CMP049"/>
    <x v="0"/>
    <x v="0"/>
    <s v="P4"/>
    <n v="0"/>
    <m/>
  </r>
  <r>
    <n v="33.56666666666667"/>
    <d v="2014-07-29T00:00:00"/>
    <x v="0"/>
    <m/>
    <s v="Kachin"/>
    <s v="Momauk"/>
    <s v="Je Yang Hka "/>
    <m/>
    <m/>
    <m/>
    <n v="254"/>
    <n v="204"/>
    <n v="254"/>
    <n v="134"/>
    <m/>
    <n v="134"/>
    <n v="608"/>
    <m/>
    <m/>
    <m/>
    <m/>
    <m/>
    <m/>
    <m/>
    <n v="0"/>
    <n v="0"/>
    <n v="0"/>
    <n v="0"/>
    <n v="0"/>
    <n v="0"/>
    <n v="0"/>
    <n v="0"/>
    <n v="0"/>
    <n v="0"/>
    <n v="0"/>
    <n v="0"/>
    <n v="0"/>
    <n v="0"/>
    <n v="0"/>
    <n v="0"/>
    <n v="0"/>
    <n v="0"/>
    <s v="MMR001CMP121"/>
    <x v="0"/>
    <x v="0"/>
    <s v="P2"/>
    <n v="3.2634373249555539E-3"/>
    <m/>
  </r>
  <r>
    <n v="33.56666666666667"/>
    <d v="2014-07-29T00:00:00"/>
    <x v="0"/>
    <m/>
    <s v="Kachin"/>
    <s v="Waingmaw"/>
    <s v="Woi Chyai "/>
    <m/>
    <m/>
    <m/>
    <n v="46"/>
    <n v="46"/>
    <n v="46"/>
    <n v="16"/>
    <m/>
    <n v="16"/>
    <n v="142"/>
    <m/>
    <m/>
    <m/>
    <m/>
    <m/>
    <m/>
    <m/>
    <n v="0"/>
    <n v="0"/>
    <n v="0"/>
    <n v="0"/>
    <n v="0"/>
    <n v="0"/>
    <n v="0"/>
    <n v="0"/>
    <n v="0"/>
    <n v="0"/>
    <n v="0"/>
    <n v="0"/>
    <n v="0"/>
    <n v="0"/>
    <n v="0"/>
    <n v="0"/>
    <n v="0"/>
    <n v="0"/>
    <s v="MMR001CMP116"/>
    <x v="0"/>
    <x v="0"/>
    <s v="P4"/>
    <n v="3.9316869394274479E-4"/>
    <m/>
  </r>
  <r>
    <n v="33.366666666666667"/>
    <d v="2014-08-04T00:00:00"/>
    <x v="0"/>
    <m/>
    <s v="Kachin"/>
    <s v="Momauk"/>
    <s v="Loi Je Catholic Church"/>
    <m/>
    <m/>
    <m/>
    <m/>
    <n v="116"/>
    <m/>
    <m/>
    <m/>
    <m/>
    <m/>
    <m/>
    <m/>
    <m/>
    <m/>
    <m/>
    <m/>
    <m/>
    <n v="0"/>
    <n v="0"/>
    <n v="0"/>
    <n v="0"/>
    <n v="0"/>
    <n v="0"/>
    <n v="0"/>
    <n v="0"/>
    <n v="0"/>
    <n v="0"/>
    <n v="0"/>
    <n v="0"/>
    <n v="0"/>
    <n v="0"/>
    <n v="0"/>
    <n v="0"/>
    <n v="0"/>
    <n v="0"/>
    <s v="MMR001CMP069"/>
    <x v="0"/>
    <x v="0"/>
    <s v="P3"/>
    <n v="0"/>
    <m/>
  </r>
  <r>
    <n v="33.366666666666667"/>
    <d v="2014-08-04T00:00:00"/>
    <x v="0"/>
    <m/>
    <s v="Kachin"/>
    <s v="Momauk"/>
    <s v="Loi Je Lisu Camp"/>
    <m/>
    <m/>
    <m/>
    <n v="84"/>
    <n v="36"/>
    <n v="84"/>
    <n v="36"/>
    <m/>
    <n v="36"/>
    <n v="180"/>
    <m/>
    <m/>
    <m/>
    <m/>
    <m/>
    <m/>
    <m/>
    <n v="0"/>
    <n v="0"/>
    <n v="0"/>
    <n v="0"/>
    <n v="0"/>
    <n v="0"/>
    <n v="0"/>
    <n v="0"/>
    <n v="0"/>
    <n v="0"/>
    <n v="0"/>
    <n v="0"/>
    <n v="0"/>
    <n v="0"/>
    <n v="0"/>
    <n v="0"/>
    <n v="0"/>
    <n v="0"/>
    <s v="MMR001CMP070"/>
    <x v="0"/>
    <x v="0"/>
    <s v="P3"/>
    <n v="8.780487804878049E-4"/>
    <m/>
  </r>
  <r>
    <n v="33.366666666666667"/>
    <d v="2014-08-04T00:00:00"/>
    <x v="0"/>
    <m/>
    <s v="Kachin"/>
    <s v="Mansi"/>
    <s v="Maing Khaung Catholic Church"/>
    <m/>
    <m/>
    <m/>
    <m/>
    <m/>
    <m/>
    <m/>
    <m/>
    <n v="2"/>
    <m/>
    <m/>
    <m/>
    <m/>
    <m/>
    <m/>
    <m/>
    <m/>
    <n v="0"/>
    <n v="0"/>
    <n v="0"/>
    <n v="0"/>
    <n v="0"/>
    <n v="0"/>
    <n v="0"/>
    <n v="0"/>
    <n v="0"/>
    <n v="0"/>
    <n v="0"/>
    <n v="0"/>
    <n v="0"/>
    <n v="0"/>
    <n v="0"/>
    <n v="0"/>
    <n v="0"/>
    <n v="0"/>
    <s v="MMR001CMP223"/>
    <x v="0"/>
    <x v="0"/>
    <s v="P4"/>
    <n v="0"/>
    <m/>
  </r>
  <r>
    <n v="33.366666666666667"/>
    <d v="2014-08-04T00:00:00"/>
    <x v="0"/>
    <m/>
    <s v="Kachin"/>
    <s v="Bhamo"/>
    <m/>
    <m/>
    <m/>
    <m/>
    <m/>
    <n v="5"/>
    <m/>
    <m/>
    <m/>
    <m/>
    <m/>
    <m/>
    <m/>
    <m/>
    <m/>
    <m/>
    <m/>
    <m/>
    <n v="0"/>
    <n v="0"/>
    <n v="0"/>
    <n v="0"/>
    <n v="0"/>
    <n v="0"/>
    <n v="0"/>
    <n v="0"/>
    <n v="0"/>
    <n v="0"/>
    <n v="0"/>
    <n v="0"/>
    <n v="0"/>
    <n v="0"/>
    <n v="0"/>
    <n v="0"/>
    <n v="0"/>
    <n v="0"/>
    <s v=""/>
    <x v="1"/>
    <x v="2"/>
    <s v=""/>
    <s v=""/>
    <m/>
  </r>
  <r>
    <n v="33.266666666666666"/>
    <d v="2014-08-07T00:00:00"/>
    <x v="0"/>
    <s v="Shalom"/>
    <s v="Kachin"/>
    <s v="Chipwi"/>
    <s v="Lhaovao Baptist Church (LBC)"/>
    <m/>
    <m/>
    <n v="50"/>
    <n v="25"/>
    <n v="50"/>
    <n v="25"/>
    <m/>
    <n v="25"/>
    <n v="125"/>
    <m/>
    <m/>
    <m/>
    <m/>
    <m/>
    <m/>
    <m/>
    <m/>
    <n v="0"/>
    <n v="0"/>
    <n v="0"/>
    <n v="0"/>
    <n v="0"/>
    <n v="0"/>
    <n v="0"/>
    <n v="0"/>
    <n v="0"/>
    <n v="0"/>
    <n v="0"/>
    <n v="0"/>
    <n v="0"/>
    <n v="0"/>
    <n v="0"/>
    <n v="0"/>
    <n v="0"/>
    <n v="0"/>
    <s v="MMR001CMP195"/>
    <x v="0"/>
    <x v="0"/>
    <s v="P1"/>
    <n v="0"/>
    <m/>
  </r>
  <r>
    <n v="33.266666666666666"/>
    <d v="2014-08-07T00:00:00"/>
    <x v="0"/>
    <s v="Shalom"/>
    <s v="Kachin"/>
    <s v="Waingmaw"/>
    <s v="Qtr. 2 Lhaovo Baptist Church"/>
    <m/>
    <m/>
    <n v="24"/>
    <n v="12"/>
    <n v="24"/>
    <n v="12"/>
    <m/>
    <n v="12"/>
    <n v="60"/>
    <m/>
    <m/>
    <m/>
    <m/>
    <m/>
    <m/>
    <m/>
    <m/>
    <n v="0"/>
    <n v="0"/>
    <n v="0"/>
    <n v="0"/>
    <n v="0"/>
    <n v="0"/>
    <n v="0"/>
    <n v="0"/>
    <n v="0"/>
    <n v="0"/>
    <n v="0"/>
    <n v="0"/>
    <n v="0"/>
    <n v="0"/>
    <n v="0"/>
    <n v="0"/>
    <n v="0"/>
    <n v="0"/>
    <s v="MMR001CMP032"/>
    <x v="0"/>
    <x v="0"/>
    <s v="P4"/>
    <n v="0"/>
    <m/>
  </r>
  <r>
    <n v="33.166666666666664"/>
    <d v="2014-08-10T00:00:00"/>
    <x v="0"/>
    <m/>
    <s v="Kachin"/>
    <s v="Momauk"/>
    <s v="Pa Kahtawng "/>
    <m/>
    <m/>
    <m/>
    <n v="100"/>
    <n v="52"/>
    <n v="156"/>
    <n v="40"/>
    <m/>
    <n v="52"/>
    <n v="210"/>
    <m/>
    <m/>
    <m/>
    <m/>
    <m/>
    <m/>
    <m/>
    <n v="0"/>
    <n v="0"/>
    <n v="0"/>
    <n v="0"/>
    <n v="0"/>
    <n v="0"/>
    <n v="0"/>
    <n v="0"/>
    <n v="0"/>
    <n v="0"/>
    <n v="0"/>
    <n v="0"/>
    <n v="0"/>
    <n v="0"/>
    <n v="0"/>
    <n v="0"/>
    <n v="0"/>
    <n v="0"/>
    <s v="MMR001CMP126"/>
    <x v="0"/>
    <x v="0"/>
    <s v="P2"/>
    <n v="9.7560975609756097E-4"/>
    <m/>
  </r>
  <r>
    <n v="32.43333333333333"/>
    <d v="2014-09-01T00:00:00"/>
    <x v="10"/>
    <m/>
    <s v="Kachin"/>
    <s v="Waingmaw"/>
    <s v="Hkau Shau (BP 12)"/>
    <m/>
    <m/>
    <m/>
    <m/>
    <m/>
    <m/>
    <m/>
    <m/>
    <m/>
    <m/>
    <m/>
    <n v="407"/>
    <m/>
    <m/>
    <m/>
    <m/>
    <m/>
    <n v="0"/>
    <n v="0"/>
    <n v="0"/>
    <n v="0"/>
    <n v="0"/>
    <n v="0"/>
    <n v="0"/>
    <n v="0"/>
    <n v="0"/>
    <n v="0"/>
    <n v="0"/>
    <n v="0"/>
    <n v="0"/>
    <n v="0"/>
    <n v="1"/>
    <n v="0"/>
    <n v="0"/>
    <n v="0"/>
    <s v="MMR001CMP115"/>
    <x v="0"/>
    <x v="0"/>
    <s v="P1"/>
    <n v="0"/>
    <m/>
  </r>
  <r>
    <n v="32.43333333333333"/>
    <d v="2014-09-01T00:00:00"/>
    <x v="10"/>
    <m/>
    <s v="Kachin"/>
    <s v="Chipwi"/>
    <s v="Hpare Hkyer - BP6"/>
    <m/>
    <m/>
    <m/>
    <m/>
    <m/>
    <m/>
    <m/>
    <m/>
    <m/>
    <m/>
    <m/>
    <n v="347"/>
    <m/>
    <m/>
    <m/>
    <m/>
    <m/>
    <n v="0"/>
    <n v="0"/>
    <n v="0"/>
    <n v="0"/>
    <n v="0"/>
    <n v="0"/>
    <n v="0"/>
    <n v="0"/>
    <n v="0"/>
    <n v="0"/>
    <n v="0"/>
    <n v="0"/>
    <n v="0"/>
    <n v="0"/>
    <n v="1"/>
    <n v="0"/>
    <n v="0"/>
    <n v="0"/>
    <s v="MMR001CMP043"/>
    <x v="0"/>
    <x v="0"/>
    <s v="P1"/>
    <n v="0"/>
    <m/>
  </r>
  <r>
    <n v="32.43333333333333"/>
    <d v="2014-09-01T00:00:00"/>
    <x v="10"/>
    <m/>
    <s v="Kachin"/>
    <s v="Waingmaw"/>
    <s v="Maga Yang "/>
    <m/>
    <m/>
    <m/>
    <m/>
    <m/>
    <m/>
    <m/>
    <m/>
    <m/>
    <m/>
    <m/>
    <n v="917"/>
    <m/>
    <m/>
    <m/>
    <m/>
    <m/>
    <n v="0"/>
    <n v="0"/>
    <n v="0"/>
    <n v="0"/>
    <n v="0"/>
    <n v="0"/>
    <n v="0"/>
    <n v="0"/>
    <n v="0"/>
    <n v="0"/>
    <n v="0"/>
    <n v="0"/>
    <n v="0"/>
    <n v="0"/>
    <n v="1"/>
    <n v="0"/>
    <n v="0"/>
    <n v="0"/>
    <s v="MMR001CMP119"/>
    <x v="0"/>
    <x v="0"/>
    <s v="P2"/>
    <n v="0"/>
    <m/>
  </r>
  <r>
    <n v="32.9"/>
    <d v="2014-08-18T00:00:00"/>
    <x v="0"/>
    <m/>
    <s v="Kachin"/>
    <s v="Mansi"/>
    <s v="Bum Tsit Pa Camp II"/>
    <m/>
    <m/>
    <m/>
    <m/>
    <n v="70"/>
    <m/>
    <m/>
    <m/>
    <m/>
    <m/>
    <m/>
    <m/>
    <m/>
    <m/>
    <m/>
    <m/>
    <m/>
    <n v="0"/>
    <n v="0"/>
    <n v="0"/>
    <n v="0"/>
    <n v="0"/>
    <n v="0"/>
    <n v="0"/>
    <n v="0"/>
    <n v="0"/>
    <n v="0"/>
    <n v="0"/>
    <n v="0"/>
    <n v="0"/>
    <n v="0"/>
    <n v="0"/>
    <n v="0"/>
    <n v="0"/>
    <n v="0"/>
    <s v="MMR001CMP226"/>
    <x v="0"/>
    <x v="1"/>
    <s v="P2"/>
    <n v="0"/>
    <m/>
  </r>
  <r>
    <n v="32.43333333333333"/>
    <d v="2014-09-01T00:00:00"/>
    <x v="10"/>
    <m/>
    <s v="Kachin"/>
    <s v="Waingmaw"/>
    <s v="Pajau - Jan Mai"/>
    <m/>
    <m/>
    <m/>
    <m/>
    <m/>
    <m/>
    <m/>
    <m/>
    <m/>
    <m/>
    <m/>
    <n v="291"/>
    <m/>
    <m/>
    <m/>
    <m/>
    <m/>
    <n v="0"/>
    <n v="0"/>
    <n v="0"/>
    <n v="0"/>
    <n v="0"/>
    <n v="0"/>
    <n v="0"/>
    <n v="0"/>
    <n v="0"/>
    <n v="0"/>
    <n v="0"/>
    <n v="0"/>
    <n v="0"/>
    <n v="0"/>
    <n v="1"/>
    <n v="0"/>
    <n v="0"/>
    <n v="0"/>
    <s v="MMR001CMP120"/>
    <x v="0"/>
    <x v="0"/>
    <s v="P1"/>
    <n v="0"/>
    <m/>
  </r>
  <r>
    <n v="32.43333333333333"/>
    <d v="2014-09-01T00:00:00"/>
    <x v="10"/>
    <m/>
    <s v="Kachin"/>
    <s v="Waingmaw"/>
    <s v="Shing Jai"/>
    <m/>
    <m/>
    <m/>
    <m/>
    <m/>
    <m/>
    <m/>
    <m/>
    <m/>
    <m/>
    <m/>
    <n v="288"/>
    <m/>
    <m/>
    <m/>
    <m/>
    <m/>
    <n v="0"/>
    <n v="0"/>
    <n v="0"/>
    <n v="0"/>
    <n v="0"/>
    <n v="0"/>
    <n v="0"/>
    <n v="0"/>
    <n v="0"/>
    <n v="0"/>
    <n v="0"/>
    <n v="0"/>
    <n v="0"/>
    <n v="0"/>
    <n v="1"/>
    <n v="0"/>
    <n v="0"/>
    <n v="0"/>
    <s v="MMR001CMP041"/>
    <x v="0"/>
    <x v="0"/>
    <s v="P1"/>
    <n v="0"/>
    <m/>
  </r>
  <r>
    <n v="31.8"/>
    <d v="2014-09-20T00:00:00"/>
    <x v="0"/>
    <m/>
    <s v="Kachin"/>
    <s v="Momauk"/>
    <s v="Pa Kahtawng "/>
    <m/>
    <m/>
    <m/>
    <n v="1238"/>
    <m/>
    <m/>
    <m/>
    <m/>
    <m/>
    <m/>
    <m/>
    <m/>
    <m/>
    <n v="1761"/>
    <m/>
    <m/>
    <m/>
    <n v="0"/>
    <n v="0"/>
    <n v="0"/>
    <n v="0"/>
    <n v="0"/>
    <n v="0"/>
    <n v="0"/>
    <n v="0"/>
    <n v="0"/>
    <n v="0"/>
    <n v="0"/>
    <n v="0"/>
    <n v="0"/>
    <n v="0"/>
    <n v="1"/>
    <n v="0"/>
    <n v="0"/>
    <n v="0"/>
    <s v="MMR001CMP126"/>
    <x v="0"/>
    <x v="0"/>
    <s v="P2"/>
    <n v="0"/>
    <m/>
  </r>
  <r>
    <n v="31.766666666666666"/>
    <d v="2014-09-21T00:00:00"/>
    <x v="0"/>
    <m/>
    <s v="Kachin"/>
    <s v="Momauk"/>
    <s v="Nhkawng Pa "/>
    <m/>
    <m/>
    <m/>
    <n v="604"/>
    <m/>
    <m/>
    <m/>
    <m/>
    <m/>
    <m/>
    <m/>
    <m/>
    <m/>
    <n v="784"/>
    <m/>
    <m/>
    <m/>
    <n v="0"/>
    <n v="0"/>
    <n v="0"/>
    <n v="0"/>
    <n v="0"/>
    <n v="0"/>
    <n v="0"/>
    <n v="0"/>
    <n v="0"/>
    <n v="0"/>
    <n v="0"/>
    <n v="0"/>
    <n v="0"/>
    <n v="0"/>
    <n v="1"/>
    <n v="0"/>
    <n v="0"/>
    <n v="0"/>
    <s v="MMR001CMP131"/>
    <x v="0"/>
    <x v="0"/>
    <s v="P1"/>
    <n v="0"/>
    <m/>
  </r>
  <r>
    <n v="31.433333333333334"/>
    <d v="2014-10-01T00:00:00"/>
    <x v="0"/>
    <s v="KMSS"/>
    <s v="Kachin"/>
    <s v="Hpakant"/>
    <s v="5 Ward RC Church(lon Khin)"/>
    <m/>
    <m/>
    <m/>
    <n v="156"/>
    <m/>
    <m/>
    <m/>
    <m/>
    <m/>
    <m/>
    <m/>
    <m/>
    <m/>
    <m/>
    <m/>
    <m/>
    <m/>
    <n v="0"/>
    <n v="0"/>
    <n v="0"/>
    <n v="0"/>
    <n v="0"/>
    <n v="0"/>
    <n v="0"/>
    <n v="0"/>
    <n v="0"/>
    <n v="0"/>
    <n v="0"/>
    <n v="0"/>
    <n v="0"/>
    <n v="0"/>
    <n v="0"/>
    <n v="0"/>
    <n v="0"/>
    <n v="0"/>
    <s v="MMR001CMP168"/>
    <x v="0"/>
    <x v="0"/>
    <s v="P4"/>
    <n v="0"/>
    <m/>
  </r>
  <r>
    <n v="32.43333333333333"/>
    <d v="2014-09-01T00:00:00"/>
    <x v="10"/>
    <m/>
    <s v="Kachin"/>
    <s v="Waingmaw"/>
    <s v="Zai Awng - Mung Ga Zup"/>
    <m/>
    <m/>
    <m/>
    <m/>
    <m/>
    <m/>
    <m/>
    <m/>
    <m/>
    <m/>
    <m/>
    <n v="905"/>
    <m/>
    <m/>
    <m/>
    <m/>
    <m/>
    <n v="0"/>
    <n v="0"/>
    <n v="0"/>
    <n v="0"/>
    <n v="0"/>
    <n v="0"/>
    <n v="0"/>
    <n v="0"/>
    <n v="0"/>
    <n v="0"/>
    <n v="0"/>
    <n v="0"/>
    <n v="0"/>
    <n v="0"/>
    <n v="1"/>
    <n v="0"/>
    <n v="0"/>
    <n v="0"/>
    <s v="MMR001CMP111"/>
    <x v="0"/>
    <x v="1"/>
    <s v="P2"/>
    <n v="0"/>
    <m/>
  </r>
  <r>
    <n v="31.433333333333334"/>
    <d v="2014-10-01T00:00:00"/>
    <x v="0"/>
    <s v="Shalom"/>
    <s v="Kachin"/>
    <s v="Hpakant"/>
    <s v="AG Church, Hmaw Si Sa"/>
    <m/>
    <m/>
    <m/>
    <n v="130"/>
    <m/>
    <m/>
    <m/>
    <m/>
    <m/>
    <m/>
    <m/>
    <m/>
    <m/>
    <m/>
    <m/>
    <m/>
    <m/>
    <n v="0"/>
    <n v="0"/>
    <n v="0"/>
    <n v="0"/>
    <n v="0"/>
    <n v="0"/>
    <n v="0"/>
    <n v="0"/>
    <n v="0"/>
    <n v="0"/>
    <n v="0"/>
    <n v="0"/>
    <n v="0"/>
    <n v="0"/>
    <n v="0"/>
    <n v="0"/>
    <n v="0"/>
    <n v="0"/>
    <s v="MMR001CMP176"/>
    <x v="0"/>
    <x v="0"/>
    <s v="P4"/>
    <n v="0"/>
    <m/>
  </r>
  <r>
    <n v="31.433333333333334"/>
    <d v="2014-10-01T00:00:00"/>
    <x v="0"/>
    <s v="Shalom"/>
    <s v="Kachin"/>
    <s v="Hpakant"/>
    <s v="AG Church, Maw Wan"/>
    <m/>
    <m/>
    <m/>
    <n v="30"/>
    <m/>
    <m/>
    <m/>
    <m/>
    <m/>
    <m/>
    <m/>
    <m/>
    <m/>
    <m/>
    <m/>
    <m/>
    <m/>
    <n v="0"/>
    <n v="0"/>
    <n v="0"/>
    <n v="0"/>
    <n v="0"/>
    <n v="0"/>
    <n v="0"/>
    <n v="0"/>
    <n v="0"/>
    <n v="0"/>
    <n v="0"/>
    <n v="0"/>
    <n v="0"/>
    <n v="0"/>
    <n v="0"/>
    <n v="0"/>
    <n v="0"/>
    <n v="0"/>
    <s v="MMR001CMP190"/>
    <x v="0"/>
    <x v="0"/>
    <s v="P4"/>
    <n v="0"/>
    <m/>
  </r>
  <r>
    <n v="31.433333333333334"/>
    <d v="2014-10-01T00:00:00"/>
    <x v="0"/>
    <s v="Shalom"/>
    <s v="Kachin"/>
    <s v="Hpakant"/>
    <s v="Baptist Church, Naung Hmee VT"/>
    <m/>
    <m/>
    <m/>
    <n v="30"/>
    <m/>
    <m/>
    <m/>
    <m/>
    <m/>
    <m/>
    <m/>
    <m/>
    <m/>
    <m/>
    <m/>
    <m/>
    <m/>
    <n v="0"/>
    <n v="0"/>
    <n v="0"/>
    <n v="0"/>
    <n v="0"/>
    <n v="0"/>
    <n v="0"/>
    <n v="0"/>
    <n v="0"/>
    <n v="0"/>
    <n v="0"/>
    <n v="0"/>
    <n v="0"/>
    <n v="0"/>
    <n v="0"/>
    <n v="0"/>
    <n v="0"/>
    <n v="0"/>
    <s v="MMR001CMP188"/>
    <x v="0"/>
    <x v="1"/>
    <s v="P4"/>
    <s v=""/>
    <m/>
  </r>
  <r>
    <n v="31.433333333333334"/>
    <d v="2014-10-01T00:00:00"/>
    <x v="0"/>
    <s v="Shalom"/>
    <s v="Kachin"/>
    <s v="Myitkyina"/>
    <s v="Myay Myint Baptist Church"/>
    <m/>
    <m/>
    <m/>
    <n v="24"/>
    <m/>
    <m/>
    <m/>
    <m/>
    <m/>
    <m/>
    <m/>
    <m/>
    <m/>
    <m/>
    <m/>
    <m/>
    <m/>
    <n v="0"/>
    <n v="0"/>
    <n v="0"/>
    <n v="0"/>
    <n v="0"/>
    <n v="0"/>
    <n v="0"/>
    <n v="0"/>
    <n v="0"/>
    <n v="0"/>
    <n v="0"/>
    <n v="0"/>
    <n v="0"/>
    <n v="0"/>
    <n v="0"/>
    <n v="0"/>
    <n v="0"/>
    <n v="0"/>
    <s v="MMR001CMP017"/>
    <x v="0"/>
    <x v="1"/>
    <s v="P4"/>
    <n v="0"/>
    <m/>
  </r>
  <r>
    <n v="31.433333333333334"/>
    <d v="2014-10-01T00:00:00"/>
    <x v="0"/>
    <s v="Shalom"/>
    <s v="Kachin"/>
    <s v="Hpakant"/>
    <s v="Chin Church, Seik Mu"/>
    <m/>
    <m/>
    <m/>
    <n v="8"/>
    <m/>
    <m/>
    <m/>
    <m/>
    <m/>
    <m/>
    <m/>
    <m/>
    <m/>
    <m/>
    <m/>
    <m/>
    <m/>
    <n v="0"/>
    <n v="0"/>
    <n v="0"/>
    <n v="0"/>
    <n v="0"/>
    <n v="0"/>
    <n v="0"/>
    <n v="0"/>
    <n v="0"/>
    <n v="0"/>
    <n v="0"/>
    <n v="0"/>
    <n v="0"/>
    <n v="0"/>
    <n v="0"/>
    <n v="0"/>
    <n v="0"/>
    <n v="0"/>
    <s v="MMR001CMP109"/>
    <x v="0"/>
    <x v="0"/>
    <s v="P4"/>
    <n v="0"/>
    <m/>
  </r>
  <r>
    <n v="31.433333333333334"/>
    <d v="2014-10-01T00:00:00"/>
    <x v="0"/>
    <s v="Shalom"/>
    <s v="Kachin"/>
    <s v="Chipwi"/>
    <s v="Chipwi KBC camp"/>
    <m/>
    <m/>
    <m/>
    <n v="214"/>
    <m/>
    <m/>
    <m/>
    <m/>
    <m/>
    <m/>
    <m/>
    <m/>
    <m/>
    <n v="214"/>
    <m/>
    <m/>
    <m/>
    <n v="0"/>
    <n v="0"/>
    <n v="0"/>
    <n v="0"/>
    <n v="0"/>
    <n v="0"/>
    <n v="0"/>
    <n v="0"/>
    <n v="0"/>
    <n v="0"/>
    <n v="0"/>
    <n v="0"/>
    <n v="0"/>
    <n v="0"/>
    <n v="1"/>
    <n v="0"/>
    <n v="0"/>
    <n v="0"/>
    <s v="MMR001CMP042"/>
    <x v="0"/>
    <x v="0"/>
    <s v="P1"/>
    <n v="0"/>
    <m/>
  </r>
  <r>
    <n v="31.433333333333334"/>
    <d v="2014-10-01T00:00:00"/>
    <x v="0"/>
    <s v="Shalom"/>
    <s v="Kachin"/>
    <s v="Hpakant"/>
    <s v="Dhama Rakhita, Nyein Chan Tar Yar Ward(Lon Khin)"/>
    <m/>
    <m/>
    <m/>
    <n v="130"/>
    <m/>
    <m/>
    <m/>
    <m/>
    <m/>
    <m/>
    <m/>
    <m/>
    <m/>
    <m/>
    <m/>
    <m/>
    <m/>
    <n v="0"/>
    <n v="0"/>
    <n v="0"/>
    <n v="0"/>
    <n v="0"/>
    <n v="0"/>
    <n v="0"/>
    <n v="0"/>
    <n v="0"/>
    <n v="0"/>
    <n v="0"/>
    <n v="0"/>
    <n v="0"/>
    <n v="0"/>
    <n v="0"/>
    <n v="0"/>
    <n v="0"/>
    <n v="0"/>
    <s v="MMR001CMP174"/>
    <x v="0"/>
    <x v="0"/>
    <s v="P4"/>
    <n v="0"/>
    <m/>
  </r>
  <r>
    <n v="31.433333333333334"/>
    <d v="2014-10-01T00:00:00"/>
    <x v="0"/>
    <s v="KMSS"/>
    <s v="Kachin"/>
    <s v="Momauk"/>
    <s v="Dum Bung "/>
    <m/>
    <m/>
    <m/>
    <n v="238"/>
    <m/>
    <m/>
    <m/>
    <m/>
    <m/>
    <m/>
    <m/>
    <m/>
    <m/>
    <n v="238"/>
    <m/>
    <m/>
    <m/>
    <n v="0"/>
    <n v="0"/>
    <n v="0"/>
    <n v="0"/>
    <n v="0"/>
    <n v="0"/>
    <n v="0"/>
    <n v="0"/>
    <n v="0"/>
    <n v="0"/>
    <n v="0"/>
    <n v="0"/>
    <n v="0"/>
    <n v="0"/>
    <n v="1"/>
    <n v="0"/>
    <n v="0"/>
    <n v="0"/>
    <s v="MMR001CMP123"/>
    <x v="0"/>
    <x v="0"/>
    <s v="P2"/>
    <n v="0"/>
    <m/>
  </r>
  <r>
    <n v="31.433333333333334"/>
    <d v="2014-10-01T00:00:00"/>
    <x v="0"/>
    <s v="Shalom"/>
    <s v="Kachin"/>
    <s v="Waingmaw"/>
    <s v="Hkat Cho "/>
    <m/>
    <m/>
    <m/>
    <n v="268"/>
    <m/>
    <m/>
    <m/>
    <m/>
    <m/>
    <m/>
    <m/>
    <m/>
    <m/>
    <m/>
    <m/>
    <m/>
    <m/>
    <n v="0"/>
    <n v="0"/>
    <n v="0"/>
    <n v="0"/>
    <n v="0"/>
    <n v="0"/>
    <n v="0"/>
    <n v="0"/>
    <n v="0"/>
    <n v="0"/>
    <n v="0"/>
    <n v="0"/>
    <n v="0"/>
    <n v="0"/>
    <n v="0"/>
    <n v="0"/>
    <n v="0"/>
    <n v="0"/>
    <s v="MMR001CMP028"/>
    <x v="0"/>
    <x v="0"/>
    <s v="P4"/>
    <n v="0"/>
    <m/>
  </r>
  <r>
    <n v="31.433333333333334"/>
    <d v="2014-10-01T00:00:00"/>
    <x v="0"/>
    <s v="Shalom"/>
    <s v="Kachin"/>
    <s v="Hpakant"/>
    <s v="Hmaw Wan, Anglican"/>
    <m/>
    <m/>
    <m/>
    <n v="20"/>
    <m/>
    <m/>
    <m/>
    <m/>
    <m/>
    <m/>
    <m/>
    <m/>
    <m/>
    <m/>
    <m/>
    <m/>
    <m/>
    <n v="0"/>
    <n v="0"/>
    <n v="0"/>
    <n v="0"/>
    <n v="0"/>
    <n v="0"/>
    <n v="0"/>
    <n v="0"/>
    <n v="0"/>
    <n v="0"/>
    <n v="0"/>
    <n v="0"/>
    <n v="0"/>
    <n v="0"/>
    <n v="0"/>
    <n v="0"/>
    <n v="0"/>
    <n v="0"/>
    <s v="MMR001CMP191"/>
    <x v="0"/>
    <x v="0"/>
    <s v="P4"/>
    <n v="0"/>
    <m/>
  </r>
  <r>
    <n v="31.433333333333334"/>
    <d v="2014-10-01T00:00:00"/>
    <x v="0"/>
    <s v="KMSS"/>
    <s v="Kachin"/>
    <s v="Myitkyina"/>
    <s v="Jan Mai Kawng Catholic Church"/>
    <m/>
    <m/>
    <m/>
    <n v="218"/>
    <m/>
    <m/>
    <m/>
    <m/>
    <m/>
    <m/>
    <m/>
    <m/>
    <m/>
    <m/>
    <m/>
    <m/>
    <m/>
    <n v="0"/>
    <n v="0"/>
    <n v="0"/>
    <n v="0"/>
    <n v="0"/>
    <n v="0"/>
    <n v="0"/>
    <n v="0"/>
    <n v="0"/>
    <n v="0"/>
    <n v="0"/>
    <n v="0"/>
    <n v="0"/>
    <n v="0"/>
    <n v="0"/>
    <n v="0"/>
    <n v="0"/>
    <n v="0"/>
    <s v="MMR001CMP019"/>
    <x v="0"/>
    <x v="0"/>
    <s v="P4"/>
    <n v="0"/>
    <m/>
  </r>
  <r>
    <n v="31.433333333333334"/>
    <d v="2014-10-01T00:00:00"/>
    <x v="0"/>
    <s v="Shalom"/>
    <s v="Kachin"/>
    <s v="Chipwi"/>
    <s v="Lhaovao Baptist Church (LBC)"/>
    <m/>
    <m/>
    <m/>
    <n v="278"/>
    <m/>
    <m/>
    <m/>
    <m/>
    <m/>
    <m/>
    <m/>
    <m/>
    <m/>
    <n v="278"/>
    <m/>
    <m/>
    <m/>
    <n v="0"/>
    <n v="0"/>
    <n v="0"/>
    <n v="0"/>
    <n v="0"/>
    <n v="0"/>
    <n v="0"/>
    <n v="0"/>
    <n v="0"/>
    <n v="0"/>
    <n v="0"/>
    <n v="0"/>
    <n v="0"/>
    <n v="0"/>
    <n v="1"/>
    <n v="0"/>
    <n v="0"/>
    <n v="0"/>
    <s v="MMR001CMP195"/>
    <x v="0"/>
    <x v="0"/>
    <s v="P1"/>
    <n v="0"/>
    <m/>
  </r>
  <r>
    <n v="31.433333333333334"/>
    <d v="2014-10-01T00:00:00"/>
    <x v="0"/>
    <s v="Shalom"/>
    <s v="Kachin"/>
    <s v="Hpakant"/>
    <s v="Lisu Baptist Church, Maw Shan Vil,. Seik Mu"/>
    <m/>
    <m/>
    <m/>
    <n v="40"/>
    <m/>
    <m/>
    <m/>
    <m/>
    <m/>
    <m/>
    <m/>
    <m/>
    <m/>
    <m/>
    <m/>
    <m/>
    <m/>
    <n v="0"/>
    <n v="0"/>
    <n v="0"/>
    <n v="0"/>
    <n v="0"/>
    <n v="0"/>
    <n v="0"/>
    <n v="0"/>
    <n v="0"/>
    <n v="0"/>
    <n v="0"/>
    <n v="0"/>
    <n v="0"/>
    <n v="0"/>
    <n v="0"/>
    <n v="0"/>
    <n v="0"/>
    <n v="0"/>
    <s v="MMR001CMP181"/>
    <x v="0"/>
    <x v="0"/>
    <s v="P4"/>
    <n v="0"/>
    <m/>
  </r>
  <r>
    <n v="31.433333333333334"/>
    <d v="2014-10-01T00:00:00"/>
    <x v="0"/>
    <s v="Shalom"/>
    <s v="Kachin"/>
    <s v="Hpakant"/>
    <s v="Lisu Baptist Church, Maw Wan Ward"/>
    <m/>
    <m/>
    <m/>
    <n v="16"/>
    <m/>
    <m/>
    <m/>
    <m/>
    <m/>
    <m/>
    <m/>
    <m/>
    <m/>
    <m/>
    <m/>
    <m/>
    <m/>
    <n v="0"/>
    <n v="0"/>
    <n v="0"/>
    <n v="0"/>
    <n v="0"/>
    <n v="0"/>
    <n v="0"/>
    <n v="0"/>
    <n v="0"/>
    <n v="0"/>
    <n v="0"/>
    <n v="0"/>
    <n v="0"/>
    <n v="0"/>
    <n v="0"/>
    <n v="0"/>
    <n v="0"/>
    <n v="0"/>
    <s v="MMR001CMP167"/>
    <x v="0"/>
    <x v="0"/>
    <s v="P4"/>
    <n v="0"/>
    <m/>
  </r>
  <r>
    <n v="31.433333333333334"/>
    <d v="2014-10-01T00:00:00"/>
    <x v="0"/>
    <s v="KMSS"/>
    <s v="Kachin"/>
    <s v="Waingmaw"/>
    <s v="Maga Yang "/>
    <m/>
    <m/>
    <m/>
    <n v="1248"/>
    <m/>
    <m/>
    <m/>
    <m/>
    <m/>
    <m/>
    <m/>
    <m/>
    <m/>
    <n v="1248"/>
    <m/>
    <m/>
    <m/>
    <n v="0"/>
    <n v="0"/>
    <n v="0"/>
    <n v="0"/>
    <n v="0"/>
    <n v="0"/>
    <n v="0"/>
    <n v="0"/>
    <n v="0"/>
    <n v="0"/>
    <n v="0"/>
    <n v="0"/>
    <n v="0"/>
    <n v="0"/>
    <n v="1"/>
    <n v="0"/>
    <n v="0"/>
    <n v="0"/>
    <s v="MMR001CMP119"/>
    <x v="0"/>
    <x v="0"/>
    <s v="P2"/>
    <n v="0"/>
    <m/>
  </r>
  <r>
    <n v="31.433333333333334"/>
    <d v="2014-10-01T00:00:00"/>
    <x v="0"/>
    <s v="Shalom"/>
    <s v="Kachin"/>
    <s v="Waingmaw"/>
    <s v="Maina AG Church"/>
    <m/>
    <m/>
    <m/>
    <n v="286"/>
    <m/>
    <m/>
    <m/>
    <m/>
    <m/>
    <m/>
    <m/>
    <m/>
    <m/>
    <m/>
    <m/>
    <m/>
    <m/>
    <n v="0"/>
    <n v="0"/>
    <n v="0"/>
    <n v="0"/>
    <n v="0"/>
    <n v="0"/>
    <n v="0"/>
    <n v="0"/>
    <n v="0"/>
    <n v="0"/>
    <n v="0"/>
    <n v="0"/>
    <n v="0"/>
    <n v="0"/>
    <n v="0"/>
    <n v="0"/>
    <n v="0"/>
    <n v="0"/>
    <s v="MMR001CMP031"/>
    <x v="0"/>
    <x v="0"/>
    <s v="P4"/>
    <n v="0"/>
    <m/>
  </r>
  <r>
    <n v="31.433333333333334"/>
    <d v="2014-10-01T00:00:00"/>
    <x v="0"/>
    <s v="KMSS"/>
    <s v="Kachin"/>
    <s v="Waingmaw"/>
    <s v="Maina Catholic Church (St. Joseph)"/>
    <m/>
    <m/>
    <m/>
    <n v="462"/>
    <m/>
    <m/>
    <m/>
    <m/>
    <m/>
    <m/>
    <m/>
    <m/>
    <m/>
    <m/>
    <m/>
    <m/>
    <m/>
    <n v="0"/>
    <n v="0"/>
    <n v="0"/>
    <n v="0"/>
    <n v="0"/>
    <n v="0"/>
    <n v="0"/>
    <n v="0"/>
    <n v="0"/>
    <n v="0"/>
    <n v="0"/>
    <n v="0"/>
    <n v="0"/>
    <n v="0"/>
    <n v="0"/>
    <n v="0"/>
    <n v="0"/>
    <n v="0"/>
    <s v="MMR001CMP029"/>
    <x v="0"/>
    <x v="0"/>
    <s v="P4"/>
    <n v="0"/>
    <m/>
  </r>
  <r>
    <n v="31.433333333333334"/>
    <d v="2014-10-01T00:00:00"/>
    <x v="0"/>
    <s v="Shalom"/>
    <s v="Kachin"/>
    <s v="Myitkyina"/>
    <s v="Maw Hpawng Hka Nan Baptist Church"/>
    <m/>
    <m/>
    <m/>
    <n v="52"/>
    <m/>
    <m/>
    <m/>
    <m/>
    <m/>
    <m/>
    <m/>
    <m/>
    <m/>
    <m/>
    <m/>
    <m/>
    <m/>
    <n v="0"/>
    <n v="0"/>
    <n v="0"/>
    <n v="0"/>
    <n v="0"/>
    <n v="0"/>
    <n v="0"/>
    <n v="0"/>
    <n v="0"/>
    <n v="0"/>
    <n v="0"/>
    <n v="0"/>
    <n v="0"/>
    <n v="0"/>
    <n v="0"/>
    <n v="0"/>
    <n v="0"/>
    <n v="0"/>
    <s v="MMR001CMP020"/>
    <x v="0"/>
    <x v="0"/>
    <s v="P4"/>
    <n v="0"/>
    <m/>
  </r>
  <r>
    <n v="31.433333333333334"/>
    <d v="2014-10-01T00:00:00"/>
    <x v="0"/>
    <s v="Shalom"/>
    <s v="Kachin"/>
    <s v="Myitkyina"/>
    <s v="Maw Hpawng Lhaovo Baptist Church"/>
    <m/>
    <m/>
    <m/>
    <n v="42"/>
    <m/>
    <m/>
    <m/>
    <m/>
    <m/>
    <m/>
    <m/>
    <m/>
    <m/>
    <m/>
    <m/>
    <m/>
    <m/>
    <n v="0"/>
    <n v="0"/>
    <n v="0"/>
    <n v="0"/>
    <n v="0"/>
    <n v="0"/>
    <n v="0"/>
    <n v="0"/>
    <n v="0"/>
    <n v="0"/>
    <n v="0"/>
    <n v="0"/>
    <n v="0"/>
    <n v="0"/>
    <n v="0"/>
    <n v="0"/>
    <n v="0"/>
    <n v="0"/>
    <s v="MMR001CMP021"/>
    <x v="0"/>
    <x v="0"/>
    <s v="P4"/>
    <n v="0"/>
    <m/>
  </r>
  <r>
    <n v="31.433333333333334"/>
    <d v="2014-10-01T00:00:00"/>
    <x v="0"/>
    <s v="Shalom"/>
    <s v="Kachin"/>
    <s v="Hpakant"/>
    <s v="Maw Wan, Mu-yin Baptist Church"/>
    <m/>
    <m/>
    <m/>
    <n v="10"/>
    <m/>
    <m/>
    <m/>
    <m/>
    <m/>
    <m/>
    <m/>
    <m/>
    <m/>
    <m/>
    <m/>
    <m/>
    <m/>
    <n v="0"/>
    <n v="0"/>
    <n v="0"/>
    <n v="0"/>
    <n v="0"/>
    <n v="0"/>
    <n v="0"/>
    <n v="0"/>
    <n v="0"/>
    <n v="0"/>
    <n v="0"/>
    <n v="0"/>
    <n v="0"/>
    <n v="0"/>
    <n v="0"/>
    <n v="0"/>
    <n v="0"/>
    <n v="0"/>
    <s v="MMR001CMP091"/>
    <x v="0"/>
    <x v="0"/>
    <s v="P4"/>
    <n v="0"/>
    <m/>
  </r>
  <r>
    <n v="31.433333333333334"/>
    <d v="2014-10-01T00:00:00"/>
    <x v="0"/>
    <s v="Shalom"/>
    <s v="Kachin"/>
    <s v="Hpakant"/>
    <s v="Nam Ma Phyit, COC"/>
    <m/>
    <m/>
    <m/>
    <n v="36"/>
    <m/>
    <m/>
    <m/>
    <m/>
    <m/>
    <m/>
    <m/>
    <m/>
    <m/>
    <m/>
    <m/>
    <m/>
    <m/>
    <n v="0"/>
    <n v="0"/>
    <n v="0"/>
    <n v="0"/>
    <n v="0"/>
    <n v="0"/>
    <n v="0"/>
    <n v="0"/>
    <n v="0"/>
    <n v="0"/>
    <n v="0"/>
    <n v="0"/>
    <n v="0"/>
    <n v="0"/>
    <n v="0"/>
    <n v="0"/>
    <n v="0"/>
    <n v="0"/>
    <s v="MMR001CMP192"/>
    <x v="0"/>
    <x v="0"/>
    <s v="P4"/>
    <n v="0"/>
    <m/>
  </r>
  <r>
    <n v="31.433333333333334"/>
    <d v="2014-10-01T00:00:00"/>
    <x v="0"/>
    <s v="KMSS"/>
    <s v="Kachin"/>
    <s v="Myitkyina"/>
    <s v="Nan Kway St. John Catholic Church"/>
    <m/>
    <m/>
    <m/>
    <n v="144"/>
    <m/>
    <m/>
    <m/>
    <m/>
    <m/>
    <m/>
    <m/>
    <m/>
    <m/>
    <m/>
    <m/>
    <m/>
    <m/>
    <n v="0"/>
    <n v="0"/>
    <n v="0"/>
    <n v="0"/>
    <n v="0"/>
    <n v="0"/>
    <n v="0"/>
    <n v="0"/>
    <n v="0"/>
    <n v="0"/>
    <n v="0"/>
    <n v="0"/>
    <n v="0"/>
    <n v="0"/>
    <n v="0"/>
    <n v="0"/>
    <n v="0"/>
    <n v="0"/>
    <s v="MMR001CMP024"/>
    <x v="0"/>
    <x v="0"/>
    <s v="P4"/>
    <n v="0"/>
    <m/>
  </r>
  <r>
    <n v="31.433333333333334"/>
    <d v="2014-10-01T00:00:00"/>
    <x v="0"/>
    <s v="KMSS"/>
    <s v="Kachin"/>
    <s v="Hpakant"/>
    <s v="Nant Ma Hpit Catholic Church"/>
    <m/>
    <m/>
    <m/>
    <n v="80"/>
    <m/>
    <m/>
    <m/>
    <m/>
    <m/>
    <m/>
    <m/>
    <m/>
    <m/>
    <m/>
    <m/>
    <m/>
    <m/>
    <n v="0"/>
    <n v="0"/>
    <n v="0"/>
    <n v="0"/>
    <n v="0"/>
    <n v="0"/>
    <n v="0"/>
    <n v="0"/>
    <n v="0"/>
    <n v="0"/>
    <n v="0"/>
    <n v="0"/>
    <n v="0"/>
    <n v="0"/>
    <n v="0"/>
    <n v="0"/>
    <n v="0"/>
    <n v="0"/>
    <s v="MMR001CMP103"/>
    <x v="0"/>
    <x v="0"/>
    <s v="P4"/>
    <n v="0"/>
    <m/>
  </r>
  <r>
    <n v="31.433333333333334"/>
    <d v="2014-10-01T00:00:00"/>
    <x v="0"/>
    <s v="Shalom"/>
    <s v="Kachin"/>
    <s v="Waingmaw"/>
    <s v="Nawng Hee Village"/>
    <m/>
    <m/>
    <m/>
    <n v="36"/>
    <m/>
    <m/>
    <m/>
    <m/>
    <m/>
    <m/>
    <m/>
    <m/>
    <m/>
    <m/>
    <m/>
    <m/>
    <m/>
    <n v="0"/>
    <n v="0"/>
    <n v="0"/>
    <n v="0"/>
    <n v="0"/>
    <n v="0"/>
    <n v="0"/>
    <n v="0"/>
    <n v="0"/>
    <n v="0"/>
    <n v="0"/>
    <n v="0"/>
    <n v="0"/>
    <n v="0"/>
    <n v="0"/>
    <n v="0"/>
    <n v="0"/>
    <n v="0"/>
    <s v="MMR001CMP033"/>
    <x v="0"/>
    <x v="0"/>
    <s v="P4"/>
    <n v="0"/>
    <m/>
  </r>
  <r>
    <n v="31.433333333333334"/>
    <d v="2014-10-01T00:00:00"/>
    <x v="0"/>
    <s v="KMSS"/>
    <s v="Kachin"/>
    <s v="Myitkyina"/>
    <s v="Pa Dauk Myaing(Pa La Na)"/>
    <m/>
    <m/>
    <m/>
    <n v="62"/>
    <m/>
    <m/>
    <m/>
    <m/>
    <m/>
    <m/>
    <m/>
    <m/>
    <m/>
    <m/>
    <m/>
    <m/>
    <m/>
    <n v="0"/>
    <n v="0"/>
    <n v="0"/>
    <n v="0"/>
    <n v="0"/>
    <n v="0"/>
    <n v="0"/>
    <n v="0"/>
    <n v="0"/>
    <n v="0"/>
    <n v="0"/>
    <n v="0"/>
    <n v="0"/>
    <n v="0"/>
    <n v="0"/>
    <n v="0"/>
    <n v="0"/>
    <n v="0"/>
    <s v="MMR001CMP162"/>
    <x v="0"/>
    <x v="0"/>
    <s v="P4"/>
    <n v="0"/>
    <m/>
  </r>
  <r>
    <n v="31.433333333333334"/>
    <d v="2014-10-01T00:00:00"/>
    <x v="0"/>
    <s v="KMSS"/>
    <s v="Kachin"/>
    <s v="Chipwi"/>
    <s v="Pan Wa"/>
    <m/>
    <m/>
    <m/>
    <n v="130"/>
    <m/>
    <m/>
    <m/>
    <m/>
    <m/>
    <m/>
    <m/>
    <m/>
    <m/>
    <n v="130"/>
    <m/>
    <m/>
    <m/>
    <n v="0"/>
    <n v="0"/>
    <n v="0"/>
    <n v="0"/>
    <n v="0"/>
    <n v="0"/>
    <n v="0"/>
    <n v="0"/>
    <n v="0"/>
    <n v="0"/>
    <n v="0"/>
    <n v="0"/>
    <n v="0"/>
    <n v="0"/>
    <n v="1"/>
    <n v="0"/>
    <n v="0"/>
    <n v="0"/>
    <s v="MMR001CMP210"/>
    <x v="0"/>
    <x v="0"/>
    <s v="P1"/>
    <n v="0"/>
    <m/>
  </r>
  <r>
    <n v="31.433333333333334"/>
    <d v="2014-10-01T00:00:00"/>
    <x v="0"/>
    <s v="Shalom"/>
    <s v="Kachin"/>
    <s v="Waingmaw"/>
    <s v="Qtr. 2 Lhaovo Baptist Church"/>
    <m/>
    <m/>
    <m/>
    <n v="240"/>
    <m/>
    <m/>
    <m/>
    <m/>
    <m/>
    <m/>
    <m/>
    <m/>
    <m/>
    <m/>
    <m/>
    <m/>
    <m/>
    <n v="0"/>
    <n v="0"/>
    <n v="0"/>
    <n v="0"/>
    <n v="0"/>
    <n v="0"/>
    <n v="0"/>
    <n v="0"/>
    <n v="0"/>
    <n v="0"/>
    <n v="0"/>
    <n v="0"/>
    <n v="0"/>
    <n v="0"/>
    <n v="0"/>
    <n v="0"/>
    <n v="0"/>
    <n v="0"/>
    <s v="MMR001CMP032"/>
    <x v="0"/>
    <x v="0"/>
    <s v="P4"/>
    <n v="0"/>
    <m/>
  </r>
  <r>
    <n v="31.433333333333334"/>
    <d v="2014-10-01T00:00:00"/>
    <x v="0"/>
    <s v="Shalom"/>
    <s v="Kachin"/>
    <s v="Waingmaw"/>
    <s v="Qtr. 3 Mu-yin  Baptist Church"/>
    <m/>
    <m/>
    <m/>
    <n v="46"/>
    <m/>
    <m/>
    <m/>
    <m/>
    <m/>
    <m/>
    <m/>
    <m/>
    <m/>
    <m/>
    <m/>
    <m/>
    <m/>
    <n v="0"/>
    <n v="0"/>
    <n v="0"/>
    <n v="0"/>
    <n v="0"/>
    <n v="0"/>
    <n v="0"/>
    <n v="0"/>
    <n v="0"/>
    <n v="0"/>
    <n v="0"/>
    <n v="0"/>
    <n v="0"/>
    <n v="0"/>
    <n v="0"/>
    <n v="0"/>
    <n v="0"/>
    <n v="0"/>
    <s v="MMR001CMP030"/>
    <x v="0"/>
    <x v="0"/>
    <s v="P4"/>
    <n v="0"/>
    <m/>
  </r>
  <r>
    <n v="31.433333333333334"/>
    <d v="2014-10-01T00:00:00"/>
    <x v="0"/>
    <s v="Shalom"/>
    <s v="Kachin"/>
    <s v="Waingmaw"/>
    <s v="Qtr. 4 Monestry (Thargaya Thayett Taw)"/>
    <m/>
    <m/>
    <m/>
    <n v="204"/>
    <m/>
    <m/>
    <m/>
    <m/>
    <m/>
    <m/>
    <m/>
    <m/>
    <m/>
    <m/>
    <m/>
    <m/>
    <m/>
    <n v="0"/>
    <n v="0"/>
    <n v="0"/>
    <n v="0"/>
    <n v="0"/>
    <n v="0"/>
    <n v="0"/>
    <n v="0"/>
    <n v="0"/>
    <n v="0"/>
    <n v="0"/>
    <n v="0"/>
    <n v="0"/>
    <n v="0"/>
    <n v="0"/>
    <n v="0"/>
    <n v="0"/>
    <n v="0"/>
    <s v="MMR001CMP026"/>
    <x v="0"/>
    <x v="0"/>
    <s v="P4"/>
    <n v="0"/>
    <m/>
  </r>
  <r>
    <n v="31.433333333333334"/>
    <d v="2014-10-01T00:00:00"/>
    <x v="0"/>
    <s v="Shalom"/>
    <s v="Kachin"/>
    <s v="Hpakant"/>
    <s v="Rawan Baptist Church, Maw Shan Vil., Seik Mu"/>
    <m/>
    <m/>
    <m/>
    <n v="24"/>
    <m/>
    <m/>
    <m/>
    <m/>
    <m/>
    <m/>
    <m/>
    <m/>
    <m/>
    <m/>
    <m/>
    <m/>
    <m/>
    <n v="0"/>
    <n v="0"/>
    <n v="0"/>
    <n v="0"/>
    <n v="0"/>
    <n v="0"/>
    <n v="0"/>
    <n v="0"/>
    <n v="0"/>
    <n v="0"/>
    <n v="0"/>
    <n v="0"/>
    <n v="0"/>
    <n v="0"/>
    <n v="0"/>
    <n v="0"/>
    <n v="0"/>
    <n v="0"/>
    <s v="MMR001CMP182"/>
    <x v="0"/>
    <x v="0"/>
    <s v="P4"/>
    <n v="0"/>
    <m/>
  </r>
  <r>
    <n v="31.433333333333334"/>
    <d v="2014-10-01T00:00:00"/>
    <x v="0"/>
    <s v="KMSS"/>
    <s v="Kachin"/>
    <s v="Chipwi"/>
    <s v="Saw Zam"/>
    <m/>
    <m/>
    <m/>
    <n v="56"/>
    <m/>
    <m/>
    <m/>
    <m/>
    <m/>
    <m/>
    <m/>
    <m/>
    <m/>
    <n v="56"/>
    <m/>
    <m/>
    <m/>
    <n v="0"/>
    <n v="0"/>
    <n v="0"/>
    <n v="0"/>
    <n v="0"/>
    <n v="0"/>
    <n v="0"/>
    <n v="0"/>
    <n v="0"/>
    <n v="0"/>
    <n v="0"/>
    <n v="0"/>
    <n v="0"/>
    <n v="0"/>
    <n v="1"/>
    <n v="0"/>
    <n v="0"/>
    <n v="0"/>
    <s v="MMR001CMP225"/>
    <x v="0"/>
    <x v="0"/>
    <s v="P1"/>
    <n v="0"/>
    <m/>
  </r>
  <r>
    <n v="31.433333333333334"/>
    <d v="2014-10-01T00:00:00"/>
    <x v="0"/>
    <s v="Shalom"/>
    <s v="Kachin"/>
    <s v="Myitkyina"/>
    <s v="Shatapru Thida Aye Baptist Church"/>
    <m/>
    <m/>
    <m/>
    <n v="30"/>
    <m/>
    <m/>
    <m/>
    <m/>
    <m/>
    <m/>
    <m/>
    <m/>
    <m/>
    <m/>
    <m/>
    <m/>
    <m/>
    <n v="0"/>
    <n v="0"/>
    <n v="0"/>
    <n v="0"/>
    <n v="0"/>
    <n v="0"/>
    <n v="0"/>
    <n v="0"/>
    <n v="0"/>
    <n v="0"/>
    <n v="0"/>
    <n v="0"/>
    <n v="0"/>
    <n v="0"/>
    <n v="0"/>
    <n v="0"/>
    <n v="0"/>
    <n v="0"/>
    <s v="MMR001CMP007"/>
    <x v="0"/>
    <x v="0"/>
    <s v="P4"/>
    <n v="0"/>
    <m/>
  </r>
  <r>
    <n v="31.433333333333334"/>
    <d v="2014-10-01T00:00:00"/>
    <x v="0"/>
    <s v="KMSS"/>
    <s v="Kachin"/>
    <s v="Mohnyin"/>
    <s v="St. Patrick Catholic Church "/>
    <m/>
    <m/>
    <m/>
    <n v="24"/>
    <m/>
    <m/>
    <m/>
    <m/>
    <m/>
    <m/>
    <m/>
    <m/>
    <m/>
    <m/>
    <m/>
    <m/>
    <m/>
    <n v="0"/>
    <n v="0"/>
    <n v="0"/>
    <n v="0"/>
    <n v="0"/>
    <n v="0"/>
    <n v="0"/>
    <n v="0"/>
    <n v="0"/>
    <n v="0"/>
    <n v="0"/>
    <n v="0"/>
    <n v="0"/>
    <n v="0"/>
    <n v="0"/>
    <n v="0"/>
    <n v="0"/>
    <n v="0"/>
    <s v="MMR001CMP080"/>
    <x v="0"/>
    <x v="0"/>
    <s v="P4"/>
    <n v="0"/>
    <m/>
  </r>
  <r>
    <n v="31.433333333333334"/>
    <d v="2014-10-01T00:00:00"/>
    <x v="0"/>
    <s v="Shalom"/>
    <s v="Kachin"/>
    <s v="Myitkyina"/>
    <s v="Tat Kone Emanuel Church"/>
    <m/>
    <m/>
    <m/>
    <n v="26"/>
    <m/>
    <m/>
    <m/>
    <m/>
    <m/>
    <m/>
    <m/>
    <m/>
    <m/>
    <m/>
    <m/>
    <m/>
    <m/>
    <n v="0"/>
    <n v="0"/>
    <n v="0"/>
    <n v="0"/>
    <n v="0"/>
    <n v="0"/>
    <n v="0"/>
    <n v="0"/>
    <n v="0"/>
    <n v="0"/>
    <n v="0"/>
    <n v="0"/>
    <n v="0"/>
    <n v="0"/>
    <n v="0"/>
    <n v="0"/>
    <n v="0"/>
    <n v="0"/>
    <s v="MMR001CMP004"/>
    <x v="0"/>
    <x v="0"/>
    <s v="P4"/>
    <n v="0"/>
    <m/>
  </r>
  <r>
    <n v="31.433333333333334"/>
    <d v="2014-10-01T00:00:00"/>
    <x v="0"/>
    <s v="Shalom"/>
    <s v="Kachin"/>
    <s v="Waingmaw"/>
    <s v="Thargaya Lisu Baptist Church"/>
    <m/>
    <m/>
    <m/>
    <n v="144"/>
    <m/>
    <m/>
    <m/>
    <m/>
    <m/>
    <m/>
    <m/>
    <m/>
    <m/>
    <m/>
    <m/>
    <m/>
    <m/>
    <n v="0"/>
    <n v="0"/>
    <n v="0"/>
    <n v="0"/>
    <n v="0"/>
    <n v="0"/>
    <n v="0"/>
    <n v="0"/>
    <n v="0"/>
    <n v="0"/>
    <n v="0"/>
    <n v="0"/>
    <n v="0"/>
    <n v="0"/>
    <n v="0"/>
    <n v="0"/>
    <n v="0"/>
    <n v="0"/>
    <s v="MMR001CMP037"/>
    <x v="0"/>
    <x v="0"/>
    <s v="P4"/>
    <n v="0"/>
    <m/>
  </r>
  <r>
    <n v="31.433333333333334"/>
    <d v="2014-10-01T00:00:00"/>
    <x v="0"/>
    <s v="Shalom"/>
    <s v="Kachin"/>
    <s v="Waingmaw"/>
    <s v="Waingmaw AG Church"/>
    <m/>
    <m/>
    <m/>
    <n v="150"/>
    <m/>
    <m/>
    <m/>
    <m/>
    <m/>
    <m/>
    <m/>
    <m/>
    <m/>
    <m/>
    <m/>
    <m/>
    <m/>
    <n v="0"/>
    <n v="0"/>
    <n v="0"/>
    <n v="0"/>
    <n v="0"/>
    <n v="0"/>
    <n v="0"/>
    <n v="0"/>
    <n v="0"/>
    <n v="0"/>
    <n v="0"/>
    <n v="0"/>
    <n v="0"/>
    <n v="0"/>
    <n v="0"/>
    <n v="0"/>
    <n v="0"/>
    <n v="0"/>
    <s v="MMR001CMP038"/>
    <x v="0"/>
    <x v="0"/>
    <s v="P4"/>
    <n v="0"/>
    <m/>
  </r>
  <r>
    <n v="31.433333333333334"/>
    <d v="2014-10-01T00:00:00"/>
    <x v="0"/>
    <s v="Shalom"/>
    <s v="Kachin"/>
    <s v="Myitkyina"/>
    <s v="Wun Tho Buddhist Monastery"/>
    <m/>
    <m/>
    <m/>
    <n v="12"/>
    <m/>
    <m/>
    <m/>
    <m/>
    <m/>
    <m/>
    <m/>
    <m/>
    <m/>
    <m/>
    <m/>
    <m/>
    <m/>
    <n v="0"/>
    <n v="0"/>
    <n v="0"/>
    <n v="0"/>
    <n v="0"/>
    <n v="0"/>
    <n v="0"/>
    <n v="0"/>
    <n v="0"/>
    <n v="0"/>
    <n v="0"/>
    <n v="0"/>
    <n v="0"/>
    <n v="0"/>
    <n v="0"/>
    <n v="0"/>
    <n v="0"/>
    <n v="0"/>
    <s v="MMR001CMP022"/>
    <x v="0"/>
    <x v="0"/>
    <s v="P4"/>
    <n v="0"/>
    <m/>
  </r>
  <r>
    <n v="31.133333333333333"/>
    <d v="2014-10-10T00:00:00"/>
    <x v="0"/>
    <m/>
    <s v="Kachin"/>
    <s v="Momauk"/>
    <s v="Loi Je Baptist Church"/>
    <m/>
    <m/>
    <m/>
    <m/>
    <n v="60"/>
    <m/>
    <m/>
    <m/>
    <m/>
    <m/>
    <m/>
    <m/>
    <m/>
    <m/>
    <m/>
    <m/>
    <m/>
    <n v="0"/>
    <n v="0"/>
    <n v="0"/>
    <n v="0"/>
    <n v="0"/>
    <n v="0"/>
    <n v="0"/>
    <n v="0"/>
    <n v="0"/>
    <n v="0"/>
    <n v="0"/>
    <n v="0"/>
    <n v="0"/>
    <n v="0"/>
    <n v="0"/>
    <n v="0"/>
    <n v="0"/>
    <n v="0"/>
    <s v="MMR001CMP071"/>
    <x v="0"/>
    <x v="0"/>
    <s v="P3"/>
    <n v="0"/>
    <m/>
  </r>
  <r>
    <n v="31.133333333333333"/>
    <d v="2014-10-10T00:00:00"/>
    <x v="0"/>
    <m/>
    <s v="Kachin"/>
    <s v="Momauk"/>
    <s v="Loi Je Lisu Camp"/>
    <m/>
    <m/>
    <m/>
    <m/>
    <n v="30"/>
    <m/>
    <m/>
    <m/>
    <m/>
    <m/>
    <m/>
    <m/>
    <m/>
    <m/>
    <m/>
    <m/>
    <m/>
    <n v="0"/>
    <n v="0"/>
    <n v="0"/>
    <n v="0"/>
    <n v="0"/>
    <n v="0"/>
    <n v="0"/>
    <n v="0"/>
    <n v="0"/>
    <n v="0"/>
    <n v="0"/>
    <n v="0"/>
    <n v="0"/>
    <n v="0"/>
    <n v="0"/>
    <n v="0"/>
    <n v="0"/>
    <n v="0"/>
    <s v="MMR001CMP070"/>
    <x v="0"/>
    <x v="0"/>
    <s v="P3"/>
    <n v="0"/>
    <m/>
  </r>
  <r>
    <n v="31.133333333333333"/>
    <d v="2014-10-10T00:00:00"/>
    <x v="0"/>
    <m/>
    <s v="Kachin"/>
    <s v="Momauk"/>
    <s v="Nyaung Na Pin "/>
    <m/>
    <m/>
    <m/>
    <m/>
    <n v="60"/>
    <m/>
    <m/>
    <m/>
    <m/>
    <m/>
    <m/>
    <m/>
    <m/>
    <m/>
    <m/>
    <m/>
    <m/>
    <n v="0"/>
    <n v="0"/>
    <n v="0"/>
    <n v="0"/>
    <n v="0"/>
    <n v="0"/>
    <n v="0"/>
    <n v="0"/>
    <n v="0"/>
    <n v="0"/>
    <n v="0"/>
    <n v="0"/>
    <n v="0"/>
    <n v="0"/>
    <n v="0"/>
    <n v="0"/>
    <n v="0"/>
    <n v="0"/>
    <s v="MMR001CMP072"/>
    <x v="0"/>
    <x v="0"/>
    <s v="P3"/>
    <n v="0"/>
    <m/>
  </r>
  <r>
    <n v="31.066666666666666"/>
    <d v="2014-10-12T00:00:00"/>
    <x v="0"/>
    <m/>
    <s v="Kachin"/>
    <s v="Momauk"/>
    <s v="Man Bung Catholic compound"/>
    <m/>
    <m/>
    <m/>
    <m/>
    <n v="25"/>
    <m/>
    <m/>
    <m/>
    <m/>
    <m/>
    <m/>
    <m/>
    <m/>
    <m/>
    <m/>
    <m/>
    <m/>
    <n v="0"/>
    <n v="0"/>
    <n v="0"/>
    <n v="0"/>
    <n v="0"/>
    <n v="0"/>
    <n v="0"/>
    <n v="0"/>
    <n v="0"/>
    <n v="0"/>
    <n v="0"/>
    <n v="0"/>
    <n v="0"/>
    <n v="0"/>
    <n v="0"/>
    <n v="0"/>
    <n v="0"/>
    <n v="0"/>
    <s v="MMR001CMP062"/>
    <x v="0"/>
    <x v="0"/>
    <s v="P4"/>
    <n v="0"/>
    <m/>
  </r>
  <r>
    <n v="30.633333333333333"/>
    <d v="2014-10-25T00:00:00"/>
    <x v="9"/>
    <s v="MRCS"/>
    <s v="Kachin"/>
    <s v="Hpakant"/>
    <s v="5 Ward Baptist Church(lon Khin)"/>
    <m/>
    <m/>
    <m/>
    <m/>
    <m/>
    <m/>
    <m/>
    <m/>
    <m/>
    <m/>
    <n v="229"/>
    <n v="126"/>
    <m/>
    <m/>
    <m/>
    <m/>
    <m/>
    <n v="0"/>
    <n v="0"/>
    <n v="0"/>
    <n v="0"/>
    <n v="0"/>
    <n v="0"/>
    <n v="0"/>
    <n v="0"/>
    <n v="0"/>
    <n v="0"/>
    <n v="0"/>
    <n v="0"/>
    <n v="0"/>
    <n v="0"/>
    <n v="1"/>
    <n v="0"/>
    <n v="0"/>
    <n v="0"/>
    <s v="MMR001CMP179"/>
    <x v="0"/>
    <x v="1"/>
    <s v="P4"/>
    <n v="0"/>
    <m/>
  </r>
  <r>
    <n v="30.633333333333333"/>
    <d v="2014-10-25T00:00:00"/>
    <x v="9"/>
    <s v="MRCS"/>
    <s v="Kachin"/>
    <s v="Hpakant"/>
    <s v="5 Ward RC Church(lon Khin)"/>
    <m/>
    <m/>
    <m/>
    <m/>
    <m/>
    <m/>
    <m/>
    <m/>
    <m/>
    <m/>
    <n v="223"/>
    <n v="96"/>
    <m/>
    <m/>
    <m/>
    <m/>
    <m/>
    <n v="0"/>
    <n v="0"/>
    <n v="0"/>
    <n v="0"/>
    <n v="0"/>
    <n v="0"/>
    <n v="0"/>
    <n v="0"/>
    <n v="0"/>
    <n v="0"/>
    <n v="0"/>
    <n v="0"/>
    <n v="0"/>
    <n v="0"/>
    <n v="1"/>
    <n v="0"/>
    <n v="0"/>
    <n v="0"/>
    <s v="MMR001CMP168"/>
    <x v="0"/>
    <x v="0"/>
    <s v="P4"/>
    <n v="0"/>
    <m/>
  </r>
  <r>
    <n v="30.633333333333333"/>
    <d v="2014-10-25T00:00:00"/>
    <x v="9"/>
    <s v="MRCS"/>
    <s v="Kachin"/>
    <s v="Hpakant"/>
    <s v="AG Church, Hmaw Si Sa"/>
    <m/>
    <m/>
    <m/>
    <m/>
    <m/>
    <m/>
    <m/>
    <m/>
    <m/>
    <m/>
    <n v="232"/>
    <n v="105"/>
    <m/>
    <m/>
    <m/>
    <m/>
    <m/>
    <n v="0"/>
    <n v="0"/>
    <n v="0"/>
    <n v="0"/>
    <n v="0"/>
    <n v="0"/>
    <n v="0"/>
    <n v="0"/>
    <n v="0"/>
    <n v="0"/>
    <n v="0"/>
    <n v="0"/>
    <n v="0"/>
    <n v="0"/>
    <n v="1"/>
    <n v="0"/>
    <n v="0"/>
    <n v="0"/>
    <s v="MMR001CMP176"/>
    <x v="0"/>
    <x v="0"/>
    <s v="P4"/>
    <n v="0"/>
    <m/>
  </r>
  <r>
    <n v="30.633333333333333"/>
    <d v="2014-10-25T00:00:00"/>
    <x v="9"/>
    <s v="MRCS"/>
    <s v="Kachin"/>
    <s v="Hpakant"/>
    <s v="AG Church, Maw Wan"/>
    <m/>
    <m/>
    <m/>
    <m/>
    <m/>
    <m/>
    <m/>
    <m/>
    <m/>
    <m/>
    <n v="55"/>
    <n v="27"/>
    <m/>
    <m/>
    <m/>
    <m/>
    <m/>
    <n v="0"/>
    <n v="0"/>
    <n v="0"/>
    <n v="0"/>
    <n v="0"/>
    <n v="0"/>
    <n v="0"/>
    <n v="0"/>
    <n v="0"/>
    <n v="0"/>
    <n v="0"/>
    <n v="0"/>
    <n v="0"/>
    <n v="0"/>
    <n v="1"/>
    <n v="0"/>
    <n v="0"/>
    <n v="0"/>
    <s v="MMR001CMP190"/>
    <x v="0"/>
    <x v="0"/>
    <s v="P4"/>
    <n v="0"/>
    <m/>
  </r>
  <r>
    <n v="30.633333333333333"/>
    <d v="2014-10-25T00:00:00"/>
    <x v="9"/>
    <s v="MRCS"/>
    <s v="Kachin"/>
    <s v="Hpakant"/>
    <s v="Baptist Church, Naung Hmee VT"/>
    <m/>
    <m/>
    <m/>
    <m/>
    <m/>
    <m/>
    <m/>
    <m/>
    <m/>
    <m/>
    <n v="48"/>
    <n v="30"/>
    <m/>
    <m/>
    <m/>
    <m/>
    <m/>
    <n v="0"/>
    <n v="0"/>
    <n v="0"/>
    <n v="0"/>
    <n v="0"/>
    <n v="0"/>
    <n v="0"/>
    <n v="0"/>
    <n v="0"/>
    <n v="0"/>
    <n v="0"/>
    <n v="0"/>
    <n v="0"/>
    <n v="0"/>
    <n v="1"/>
    <n v="0"/>
    <n v="0"/>
    <n v="0"/>
    <s v="MMR001CMP188"/>
    <x v="0"/>
    <x v="1"/>
    <s v="P4"/>
    <s v=""/>
    <m/>
  </r>
  <r>
    <n v="30.633333333333333"/>
    <d v="2014-10-25T00:00:00"/>
    <x v="9"/>
    <s v="MRCS"/>
    <s v="Kachin"/>
    <s v="Hpakant"/>
    <s v="Baptist Church, Hmaw Si Sar(Lon Khin)"/>
    <m/>
    <m/>
    <m/>
    <m/>
    <m/>
    <m/>
    <m/>
    <m/>
    <m/>
    <m/>
    <n v="123"/>
    <n v="104"/>
    <m/>
    <m/>
    <m/>
    <m/>
    <m/>
    <n v="0"/>
    <n v="0"/>
    <n v="0"/>
    <n v="0"/>
    <n v="0"/>
    <n v="0"/>
    <n v="0"/>
    <n v="0"/>
    <n v="0"/>
    <n v="0"/>
    <n v="0"/>
    <n v="0"/>
    <n v="0"/>
    <n v="0"/>
    <n v="1"/>
    <n v="0"/>
    <n v="0"/>
    <n v="0"/>
    <s v="MMR001CMP169"/>
    <x v="0"/>
    <x v="0"/>
    <s v="P4"/>
    <n v="0"/>
    <m/>
  </r>
  <r>
    <n v="30.633333333333333"/>
    <d v="2014-10-25T00:00:00"/>
    <x v="9"/>
    <s v="MRCS"/>
    <s v="Kachin"/>
    <s v="Hpakant"/>
    <s v="Chin Church, Seik Mu"/>
    <m/>
    <m/>
    <m/>
    <m/>
    <m/>
    <m/>
    <m/>
    <m/>
    <m/>
    <m/>
    <n v="15"/>
    <n v="10"/>
    <m/>
    <m/>
    <m/>
    <m/>
    <m/>
    <n v="0"/>
    <n v="0"/>
    <n v="0"/>
    <n v="0"/>
    <n v="0"/>
    <n v="0"/>
    <n v="0"/>
    <n v="0"/>
    <n v="0"/>
    <n v="0"/>
    <n v="0"/>
    <n v="0"/>
    <n v="0"/>
    <n v="0"/>
    <n v="1"/>
    <n v="0"/>
    <n v="0"/>
    <n v="0"/>
    <s v="MMR001CMP109"/>
    <x v="0"/>
    <x v="0"/>
    <s v="P4"/>
    <n v="0"/>
    <m/>
  </r>
  <r>
    <n v="30.633333333333333"/>
    <d v="2014-10-25T00:00:00"/>
    <x v="9"/>
    <s v="MRCS"/>
    <s v="Kachin"/>
    <s v="Hpakant"/>
    <s v="Dhama Rakhita, Nyein Chan Tar Yar Ward(Lon Khin)"/>
    <m/>
    <m/>
    <m/>
    <m/>
    <m/>
    <m/>
    <m/>
    <m/>
    <m/>
    <m/>
    <n v="214"/>
    <n v="112"/>
    <m/>
    <m/>
    <m/>
    <m/>
    <m/>
    <n v="0"/>
    <n v="0"/>
    <n v="0"/>
    <n v="0"/>
    <n v="0"/>
    <n v="0"/>
    <n v="0"/>
    <n v="0"/>
    <n v="0"/>
    <n v="0"/>
    <n v="0"/>
    <n v="0"/>
    <n v="0"/>
    <n v="0"/>
    <n v="1"/>
    <n v="0"/>
    <n v="0"/>
    <n v="0"/>
    <s v="MMR001CMP174"/>
    <x v="0"/>
    <x v="0"/>
    <s v="P4"/>
    <n v="0"/>
    <m/>
  </r>
  <r>
    <n v="30.633333333333333"/>
    <d v="2014-10-25T00:00:00"/>
    <x v="9"/>
    <s v="MRCS"/>
    <s v="Kachin"/>
    <s v="Hpakant"/>
    <s v="Hlaing Naung Baptist"/>
    <m/>
    <m/>
    <m/>
    <m/>
    <m/>
    <m/>
    <m/>
    <m/>
    <m/>
    <m/>
    <n v="37"/>
    <n v="24"/>
    <m/>
    <m/>
    <m/>
    <m/>
    <m/>
    <n v="0"/>
    <n v="0"/>
    <n v="0"/>
    <n v="0"/>
    <n v="0"/>
    <n v="0"/>
    <n v="0"/>
    <n v="0"/>
    <n v="0"/>
    <n v="0"/>
    <n v="0"/>
    <n v="0"/>
    <n v="0"/>
    <n v="0"/>
    <n v="1"/>
    <n v="0"/>
    <n v="0"/>
    <n v="0"/>
    <s v="MMR001CMP148"/>
    <x v="0"/>
    <x v="0"/>
    <s v="P4"/>
    <n v="0"/>
    <m/>
  </r>
  <r>
    <n v="30.633333333333333"/>
    <d v="2014-10-25T00:00:00"/>
    <x v="9"/>
    <s v="MRCS"/>
    <s v="Kachin"/>
    <s v="Hpakant"/>
    <s v="Hmaw Wan, Anglican"/>
    <m/>
    <m/>
    <m/>
    <m/>
    <m/>
    <m/>
    <m/>
    <m/>
    <m/>
    <m/>
    <n v="33"/>
    <n v="24"/>
    <m/>
    <m/>
    <m/>
    <m/>
    <m/>
    <n v="0"/>
    <n v="0"/>
    <n v="0"/>
    <n v="0"/>
    <n v="0"/>
    <n v="0"/>
    <n v="0"/>
    <n v="0"/>
    <n v="0"/>
    <n v="0"/>
    <n v="0"/>
    <n v="0"/>
    <n v="0"/>
    <n v="0"/>
    <n v="1"/>
    <n v="0"/>
    <n v="0"/>
    <n v="0"/>
    <s v="MMR001CMP191"/>
    <x v="0"/>
    <x v="0"/>
    <s v="P4"/>
    <n v="0"/>
    <m/>
  </r>
  <r>
    <n v="30.633333333333333"/>
    <d v="2014-10-25T00:00:00"/>
    <x v="9"/>
    <s v="MRCS"/>
    <s v="Kachin"/>
    <s v="Hpakant"/>
    <s v="Hpakant Baptist Church, Nam Ma Hpit"/>
    <m/>
    <m/>
    <m/>
    <m/>
    <m/>
    <m/>
    <m/>
    <m/>
    <m/>
    <m/>
    <n v="186"/>
    <n v="125"/>
    <m/>
    <m/>
    <m/>
    <m/>
    <m/>
    <n v="0"/>
    <n v="0"/>
    <n v="0"/>
    <n v="0"/>
    <n v="0"/>
    <n v="0"/>
    <n v="0"/>
    <n v="0"/>
    <n v="0"/>
    <n v="0"/>
    <n v="0"/>
    <n v="0"/>
    <n v="0"/>
    <n v="0"/>
    <n v="1"/>
    <n v="0"/>
    <n v="0"/>
    <n v="0"/>
    <s v="MMR001CMP229"/>
    <x v="0"/>
    <x v="0"/>
    <s v="P4"/>
    <n v="0"/>
    <m/>
  </r>
  <r>
    <n v="30.633333333333333"/>
    <d v="2014-10-25T00:00:00"/>
    <x v="9"/>
    <s v="MRCS"/>
    <s v="Kachin"/>
    <s v="Hpakant"/>
    <s v="Lisu Baptist Church, Maw Shan Vil,. Seik Mu"/>
    <m/>
    <m/>
    <m/>
    <m/>
    <m/>
    <m/>
    <m/>
    <m/>
    <m/>
    <m/>
    <n v="90"/>
    <n v="39"/>
    <m/>
    <m/>
    <m/>
    <m/>
    <m/>
    <n v="0"/>
    <n v="0"/>
    <n v="0"/>
    <n v="0"/>
    <n v="0"/>
    <n v="0"/>
    <n v="0"/>
    <n v="0"/>
    <n v="0"/>
    <n v="0"/>
    <n v="0"/>
    <n v="0"/>
    <n v="0"/>
    <n v="0"/>
    <n v="1"/>
    <n v="0"/>
    <n v="0"/>
    <n v="0"/>
    <s v="MMR001CMP181"/>
    <x v="0"/>
    <x v="0"/>
    <s v="P4"/>
    <n v="0"/>
    <m/>
  </r>
  <r>
    <n v="30.633333333333333"/>
    <d v="2014-10-25T00:00:00"/>
    <x v="9"/>
    <s v="MRCS"/>
    <s v="Kachin"/>
    <s v="Hpakant"/>
    <s v="Lisu Baptist Church, Maw Wan Ward"/>
    <m/>
    <m/>
    <m/>
    <m/>
    <m/>
    <m/>
    <m/>
    <m/>
    <m/>
    <m/>
    <n v="48"/>
    <n v="23"/>
    <m/>
    <m/>
    <m/>
    <m/>
    <m/>
    <n v="0"/>
    <n v="0"/>
    <n v="0"/>
    <n v="0"/>
    <n v="0"/>
    <n v="0"/>
    <n v="0"/>
    <n v="0"/>
    <n v="0"/>
    <n v="0"/>
    <n v="0"/>
    <n v="0"/>
    <n v="0"/>
    <n v="0"/>
    <n v="1"/>
    <n v="0"/>
    <n v="0"/>
    <n v="0"/>
    <s v="MMR001CMP167"/>
    <x v="0"/>
    <x v="0"/>
    <s v="P4"/>
    <n v="0"/>
    <m/>
  </r>
  <r>
    <n v="30.633333333333333"/>
    <d v="2014-10-25T00:00:00"/>
    <x v="9"/>
    <s v="MRCS"/>
    <s v="Kachin"/>
    <s v="Momauk"/>
    <s v="Loi Je Baptist Church"/>
    <m/>
    <m/>
    <m/>
    <m/>
    <m/>
    <m/>
    <m/>
    <m/>
    <m/>
    <m/>
    <n v="112"/>
    <n v="59"/>
    <m/>
    <n v="74"/>
    <m/>
    <m/>
    <m/>
    <n v="0"/>
    <n v="0"/>
    <n v="0"/>
    <n v="0"/>
    <n v="0"/>
    <n v="0"/>
    <n v="0"/>
    <n v="0"/>
    <n v="0"/>
    <n v="0"/>
    <n v="0"/>
    <n v="0"/>
    <n v="0"/>
    <n v="0"/>
    <n v="1"/>
    <n v="0"/>
    <n v="0"/>
    <n v="0"/>
    <s v="MMR001CMP071"/>
    <x v="0"/>
    <x v="0"/>
    <s v="P3"/>
    <n v="0"/>
    <m/>
  </r>
  <r>
    <n v="30.633333333333333"/>
    <d v="2014-10-25T00:00:00"/>
    <x v="9"/>
    <s v="MRCS"/>
    <s v="Kachin"/>
    <s v="Momauk"/>
    <s v="Loi Je Catholic Church"/>
    <m/>
    <m/>
    <m/>
    <m/>
    <m/>
    <m/>
    <m/>
    <m/>
    <m/>
    <m/>
    <n v="203"/>
    <n v="102"/>
    <m/>
    <n v="138"/>
    <m/>
    <m/>
    <m/>
    <n v="0"/>
    <n v="0"/>
    <n v="0"/>
    <n v="0"/>
    <n v="0"/>
    <n v="0"/>
    <n v="0"/>
    <n v="0"/>
    <n v="0"/>
    <n v="0"/>
    <n v="0"/>
    <n v="0"/>
    <n v="0"/>
    <n v="0"/>
    <n v="1"/>
    <n v="0"/>
    <n v="0"/>
    <n v="0"/>
    <s v="MMR001CMP069"/>
    <x v="0"/>
    <x v="0"/>
    <s v="P3"/>
    <n v="0"/>
    <m/>
  </r>
  <r>
    <n v="30.633333333333333"/>
    <d v="2014-10-25T00:00:00"/>
    <x v="9"/>
    <s v="MRCS"/>
    <s v="Kachin"/>
    <s v="Momauk"/>
    <s v="Loi Je Lisu Camp"/>
    <m/>
    <m/>
    <m/>
    <m/>
    <m/>
    <m/>
    <m/>
    <m/>
    <m/>
    <m/>
    <n v="591"/>
    <n v="347"/>
    <m/>
    <n v="311"/>
    <m/>
    <m/>
    <m/>
    <n v="0"/>
    <n v="0"/>
    <n v="0"/>
    <n v="0"/>
    <n v="0"/>
    <n v="0"/>
    <n v="0"/>
    <n v="0"/>
    <n v="0"/>
    <n v="0"/>
    <n v="0"/>
    <n v="0"/>
    <n v="0"/>
    <n v="0"/>
    <n v="1"/>
    <n v="0"/>
    <n v="0"/>
    <n v="0"/>
    <s v="MMR001CMP070"/>
    <x v="0"/>
    <x v="0"/>
    <s v="P3"/>
    <n v="0"/>
    <m/>
  </r>
  <r>
    <n v="30.466666666666665"/>
    <d v="2014-10-30T00:00:00"/>
    <x v="0"/>
    <m/>
    <s v="Kachin"/>
    <s v="Bhamo"/>
    <s v="Aung Thar Church"/>
    <m/>
    <m/>
    <m/>
    <m/>
    <m/>
    <m/>
    <m/>
    <m/>
    <m/>
    <m/>
    <m/>
    <m/>
    <m/>
    <m/>
    <m/>
    <m/>
    <m/>
    <n v="0"/>
    <n v="0"/>
    <n v="0"/>
    <n v="0"/>
    <n v="0"/>
    <n v="0"/>
    <n v="0"/>
    <n v="0"/>
    <n v="0"/>
    <n v="0"/>
    <n v="0"/>
    <n v="0"/>
    <n v="0"/>
    <n v="0"/>
    <n v="0"/>
    <n v="0"/>
    <n v="0"/>
    <n v="0"/>
    <s v="MMR001CMP194"/>
    <x v="0"/>
    <x v="0"/>
    <s v="P4"/>
    <n v="0"/>
    <m/>
  </r>
  <r>
    <n v="30.433333333333334"/>
    <d v="2014-10-31T00:00:00"/>
    <x v="0"/>
    <m/>
    <s v="Kachin"/>
    <s v="Hpakant"/>
    <s v="5 Ward Baptist Church(lon Khin)"/>
    <m/>
    <m/>
    <n v="77"/>
    <n v="154"/>
    <n v="77"/>
    <n v="154"/>
    <n v="77"/>
    <m/>
    <n v="77"/>
    <n v="385"/>
    <m/>
    <m/>
    <m/>
    <m/>
    <m/>
    <m/>
    <m/>
    <n v="0"/>
    <n v="0"/>
    <n v="0"/>
    <n v="0"/>
    <n v="0"/>
    <n v="0"/>
    <n v="0"/>
    <n v="0"/>
    <n v="0"/>
    <n v="0"/>
    <n v="0"/>
    <n v="0"/>
    <n v="0"/>
    <n v="0"/>
    <n v="0"/>
    <n v="0"/>
    <n v="0"/>
    <n v="0"/>
    <s v="MMR001CMP179"/>
    <x v="0"/>
    <x v="1"/>
    <s v="P4"/>
    <n v="1.8655360387643853E-3"/>
    <m/>
  </r>
  <r>
    <n v="30.433333333333334"/>
    <d v="2014-10-31T00:00:00"/>
    <x v="0"/>
    <m/>
    <s v="Kachin"/>
    <s v="Hpakant"/>
    <s v="5 Ward RC Church(lon Khin)"/>
    <m/>
    <m/>
    <n v="59"/>
    <n v="118"/>
    <n v="59"/>
    <n v="118"/>
    <n v="59"/>
    <m/>
    <n v="59"/>
    <n v="295"/>
    <m/>
    <m/>
    <m/>
    <m/>
    <m/>
    <m/>
    <m/>
    <n v="0"/>
    <n v="0"/>
    <n v="0"/>
    <n v="0"/>
    <n v="0"/>
    <n v="0"/>
    <n v="0"/>
    <n v="0"/>
    <n v="0"/>
    <n v="0"/>
    <n v="0"/>
    <n v="0"/>
    <n v="0"/>
    <n v="0"/>
    <n v="0"/>
    <n v="0"/>
    <n v="0"/>
    <n v="0"/>
    <s v="MMR001CMP168"/>
    <x v="0"/>
    <x v="0"/>
    <s v="P4"/>
    <n v="1.4294367050272563E-3"/>
    <m/>
  </r>
  <r>
    <n v="30.433333333333334"/>
    <d v="2014-10-31T00:00:00"/>
    <x v="0"/>
    <m/>
    <s v="Kachin"/>
    <s v="Hpakant"/>
    <s v="AG Church, Hmaw Si Sa"/>
    <m/>
    <m/>
    <n v="67"/>
    <n v="134"/>
    <n v="67"/>
    <n v="134"/>
    <n v="67"/>
    <m/>
    <n v="67"/>
    <n v="335"/>
    <m/>
    <m/>
    <m/>
    <m/>
    <m/>
    <m/>
    <m/>
    <n v="0"/>
    <n v="0"/>
    <n v="0"/>
    <n v="0"/>
    <n v="0"/>
    <n v="0"/>
    <n v="0"/>
    <n v="0"/>
    <n v="0"/>
    <n v="0"/>
    <n v="0"/>
    <n v="0"/>
    <n v="0"/>
    <n v="0"/>
    <n v="0"/>
    <n v="0"/>
    <n v="0"/>
    <n v="0"/>
    <s v="MMR001CMP176"/>
    <x v="0"/>
    <x v="0"/>
    <s v="P4"/>
    <n v="1.6232586311326468E-3"/>
    <m/>
  </r>
  <r>
    <n v="30.433333333333334"/>
    <d v="2014-10-31T00:00:00"/>
    <x v="0"/>
    <m/>
    <s v="Kachin"/>
    <s v="Hpakant"/>
    <s v="AG Church, Maw Wan"/>
    <m/>
    <m/>
    <n v="14"/>
    <n v="28"/>
    <n v="14"/>
    <n v="28"/>
    <n v="14"/>
    <m/>
    <n v="14"/>
    <n v="70"/>
    <m/>
    <m/>
    <m/>
    <m/>
    <m/>
    <m/>
    <m/>
    <n v="0"/>
    <n v="0"/>
    <n v="0"/>
    <n v="0"/>
    <n v="0"/>
    <n v="0"/>
    <n v="0"/>
    <n v="0"/>
    <n v="0"/>
    <n v="0"/>
    <n v="0"/>
    <n v="0"/>
    <n v="0"/>
    <n v="0"/>
    <n v="0"/>
    <n v="0"/>
    <n v="0"/>
    <n v="0"/>
    <s v="MMR001CMP190"/>
    <x v="0"/>
    <x v="0"/>
    <s v="P4"/>
    <n v="3.391883706844337E-4"/>
    <m/>
  </r>
  <r>
    <n v="30.433333333333334"/>
    <d v="2014-10-31T00:00:00"/>
    <x v="9"/>
    <s v="MRCS"/>
    <s v="Kachin"/>
    <s v="Machanbaw"/>
    <s v="Machanbaw - KBC"/>
    <m/>
    <m/>
    <m/>
    <m/>
    <m/>
    <m/>
    <m/>
    <m/>
    <m/>
    <m/>
    <n v="20"/>
    <n v="8"/>
    <m/>
    <m/>
    <m/>
    <m/>
    <m/>
    <n v="0"/>
    <n v="0"/>
    <n v="0"/>
    <n v="0"/>
    <n v="0"/>
    <n v="0"/>
    <n v="0"/>
    <n v="0"/>
    <n v="0"/>
    <n v="0"/>
    <n v="0"/>
    <n v="0"/>
    <n v="0"/>
    <n v="0"/>
    <n v="1"/>
    <n v="0"/>
    <n v="0"/>
    <n v="0"/>
    <s v="MMR001CMP221"/>
    <x v="0"/>
    <x v="1"/>
    <s v="P3"/>
    <n v="0"/>
    <m/>
  </r>
  <r>
    <n v="30.433333333333334"/>
    <d v="2014-10-31T00:00:00"/>
    <x v="0"/>
    <m/>
    <s v="Kachin"/>
    <s v="Hpakant"/>
    <s v="Baptist Church, Hmaw Si Sar(Lon Khin)"/>
    <m/>
    <m/>
    <n v="38"/>
    <n v="76"/>
    <n v="38"/>
    <n v="76"/>
    <n v="38"/>
    <m/>
    <n v="38"/>
    <n v="190"/>
    <m/>
    <m/>
    <m/>
    <m/>
    <m/>
    <m/>
    <m/>
    <n v="0"/>
    <n v="0"/>
    <n v="0"/>
    <n v="0"/>
    <n v="0"/>
    <n v="0"/>
    <n v="0"/>
    <n v="0"/>
    <n v="0"/>
    <n v="0"/>
    <n v="0"/>
    <n v="0"/>
    <n v="0"/>
    <n v="0"/>
    <n v="0"/>
    <n v="0"/>
    <n v="0"/>
    <n v="0"/>
    <s v="MMR001CMP169"/>
    <x v="0"/>
    <x v="0"/>
    <s v="P4"/>
    <n v="9.2065414900060572E-4"/>
    <m/>
  </r>
  <r>
    <n v="30.433333333333334"/>
    <d v="2014-10-31T00:00:00"/>
    <x v="0"/>
    <m/>
    <s v="Kachin"/>
    <s v="Hpakant"/>
    <s v="Chin Church, Seik Mu"/>
    <m/>
    <m/>
    <n v="5"/>
    <n v="10"/>
    <n v="5"/>
    <n v="10"/>
    <n v="5"/>
    <m/>
    <n v="5"/>
    <n v="25"/>
    <m/>
    <m/>
    <m/>
    <m/>
    <m/>
    <m/>
    <m/>
    <n v="0"/>
    <n v="0"/>
    <n v="0"/>
    <n v="0"/>
    <n v="0"/>
    <n v="0"/>
    <n v="0"/>
    <n v="0"/>
    <n v="0"/>
    <n v="0"/>
    <n v="0"/>
    <n v="0"/>
    <n v="0"/>
    <n v="0"/>
    <n v="0"/>
    <n v="0"/>
    <n v="0"/>
    <n v="0"/>
    <s v="MMR001CMP109"/>
    <x v="0"/>
    <x v="0"/>
    <s v="P4"/>
    <n v="1.2051968086388508E-4"/>
    <m/>
  </r>
  <r>
    <n v="30.433333333333334"/>
    <d v="2014-10-31T00:00:00"/>
    <x v="0"/>
    <m/>
    <s v="Kachin"/>
    <s v="Hpakant"/>
    <s v="Dhama Rakhita, Nyein Chan Tar Yar Ward(Lon Khin)"/>
    <m/>
    <m/>
    <n v="67"/>
    <n v="134"/>
    <n v="67"/>
    <n v="134"/>
    <n v="67"/>
    <m/>
    <n v="67"/>
    <n v="335"/>
    <m/>
    <m/>
    <m/>
    <m/>
    <m/>
    <m/>
    <m/>
    <n v="0"/>
    <n v="0"/>
    <n v="0"/>
    <n v="0"/>
    <n v="0"/>
    <n v="0"/>
    <n v="0"/>
    <n v="0"/>
    <n v="0"/>
    <n v="0"/>
    <n v="0"/>
    <n v="0"/>
    <n v="0"/>
    <n v="0"/>
    <n v="0"/>
    <n v="0"/>
    <n v="0"/>
    <n v="0"/>
    <s v="MMR001CMP174"/>
    <x v="0"/>
    <x v="0"/>
    <s v="P4"/>
    <n v="1.6232586311326468E-3"/>
    <m/>
  </r>
  <r>
    <n v="30.433333333333334"/>
    <d v="2014-10-31T00:00:00"/>
    <x v="0"/>
    <m/>
    <s v="Kachin"/>
    <s v="Hpakant"/>
    <s v="Hmaw Wan, Anglican"/>
    <m/>
    <m/>
    <n v="10"/>
    <n v="20"/>
    <n v="10"/>
    <n v="20"/>
    <n v="10"/>
    <m/>
    <n v="10"/>
    <n v="50"/>
    <m/>
    <m/>
    <m/>
    <m/>
    <m/>
    <m/>
    <m/>
    <n v="0"/>
    <n v="0"/>
    <n v="0"/>
    <n v="0"/>
    <n v="0"/>
    <n v="0"/>
    <n v="0"/>
    <n v="0"/>
    <n v="0"/>
    <n v="0"/>
    <n v="0"/>
    <n v="0"/>
    <n v="0"/>
    <n v="0"/>
    <n v="0"/>
    <n v="0"/>
    <n v="0"/>
    <n v="0"/>
    <s v="MMR001CMP191"/>
    <x v="0"/>
    <x v="0"/>
    <s v="P4"/>
    <n v="2.431788337143135E-4"/>
    <m/>
  </r>
  <r>
    <n v="30.433333333333334"/>
    <d v="2014-10-31T00:00:00"/>
    <x v="0"/>
    <m/>
    <s v="Kachin"/>
    <s v="Hpakant"/>
    <s v="Hpakant Baptist Church, Nam Ma Hpit"/>
    <m/>
    <m/>
    <n v="64"/>
    <n v="128"/>
    <n v="64"/>
    <n v="128"/>
    <n v="64"/>
    <m/>
    <n v="64"/>
    <n v="320"/>
    <m/>
    <m/>
    <m/>
    <m/>
    <m/>
    <m/>
    <m/>
    <n v="0"/>
    <n v="0"/>
    <n v="0"/>
    <n v="0"/>
    <n v="0"/>
    <n v="0"/>
    <n v="0"/>
    <n v="0"/>
    <n v="0"/>
    <n v="0"/>
    <n v="0"/>
    <n v="0"/>
    <n v="0"/>
    <n v="0"/>
    <n v="0"/>
    <n v="0"/>
    <n v="0"/>
    <n v="0"/>
    <s v="MMR001CMP229"/>
    <x v="0"/>
    <x v="0"/>
    <s v="P4"/>
    <n v="1.5563445357716064E-3"/>
    <m/>
  </r>
  <r>
    <n v="30.433333333333334"/>
    <d v="2014-10-31T00:00:00"/>
    <x v="0"/>
    <m/>
    <s v="Kachin"/>
    <s v="Hpakant"/>
    <s v="Lisu Baptist Church, Maw Shan Vil,. Seik Mu"/>
    <m/>
    <m/>
    <n v="25"/>
    <n v="50"/>
    <n v="25"/>
    <n v="50"/>
    <n v="25"/>
    <m/>
    <n v="25"/>
    <n v="125"/>
    <m/>
    <m/>
    <m/>
    <m/>
    <m/>
    <m/>
    <m/>
    <n v="0"/>
    <n v="0"/>
    <n v="0"/>
    <n v="0"/>
    <n v="0"/>
    <n v="0"/>
    <n v="0"/>
    <n v="0"/>
    <n v="0"/>
    <n v="0"/>
    <n v="0"/>
    <n v="0"/>
    <n v="0"/>
    <n v="0"/>
    <n v="0"/>
    <n v="0"/>
    <n v="0"/>
    <n v="0"/>
    <s v="MMR001CMP181"/>
    <x v="0"/>
    <x v="0"/>
    <s v="P4"/>
    <n v="6.0569351907934583E-4"/>
    <m/>
  </r>
  <r>
    <n v="30.433333333333334"/>
    <d v="2014-10-31T00:00:00"/>
    <x v="0"/>
    <m/>
    <s v="Kachin"/>
    <s v="Hpakant"/>
    <s v="Lisu Baptist Church, Maw Wan Ward"/>
    <m/>
    <m/>
    <n v="15"/>
    <n v="30"/>
    <n v="15"/>
    <n v="30"/>
    <n v="15"/>
    <m/>
    <n v="15"/>
    <n v="75"/>
    <m/>
    <m/>
    <m/>
    <m/>
    <m/>
    <m/>
    <m/>
    <n v="0"/>
    <n v="0"/>
    <n v="0"/>
    <n v="0"/>
    <n v="0"/>
    <n v="0"/>
    <n v="0"/>
    <n v="0"/>
    <n v="0"/>
    <n v="0"/>
    <n v="0"/>
    <n v="0"/>
    <n v="0"/>
    <n v="0"/>
    <n v="0"/>
    <n v="0"/>
    <n v="0"/>
    <n v="0"/>
    <s v="MMR001CMP167"/>
    <x v="0"/>
    <x v="0"/>
    <s v="P4"/>
    <n v="3.6341611144760752E-4"/>
    <m/>
  </r>
  <r>
    <n v="30.433333333333334"/>
    <d v="2014-10-31T00:00:00"/>
    <x v="9"/>
    <s v="MRCS"/>
    <s v="Kachin"/>
    <s v="Hpakant"/>
    <s v="Maw Wan, Mu-yin Baptist Church"/>
    <m/>
    <m/>
    <m/>
    <m/>
    <m/>
    <m/>
    <m/>
    <m/>
    <m/>
    <m/>
    <n v="11"/>
    <n v="15"/>
    <m/>
    <m/>
    <m/>
    <m/>
    <m/>
    <n v="0"/>
    <n v="0"/>
    <n v="0"/>
    <n v="0"/>
    <n v="0"/>
    <n v="0"/>
    <n v="0"/>
    <n v="0"/>
    <n v="0"/>
    <n v="0"/>
    <n v="0"/>
    <n v="0"/>
    <n v="0"/>
    <n v="0"/>
    <n v="1"/>
    <n v="0"/>
    <n v="0"/>
    <n v="0"/>
    <s v="MMR001CMP091"/>
    <x v="0"/>
    <x v="0"/>
    <s v="P4"/>
    <n v="0"/>
    <m/>
  </r>
  <r>
    <n v="30.433333333333334"/>
    <d v="2014-10-31T00:00:00"/>
    <x v="0"/>
    <m/>
    <s v="Kachin"/>
    <s v="Hpakant"/>
    <s v="Maw Wan, Mu-yin Baptist Church"/>
    <m/>
    <m/>
    <n v="5"/>
    <n v="10"/>
    <n v="5"/>
    <n v="10"/>
    <n v="5"/>
    <m/>
    <n v="5"/>
    <n v="25"/>
    <m/>
    <m/>
    <m/>
    <m/>
    <m/>
    <m/>
    <m/>
    <n v="0"/>
    <n v="0"/>
    <n v="0"/>
    <n v="0"/>
    <n v="0"/>
    <n v="0"/>
    <n v="0"/>
    <n v="0"/>
    <n v="0"/>
    <n v="0"/>
    <n v="0"/>
    <n v="0"/>
    <n v="0"/>
    <n v="0"/>
    <n v="0"/>
    <n v="0"/>
    <n v="0"/>
    <n v="0"/>
    <s v="MMR001CMP091"/>
    <x v="0"/>
    <x v="0"/>
    <s v="P4"/>
    <n v="1.2158941685715675E-4"/>
    <m/>
  </r>
  <r>
    <n v="30.433333333333334"/>
    <d v="2014-10-31T00:00:00"/>
    <x v="0"/>
    <m/>
    <s v="Kachin"/>
    <s v="Hpakant"/>
    <s v="Nam Ma Phyit, COC"/>
    <m/>
    <m/>
    <n v="17"/>
    <n v="34"/>
    <n v="17"/>
    <n v="34"/>
    <n v="17"/>
    <m/>
    <n v="17"/>
    <n v="85"/>
    <m/>
    <m/>
    <m/>
    <m/>
    <m/>
    <m/>
    <m/>
    <n v="0"/>
    <n v="0"/>
    <n v="0"/>
    <n v="0"/>
    <n v="0"/>
    <n v="0"/>
    <n v="0"/>
    <n v="0"/>
    <n v="0"/>
    <n v="0"/>
    <n v="0"/>
    <n v="0"/>
    <n v="0"/>
    <n v="0"/>
    <n v="0"/>
    <n v="0"/>
    <n v="0"/>
    <n v="0"/>
    <s v="MMR001CMP192"/>
    <x v="0"/>
    <x v="0"/>
    <s v="P4"/>
    <n v="4.1187159297395516E-4"/>
    <m/>
  </r>
  <r>
    <n v="30.433333333333334"/>
    <d v="2014-10-31T00:00:00"/>
    <x v="0"/>
    <m/>
    <s v="Kachin"/>
    <s v="Hpakant"/>
    <s v="Nant Ma Hpit Catholic Church"/>
    <m/>
    <m/>
    <n v="36"/>
    <n v="72"/>
    <n v="36"/>
    <n v="72"/>
    <n v="36"/>
    <m/>
    <n v="36"/>
    <n v="180"/>
    <m/>
    <m/>
    <m/>
    <m/>
    <m/>
    <m/>
    <m/>
    <n v="0"/>
    <n v="0"/>
    <n v="0"/>
    <n v="0"/>
    <n v="0"/>
    <n v="0"/>
    <n v="0"/>
    <n v="0"/>
    <n v="0"/>
    <n v="0"/>
    <n v="0"/>
    <n v="0"/>
    <n v="0"/>
    <n v="0"/>
    <n v="0"/>
    <n v="0"/>
    <n v="0"/>
    <n v="0"/>
    <s v="MMR001CMP103"/>
    <x v="0"/>
    <x v="0"/>
    <s v="P4"/>
    <n v="8.6774170221997249E-4"/>
    <m/>
  </r>
  <r>
    <n v="30.433333333333334"/>
    <d v="2014-10-31T00:00:00"/>
    <x v="0"/>
    <m/>
    <s v="Kachin"/>
    <s v="Hpakant"/>
    <s v="Rawan Baptist Church, Maw Shan Vil., Seik Mu"/>
    <m/>
    <m/>
    <n v="12"/>
    <n v="24"/>
    <n v="12"/>
    <n v="24"/>
    <n v="12"/>
    <m/>
    <n v="12"/>
    <n v="60"/>
    <m/>
    <m/>
    <m/>
    <m/>
    <m/>
    <m/>
    <m/>
    <n v="0"/>
    <n v="0"/>
    <n v="0"/>
    <n v="0"/>
    <n v="0"/>
    <n v="0"/>
    <n v="0"/>
    <n v="0"/>
    <n v="0"/>
    <n v="0"/>
    <n v="0"/>
    <n v="0"/>
    <n v="0"/>
    <n v="0"/>
    <n v="0"/>
    <n v="0"/>
    <n v="0"/>
    <n v="0"/>
    <s v="MMR001CMP182"/>
    <x v="0"/>
    <x v="0"/>
    <s v="P4"/>
    <n v="2.9073288915808601E-4"/>
    <m/>
  </r>
  <r>
    <n v="30.433333333333334"/>
    <d v="2014-10-31T00:00:00"/>
    <x v="0"/>
    <m/>
    <s v="Kachin"/>
    <s v="Hpakant"/>
    <s v="Sai Nai Baptish Church, Maw Shan Vil., Seki Mu"/>
    <m/>
    <m/>
    <n v="9"/>
    <n v="18"/>
    <n v="9"/>
    <n v="18"/>
    <n v="9"/>
    <m/>
    <n v="9"/>
    <n v="45"/>
    <m/>
    <m/>
    <m/>
    <m/>
    <m/>
    <m/>
    <m/>
    <n v="0"/>
    <n v="0"/>
    <n v="0"/>
    <n v="0"/>
    <n v="0"/>
    <n v="0"/>
    <n v="0"/>
    <n v="0"/>
    <n v="0"/>
    <n v="0"/>
    <n v="0"/>
    <n v="0"/>
    <n v="0"/>
    <n v="0"/>
    <n v="0"/>
    <n v="0"/>
    <n v="0"/>
    <n v="0"/>
    <s v="MMR001CMP183"/>
    <x v="0"/>
    <x v="0"/>
    <s v="P4"/>
    <n v="2.1804966686856452E-4"/>
    <m/>
  </r>
  <r>
    <n v="30.433333333333334"/>
    <d v="2014-10-31T00:00:00"/>
    <x v="0"/>
    <m/>
    <s v="Kachin"/>
    <s v="Hpakant"/>
    <s v="Ward 2 Sai Taung Baptist Church, Seik Mu "/>
    <m/>
    <m/>
    <n v="38"/>
    <n v="76"/>
    <n v="38"/>
    <n v="76"/>
    <n v="38"/>
    <m/>
    <n v="38"/>
    <n v="190"/>
    <m/>
    <m/>
    <m/>
    <m/>
    <m/>
    <m/>
    <m/>
    <n v="0"/>
    <n v="0"/>
    <n v="0"/>
    <n v="0"/>
    <n v="0"/>
    <n v="0"/>
    <n v="0"/>
    <n v="0"/>
    <n v="0"/>
    <n v="0"/>
    <n v="0"/>
    <n v="0"/>
    <n v="0"/>
    <n v="0"/>
    <n v="0"/>
    <n v="0"/>
    <n v="0"/>
    <n v="0"/>
    <s v="MMR001CMP184"/>
    <x v="0"/>
    <x v="0"/>
    <s v="P4"/>
    <n v="9.2065414900060572E-4"/>
    <m/>
  </r>
  <r>
    <n v="30.433333333333334"/>
    <d v="2014-10-31T00:00:00"/>
    <x v="0"/>
    <m/>
    <s v="Kachin"/>
    <s v="Hpakant"/>
    <s v="Yumar Baptist Church"/>
    <m/>
    <m/>
    <n v="10"/>
    <n v="20"/>
    <n v="10"/>
    <n v="20"/>
    <n v="10"/>
    <m/>
    <n v="10"/>
    <n v="50"/>
    <m/>
    <m/>
    <m/>
    <m/>
    <m/>
    <m/>
    <m/>
    <n v="0"/>
    <n v="0"/>
    <n v="0"/>
    <n v="0"/>
    <n v="0"/>
    <n v="0"/>
    <n v="0"/>
    <n v="0"/>
    <n v="0"/>
    <n v="0"/>
    <n v="0"/>
    <n v="0"/>
    <n v="0"/>
    <n v="0"/>
    <n v="0"/>
    <n v="0"/>
    <n v="0"/>
    <n v="0"/>
    <s v="MMR001CMP105"/>
    <x v="0"/>
    <x v="0"/>
    <s v="P4"/>
    <n v="2.431788337143135E-4"/>
    <m/>
  </r>
  <r>
    <n v="30.333333333333332"/>
    <d v="2014-11-03T00:00:00"/>
    <x v="0"/>
    <s v="Shalom"/>
    <s v="Kachin"/>
    <s v="Waingmaw"/>
    <s v="Hkat Cho "/>
    <m/>
    <m/>
    <n v="15"/>
    <n v="30"/>
    <n v="15"/>
    <n v="30"/>
    <n v="15"/>
    <m/>
    <n v="15"/>
    <n v="75"/>
    <m/>
    <m/>
    <m/>
    <m/>
    <m/>
    <m/>
    <m/>
    <n v="0"/>
    <n v="0"/>
    <n v="0"/>
    <n v="0"/>
    <n v="0"/>
    <n v="0"/>
    <n v="0"/>
    <n v="0"/>
    <n v="0"/>
    <n v="0"/>
    <n v="0"/>
    <n v="0"/>
    <n v="0"/>
    <n v="0"/>
    <n v="0"/>
    <n v="0"/>
    <n v="0"/>
    <n v="0"/>
    <s v="MMR001CMP028"/>
    <x v="0"/>
    <x v="0"/>
    <s v="P4"/>
    <n v="3.6859565057132326E-4"/>
    <m/>
  </r>
  <r>
    <n v="30.1"/>
    <d v="2014-11-10T00:00:00"/>
    <x v="9"/>
    <s v="MRCS"/>
    <s v="Kachin"/>
    <s v="Hpakant"/>
    <s v="Nam Ma Phyit, COC"/>
    <m/>
    <m/>
    <m/>
    <m/>
    <m/>
    <m/>
    <m/>
    <m/>
    <m/>
    <m/>
    <n v="50"/>
    <n v="17"/>
    <m/>
    <m/>
    <m/>
    <m/>
    <m/>
    <n v="0"/>
    <n v="0"/>
    <n v="0"/>
    <n v="0"/>
    <n v="0"/>
    <n v="0"/>
    <n v="0"/>
    <n v="0"/>
    <n v="0"/>
    <n v="0"/>
    <n v="0"/>
    <n v="0"/>
    <n v="0"/>
    <n v="0"/>
    <n v="1"/>
    <n v="0"/>
    <n v="0"/>
    <n v="0"/>
    <s v="MMR001CMP192"/>
    <x v="0"/>
    <x v="0"/>
    <s v="P4"/>
    <n v="0"/>
    <m/>
  </r>
  <r>
    <n v="30.1"/>
    <d v="2014-11-10T00:00:00"/>
    <x v="9"/>
    <s v="MRCS"/>
    <s v="Kachin"/>
    <s v="Hpakant"/>
    <s v="Nant Ma Hpit Catholic Church"/>
    <m/>
    <m/>
    <m/>
    <m/>
    <m/>
    <m/>
    <m/>
    <m/>
    <m/>
    <m/>
    <n v="117"/>
    <n v="65"/>
    <m/>
    <m/>
    <m/>
    <m/>
    <m/>
    <n v="0"/>
    <n v="0"/>
    <n v="0"/>
    <n v="0"/>
    <n v="0"/>
    <n v="0"/>
    <n v="0"/>
    <n v="0"/>
    <n v="0"/>
    <n v="0"/>
    <n v="0"/>
    <n v="0"/>
    <n v="0"/>
    <n v="0"/>
    <n v="1"/>
    <n v="0"/>
    <n v="0"/>
    <n v="0"/>
    <s v="MMR001CMP103"/>
    <x v="0"/>
    <x v="0"/>
    <s v="P4"/>
    <n v="0"/>
    <m/>
  </r>
  <r>
    <n v="30.1"/>
    <d v="2014-11-10T00:00:00"/>
    <x v="9"/>
    <s v="MRCS"/>
    <s v="Kachin"/>
    <s v="Puta-O"/>
    <s v="Tote Tan Ward"/>
    <m/>
    <m/>
    <m/>
    <m/>
    <m/>
    <m/>
    <m/>
    <m/>
    <m/>
    <m/>
    <n v="72"/>
    <n v="11"/>
    <m/>
    <m/>
    <m/>
    <m/>
    <m/>
    <n v="0"/>
    <n v="0"/>
    <n v="0"/>
    <n v="0"/>
    <n v="0"/>
    <n v="0"/>
    <n v="0"/>
    <n v="0"/>
    <n v="0"/>
    <n v="0"/>
    <n v="0"/>
    <n v="0"/>
    <n v="0"/>
    <n v="0"/>
    <n v="1"/>
    <n v="0"/>
    <n v="0"/>
    <n v="0"/>
    <s v="MMR001CMP075"/>
    <x v="0"/>
    <x v="0"/>
    <s v="P3"/>
    <s v=""/>
    <m/>
  </r>
  <r>
    <n v="30.066666666666666"/>
    <d v="2014-11-11T00:00:00"/>
    <x v="0"/>
    <s v="KBC"/>
    <s v="Kachin"/>
    <s v="Hpakant"/>
    <s v="Hlaing Naung Baptist"/>
    <m/>
    <m/>
    <n v="19"/>
    <n v="38"/>
    <n v="19"/>
    <n v="38"/>
    <n v="19"/>
    <m/>
    <n v="19"/>
    <n v="95"/>
    <m/>
    <m/>
    <m/>
    <m/>
    <m/>
    <m/>
    <m/>
    <n v="0"/>
    <n v="0"/>
    <n v="0"/>
    <n v="0"/>
    <n v="0"/>
    <n v="0"/>
    <n v="0"/>
    <n v="0"/>
    <n v="0"/>
    <n v="0"/>
    <n v="0"/>
    <n v="0"/>
    <n v="0"/>
    <n v="0"/>
    <n v="0"/>
    <n v="0"/>
    <n v="0"/>
    <n v="0"/>
    <s v="MMR001CMP148"/>
    <x v="0"/>
    <x v="0"/>
    <s v="P4"/>
    <n v="4.6135541364155112E-4"/>
    <m/>
  </r>
  <r>
    <n v="30.1"/>
    <d v="2014-11-10T00:00:00"/>
    <x v="9"/>
    <s v="MRCS"/>
    <s v="Kachin"/>
    <s v="Puta-O"/>
    <s v="Naung Khaing"/>
    <m/>
    <m/>
    <m/>
    <m/>
    <m/>
    <m/>
    <m/>
    <m/>
    <m/>
    <m/>
    <n v="52"/>
    <n v="16"/>
    <m/>
    <m/>
    <m/>
    <m/>
    <m/>
    <n v="0"/>
    <n v="0"/>
    <n v="0"/>
    <n v="0"/>
    <n v="0"/>
    <n v="0"/>
    <n v="0"/>
    <n v="0"/>
    <n v="0"/>
    <n v="0"/>
    <n v="0"/>
    <n v="0"/>
    <n v="0"/>
    <n v="0"/>
    <n v="1"/>
    <n v="0"/>
    <n v="0"/>
    <n v="0"/>
    <s v="MMR001CMP220"/>
    <x v="0"/>
    <x v="1"/>
    <s v="P3"/>
    <n v="0"/>
    <m/>
  </r>
  <r>
    <n v="29.666666666666668"/>
    <d v="2014-11-23T00:00:00"/>
    <x v="0"/>
    <s v="KBC"/>
    <s v="Kachin"/>
    <s v="Myitkyina"/>
    <s v="Jan Mai Kawng Baptist Church"/>
    <m/>
    <m/>
    <m/>
    <n v="72"/>
    <n v="36"/>
    <n v="72"/>
    <n v="36"/>
    <m/>
    <n v="36"/>
    <n v="180"/>
    <m/>
    <m/>
    <m/>
    <m/>
    <m/>
    <m/>
    <m/>
    <n v="0"/>
    <n v="0"/>
    <n v="0"/>
    <n v="0"/>
    <n v="0"/>
    <n v="0"/>
    <n v="0"/>
    <n v="0"/>
    <n v="0"/>
    <n v="0"/>
    <n v="0"/>
    <n v="0"/>
    <n v="0"/>
    <n v="0"/>
    <n v="0"/>
    <n v="0"/>
    <n v="0"/>
    <n v="0"/>
    <s v="MMR001CMP018"/>
    <x v="0"/>
    <x v="0"/>
    <s v="P4"/>
    <n v="8.8397790055248619E-4"/>
    <m/>
  </r>
  <r>
    <n v="29.266666666666666"/>
    <d v="2014-12-05T00:00:00"/>
    <x v="0"/>
    <s v="KMSS"/>
    <s v="Kachin"/>
    <s v="Waingmaw"/>
    <s v="Border Post 8"/>
    <m/>
    <m/>
    <m/>
    <n v="164"/>
    <m/>
    <m/>
    <m/>
    <m/>
    <m/>
    <m/>
    <n v="302"/>
    <n v="440"/>
    <m/>
    <n v="297"/>
    <m/>
    <m/>
    <m/>
    <n v="0"/>
    <n v="0"/>
    <n v="0"/>
    <n v="0"/>
    <n v="0"/>
    <n v="0"/>
    <n v="0"/>
    <n v="0"/>
    <n v="0"/>
    <n v="0"/>
    <n v="0"/>
    <n v="0"/>
    <n v="0"/>
    <n v="0"/>
    <n v="1"/>
    <n v="0"/>
    <n v="0"/>
    <n v="0"/>
    <s v="MMR001CMP113"/>
    <x v="0"/>
    <x v="0"/>
    <s v="P1"/>
    <n v="0"/>
    <m/>
  </r>
  <r>
    <n v="29.266666666666666"/>
    <d v="2014-12-05T00:00:00"/>
    <x v="0"/>
    <s v="KMSS"/>
    <s v="Kachin"/>
    <s v="Waingmaw"/>
    <s v="Post 6 Camp"/>
    <m/>
    <m/>
    <m/>
    <n v="124"/>
    <m/>
    <m/>
    <m/>
    <m/>
    <m/>
    <m/>
    <n v="262"/>
    <n v="400"/>
    <m/>
    <n v="257"/>
    <m/>
    <m/>
    <m/>
    <n v="0"/>
    <n v="0"/>
    <n v="0"/>
    <n v="0"/>
    <n v="0"/>
    <n v="0"/>
    <n v="0"/>
    <n v="0"/>
    <n v="0"/>
    <n v="0"/>
    <n v="0"/>
    <n v="0"/>
    <n v="0"/>
    <n v="0"/>
    <n v="1"/>
    <n v="0"/>
    <n v="0"/>
    <n v="0"/>
    <s v="MMR001CMP160"/>
    <x v="0"/>
    <x v="0"/>
    <s v="P1"/>
    <n v="0"/>
    <m/>
  </r>
  <r>
    <n v="29.133333333333333"/>
    <d v="2014-12-09T00:00:00"/>
    <x v="1"/>
    <s v="Solidarities"/>
    <s v="Kachin"/>
    <s v="Bhamo"/>
    <s v="AD-2000 Tharthana Compound"/>
    <m/>
    <m/>
    <n v="354"/>
    <m/>
    <m/>
    <m/>
    <m/>
    <m/>
    <m/>
    <m/>
    <m/>
    <m/>
    <m/>
    <m/>
    <m/>
    <m/>
    <m/>
    <n v="0"/>
    <n v="0"/>
    <n v="0"/>
    <n v="0"/>
    <n v="0"/>
    <n v="0"/>
    <n v="0"/>
    <n v="0"/>
    <n v="0"/>
    <n v="0"/>
    <n v="0"/>
    <n v="0"/>
    <n v="0"/>
    <n v="0"/>
    <n v="0"/>
    <n v="0"/>
    <n v="0"/>
    <n v="0"/>
    <s v="MMR001CMP050"/>
    <x v="0"/>
    <x v="0"/>
    <s v="P4"/>
    <n v="0"/>
    <m/>
  </r>
  <r>
    <n v="29.133333333333333"/>
    <d v="2014-12-09T00:00:00"/>
    <x v="1"/>
    <s v="Solidarities"/>
    <s v="Kachin"/>
    <s v="Bhamo"/>
    <s v="Robert Church"/>
    <m/>
    <m/>
    <n v="1135"/>
    <m/>
    <m/>
    <m/>
    <m/>
    <m/>
    <m/>
    <m/>
    <m/>
    <m/>
    <m/>
    <m/>
    <m/>
    <m/>
    <m/>
    <n v="0"/>
    <n v="0"/>
    <n v="0"/>
    <n v="0"/>
    <n v="0"/>
    <n v="0"/>
    <n v="0"/>
    <n v="0"/>
    <n v="0"/>
    <n v="0"/>
    <n v="0"/>
    <n v="0"/>
    <n v="0"/>
    <n v="0"/>
    <n v="0"/>
    <n v="0"/>
    <n v="0"/>
    <n v="0"/>
    <s v="MMR001CMP047"/>
    <x v="0"/>
    <x v="0"/>
    <s v="P4"/>
    <n v="0"/>
    <m/>
  </r>
  <r>
    <n v="29.1"/>
    <d v="2014-12-10T00:00:00"/>
    <x v="1"/>
    <s v="Solidarities"/>
    <s v="Kachin"/>
    <s v="Bhamo"/>
    <s v="Phan Khar Kone"/>
    <m/>
    <m/>
    <n v="245"/>
    <m/>
    <m/>
    <m/>
    <m/>
    <m/>
    <m/>
    <m/>
    <m/>
    <m/>
    <m/>
    <m/>
    <m/>
    <m/>
    <m/>
    <n v="0"/>
    <n v="0"/>
    <n v="0"/>
    <n v="0"/>
    <n v="0"/>
    <n v="0"/>
    <n v="0"/>
    <n v="0"/>
    <n v="0"/>
    <n v="0"/>
    <n v="0"/>
    <n v="0"/>
    <n v="0"/>
    <n v="0"/>
    <n v="0"/>
    <n v="0"/>
    <n v="0"/>
    <n v="0"/>
    <s v="MMR001CMP193"/>
    <x v="0"/>
    <x v="0"/>
    <s v="P4"/>
    <n v="0"/>
    <m/>
  </r>
  <r>
    <n v="29.1"/>
    <d v="2014-12-10T00:00:00"/>
    <x v="1"/>
    <s v="Solidarities"/>
    <s v="Kachin"/>
    <s v="Bhamo"/>
    <s v="Ta Gun Taing Monastery (Shwe Kyi Na)"/>
    <m/>
    <m/>
    <n v="55"/>
    <m/>
    <m/>
    <m/>
    <m/>
    <m/>
    <m/>
    <m/>
    <m/>
    <m/>
    <m/>
    <m/>
    <m/>
    <m/>
    <m/>
    <n v="0"/>
    <n v="0"/>
    <n v="0"/>
    <n v="0"/>
    <n v="0"/>
    <n v="0"/>
    <n v="0"/>
    <n v="0"/>
    <n v="0"/>
    <n v="0"/>
    <n v="0"/>
    <n v="0"/>
    <n v="0"/>
    <n v="0"/>
    <n v="0"/>
    <n v="0"/>
    <n v="0"/>
    <n v="0"/>
    <s v="MMR001CMP055"/>
    <x v="0"/>
    <x v="0"/>
    <s v="P4"/>
    <n v="0"/>
    <m/>
  </r>
  <r>
    <n v="28.866666666666667"/>
    <d v="2014-12-17T00:00:00"/>
    <x v="1"/>
    <s v="Solidarities"/>
    <s v="Kachin"/>
    <s v="Momauk"/>
    <s v="Loi Je Baptist Church"/>
    <m/>
    <m/>
    <m/>
    <m/>
    <m/>
    <m/>
    <m/>
    <m/>
    <m/>
    <m/>
    <m/>
    <m/>
    <m/>
    <m/>
    <m/>
    <m/>
    <m/>
    <n v="0"/>
    <n v="0"/>
    <n v="0"/>
    <n v="0"/>
    <n v="0"/>
    <n v="0"/>
    <n v="0"/>
    <n v="0"/>
    <n v="0"/>
    <n v="0"/>
    <n v="0"/>
    <n v="0"/>
    <n v="0"/>
    <n v="0"/>
    <n v="0"/>
    <n v="0"/>
    <n v="0"/>
    <n v="0"/>
    <s v="MMR001CMP071"/>
    <x v="0"/>
    <x v="0"/>
    <s v="P3"/>
    <n v="0"/>
    <m/>
  </r>
  <r>
    <n v="28.866666666666667"/>
    <d v="2014-12-17T00:00:00"/>
    <x v="1"/>
    <s v="Solidarities"/>
    <s v="Kachin"/>
    <s v="Momauk"/>
    <s v="Loi Je Catholic Church"/>
    <m/>
    <m/>
    <n v="124"/>
    <m/>
    <m/>
    <m/>
    <m/>
    <m/>
    <m/>
    <m/>
    <m/>
    <m/>
    <m/>
    <m/>
    <m/>
    <m/>
    <m/>
    <n v="0"/>
    <n v="0"/>
    <n v="0"/>
    <n v="0"/>
    <n v="0"/>
    <n v="0"/>
    <n v="0"/>
    <n v="0"/>
    <n v="0"/>
    <n v="0"/>
    <n v="0"/>
    <n v="0"/>
    <n v="0"/>
    <n v="0"/>
    <n v="0"/>
    <n v="0"/>
    <n v="0"/>
    <n v="0"/>
    <s v="MMR001CMP069"/>
    <x v="0"/>
    <x v="0"/>
    <s v="P3"/>
    <n v="0"/>
    <m/>
  </r>
  <r>
    <n v="29.1"/>
    <d v="2014-12-10T00:00:00"/>
    <x v="1"/>
    <s v="Solidarities"/>
    <s v="Kachin"/>
    <s v="Momauk"/>
    <s v="Edin"/>
    <m/>
    <m/>
    <n v="85"/>
    <m/>
    <m/>
    <m/>
    <m/>
    <m/>
    <m/>
    <m/>
    <m/>
    <m/>
    <m/>
    <m/>
    <m/>
    <m/>
    <m/>
    <n v="0"/>
    <n v="0"/>
    <n v="0"/>
    <n v="0"/>
    <n v="0"/>
    <n v="0"/>
    <n v="0"/>
    <n v="0"/>
    <n v="0"/>
    <n v="0"/>
    <n v="0"/>
    <n v="0"/>
    <n v="0"/>
    <n v="0"/>
    <n v="0"/>
    <n v="0"/>
    <n v="0"/>
    <n v="0"/>
    <s v=""/>
    <x v="1"/>
    <x v="2"/>
    <s v=""/>
    <s v=""/>
    <m/>
  </r>
  <r>
    <n v="29.1"/>
    <d v="2014-12-10T00:00:00"/>
    <x v="1"/>
    <s v="Solidarities"/>
    <s v="Kachin"/>
    <s v="Momauk"/>
    <s v="Ni Thaw Ka Monestry"/>
    <m/>
    <m/>
    <n v="33"/>
    <m/>
    <m/>
    <m/>
    <m/>
    <m/>
    <m/>
    <m/>
    <m/>
    <m/>
    <m/>
    <m/>
    <m/>
    <m/>
    <m/>
    <n v="0"/>
    <n v="0"/>
    <n v="0"/>
    <n v="0"/>
    <n v="0"/>
    <n v="0"/>
    <n v="0"/>
    <n v="0"/>
    <n v="0"/>
    <n v="0"/>
    <n v="0"/>
    <n v="0"/>
    <n v="0"/>
    <n v="0"/>
    <n v="0"/>
    <n v="0"/>
    <n v="0"/>
    <n v="0"/>
    <s v="MMR001CMP059"/>
    <x v="0"/>
    <x v="1"/>
    <s v="P4"/>
    <n v="0"/>
    <m/>
  </r>
  <r>
    <n v="28.866666666666667"/>
    <d v="2014-12-17T00:00:00"/>
    <x v="1"/>
    <s v="Solidarities"/>
    <s v="Kachin"/>
    <s v="Momauk"/>
    <s v="Loi Je Lisu Camp"/>
    <m/>
    <m/>
    <n v="283"/>
    <m/>
    <m/>
    <m/>
    <m/>
    <m/>
    <m/>
    <m/>
    <m/>
    <m/>
    <m/>
    <m/>
    <m/>
    <m/>
    <m/>
    <n v="0"/>
    <n v="0"/>
    <n v="0"/>
    <n v="0"/>
    <n v="0"/>
    <n v="0"/>
    <n v="0"/>
    <n v="0"/>
    <n v="0"/>
    <n v="0"/>
    <n v="0"/>
    <n v="0"/>
    <n v="0"/>
    <n v="0"/>
    <n v="0"/>
    <n v="0"/>
    <n v="0"/>
    <n v="0"/>
    <s v="MMR001CMP070"/>
    <x v="0"/>
    <x v="0"/>
    <s v="P3"/>
    <n v="0"/>
    <m/>
  </r>
  <r>
    <n v="28.833333333333332"/>
    <d v="2014-12-18T00:00:00"/>
    <x v="1"/>
    <s v="Solidarities"/>
    <s v="Kachin"/>
    <s v="Momauk"/>
    <s v="Nyaung Na Pin "/>
    <m/>
    <m/>
    <n v="85"/>
    <m/>
    <m/>
    <m/>
    <m/>
    <m/>
    <m/>
    <m/>
    <m/>
    <m/>
    <m/>
    <m/>
    <m/>
    <m/>
    <m/>
    <n v="0"/>
    <n v="0"/>
    <n v="0"/>
    <n v="0"/>
    <n v="0"/>
    <n v="0"/>
    <n v="0"/>
    <n v="0"/>
    <n v="0"/>
    <n v="0"/>
    <n v="0"/>
    <n v="0"/>
    <n v="0"/>
    <n v="0"/>
    <n v="0"/>
    <n v="0"/>
    <n v="0"/>
    <n v="0"/>
    <s v="MMR001CMP072"/>
    <x v="0"/>
    <x v="0"/>
    <s v="P3"/>
    <n v="0"/>
    <m/>
  </r>
  <r>
    <n v="28.833333333333332"/>
    <d v="2014-12-18T00:00:00"/>
    <x v="1"/>
    <s v="Solidarities"/>
    <s v="Kachin"/>
    <s v="Momauk"/>
    <s v="Seng Ja "/>
    <m/>
    <m/>
    <n v="61"/>
    <m/>
    <m/>
    <m/>
    <m/>
    <m/>
    <m/>
    <m/>
    <m/>
    <m/>
    <m/>
    <m/>
    <m/>
    <m/>
    <m/>
    <n v="0"/>
    <n v="0"/>
    <n v="0"/>
    <n v="0"/>
    <n v="0"/>
    <n v="0"/>
    <n v="0"/>
    <n v="0"/>
    <n v="0"/>
    <n v="0"/>
    <n v="0"/>
    <n v="0"/>
    <n v="0"/>
    <n v="0"/>
    <n v="0"/>
    <n v="0"/>
    <n v="0"/>
    <n v="0"/>
    <s v="MMR001CMP073"/>
    <x v="0"/>
    <x v="0"/>
    <s v="P3"/>
    <n v="0"/>
    <m/>
  </r>
  <r>
    <n v="28.8"/>
    <d v="2014-12-19T00:00:00"/>
    <x v="0"/>
    <s v="KBC"/>
    <s v="Kachin"/>
    <s v="Waingmaw"/>
    <s v="Hkau Shau (BP 12)"/>
    <m/>
    <m/>
    <m/>
    <m/>
    <m/>
    <m/>
    <m/>
    <m/>
    <m/>
    <m/>
    <n v="364"/>
    <n v="543"/>
    <m/>
    <n v="362"/>
    <m/>
    <m/>
    <m/>
    <n v="0"/>
    <n v="0"/>
    <n v="0"/>
    <n v="0"/>
    <n v="0"/>
    <n v="0"/>
    <n v="0"/>
    <n v="0"/>
    <n v="0"/>
    <n v="0"/>
    <n v="0"/>
    <n v="0"/>
    <n v="0"/>
    <n v="0"/>
    <n v="1"/>
    <n v="0"/>
    <n v="0"/>
    <n v="0"/>
    <s v="MMR001CMP115"/>
    <x v="0"/>
    <x v="0"/>
    <s v="P1"/>
    <n v="0"/>
    <m/>
  </r>
  <r>
    <n v="28.8"/>
    <d v="2014-12-19T00:00:00"/>
    <x v="0"/>
    <m/>
    <s v="Kachin"/>
    <s v="Chipwi"/>
    <s v="Hpare Hkyer - BP6"/>
    <m/>
    <m/>
    <m/>
    <m/>
    <m/>
    <m/>
    <m/>
    <m/>
    <m/>
    <m/>
    <n v="320"/>
    <n v="465"/>
    <m/>
    <n v="310"/>
    <m/>
    <m/>
    <m/>
    <n v="0"/>
    <n v="0"/>
    <n v="0"/>
    <n v="0"/>
    <n v="0"/>
    <n v="0"/>
    <n v="0"/>
    <n v="0"/>
    <n v="0"/>
    <n v="0"/>
    <n v="0"/>
    <n v="0"/>
    <n v="0"/>
    <n v="0"/>
    <n v="1"/>
    <n v="0"/>
    <n v="0"/>
    <n v="0"/>
    <s v="MMR001CMP043"/>
    <x v="0"/>
    <x v="0"/>
    <s v="P1"/>
    <n v="0"/>
    <m/>
  </r>
  <r>
    <n v="28.8"/>
    <d v="2014-12-19T00:00:00"/>
    <x v="0"/>
    <m/>
    <s v="Kachin"/>
    <s v="Waingmaw"/>
    <s v="Pajau - Jan Mai"/>
    <m/>
    <m/>
    <m/>
    <m/>
    <m/>
    <m/>
    <m/>
    <m/>
    <m/>
    <m/>
    <n v="384"/>
    <n v="573"/>
    <m/>
    <n v="382"/>
    <m/>
    <m/>
    <m/>
    <n v="0"/>
    <n v="0"/>
    <n v="0"/>
    <n v="0"/>
    <n v="0"/>
    <n v="0"/>
    <n v="0"/>
    <n v="0"/>
    <n v="0"/>
    <n v="0"/>
    <n v="0"/>
    <n v="0"/>
    <n v="0"/>
    <n v="0"/>
    <n v="1"/>
    <n v="0"/>
    <n v="0"/>
    <n v="0"/>
    <s v="MMR001CMP120"/>
    <x v="0"/>
    <x v="0"/>
    <s v="P1"/>
    <n v="0"/>
    <m/>
  </r>
  <r>
    <n v="28.433333333333334"/>
    <d v="2014-12-30T00:00:00"/>
    <x v="0"/>
    <s v="KBC"/>
    <s v="Kachin"/>
    <s v="Waingmaw"/>
    <s v="Shing Jai"/>
    <m/>
    <m/>
    <n v="120"/>
    <n v="240"/>
    <n v="135"/>
    <n v="240"/>
    <n v="170"/>
    <n v="120"/>
    <n v="120"/>
    <n v="600"/>
    <m/>
    <m/>
    <m/>
    <m/>
    <m/>
    <m/>
    <m/>
    <n v="0"/>
    <n v="0"/>
    <n v="0"/>
    <n v="0"/>
    <n v="0"/>
    <n v="0"/>
    <n v="0"/>
    <n v="0"/>
    <n v="0"/>
    <n v="0"/>
    <n v="0"/>
    <n v="0"/>
    <n v="0"/>
    <n v="0"/>
    <n v="0"/>
    <n v="0"/>
    <n v="0"/>
    <n v="0"/>
    <s v="MMR001CMP041"/>
    <x v="0"/>
    <x v="0"/>
    <s v="P1"/>
    <n v="4.1617704661182919E-3"/>
    <m/>
  </r>
  <r>
    <n v="28.366666666666667"/>
    <d v="2015-01-01T00:00:00"/>
    <x v="0"/>
    <s v="KBC"/>
    <s v="Kachin"/>
    <s v="Waingmaw"/>
    <s v="Shing Jai"/>
    <m/>
    <m/>
    <m/>
    <m/>
    <m/>
    <m/>
    <n v="50"/>
    <m/>
    <m/>
    <m/>
    <m/>
    <m/>
    <m/>
    <m/>
    <m/>
    <m/>
    <n v="90"/>
    <n v="0"/>
    <n v="0"/>
    <n v="0"/>
    <n v="0"/>
    <n v="0"/>
    <n v="0"/>
    <n v="0"/>
    <n v="0"/>
    <n v="0"/>
    <n v="0"/>
    <n v="0"/>
    <n v="0"/>
    <n v="0"/>
    <n v="0"/>
    <n v="0"/>
    <n v="0"/>
    <n v="0"/>
    <n v="0"/>
    <s v="MMR001CMP041"/>
    <x v="0"/>
    <x v="0"/>
    <s v="P1"/>
    <n v="1.2240501370936153E-3"/>
    <s v="No"/>
  </r>
  <r>
    <n v="27.966666666666665"/>
    <d v="2015-01-13T00:00:00"/>
    <x v="9"/>
    <s v="MRCS"/>
    <s v="Kachin"/>
    <s v="Chipwi"/>
    <s v="Chipwi KBC camp"/>
    <m/>
    <m/>
    <m/>
    <m/>
    <m/>
    <m/>
    <m/>
    <m/>
    <m/>
    <m/>
    <n v="293"/>
    <n v="190"/>
    <m/>
    <n v="170"/>
    <m/>
    <m/>
    <m/>
    <n v="0"/>
    <n v="0"/>
    <n v="0"/>
    <n v="0"/>
    <n v="0"/>
    <n v="0"/>
    <n v="0"/>
    <n v="0"/>
    <n v="0"/>
    <n v="0"/>
    <n v="0"/>
    <n v="0"/>
    <n v="0"/>
    <n v="0"/>
    <n v="1"/>
    <n v="0"/>
    <n v="0"/>
    <n v="0"/>
    <s v="MMR001CMP042"/>
    <x v="0"/>
    <x v="0"/>
    <s v="P1"/>
    <n v="0"/>
    <m/>
  </r>
  <r>
    <n v="27.966666666666665"/>
    <d v="2015-01-13T00:00:00"/>
    <x v="9"/>
    <s v="MRCS"/>
    <s v="Kachin"/>
    <s v="Chipwi"/>
    <s v="Lhaovao Baptist Church (LBC)"/>
    <m/>
    <m/>
    <m/>
    <m/>
    <m/>
    <m/>
    <m/>
    <m/>
    <m/>
    <m/>
    <n v="350"/>
    <n v="236"/>
    <m/>
    <n v="203"/>
    <m/>
    <m/>
    <m/>
    <n v="0"/>
    <n v="0"/>
    <n v="0"/>
    <n v="0"/>
    <n v="0"/>
    <n v="0"/>
    <n v="0"/>
    <n v="0"/>
    <n v="0"/>
    <n v="0"/>
    <n v="0"/>
    <n v="0"/>
    <n v="0"/>
    <n v="0"/>
    <n v="1"/>
    <n v="0"/>
    <n v="0"/>
    <n v="0"/>
    <s v="MMR001CMP195"/>
    <x v="0"/>
    <x v="0"/>
    <s v="P1"/>
    <n v="0"/>
    <m/>
  </r>
  <r>
    <n v="28.8"/>
    <d v="2014-12-19T00:00:00"/>
    <x v="0"/>
    <s v="KBC"/>
    <s v="Kachin"/>
    <s v="Waingmaw"/>
    <s v="Zai Awng - Mung Ga Zup"/>
    <m/>
    <m/>
    <m/>
    <m/>
    <m/>
    <m/>
    <m/>
    <m/>
    <m/>
    <m/>
    <n v="1292"/>
    <n v="1938"/>
    <m/>
    <n v="1292"/>
    <m/>
    <m/>
    <m/>
    <n v="0"/>
    <n v="0"/>
    <n v="0"/>
    <n v="0"/>
    <n v="0"/>
    <n v="0"/>
    <n v="0"/>
    <n v="0"/>
    <n v="0"/>
    <n v="0"/>
    <n v="0"/>
    <n v="0"/>
    <n v="0"/>
    <n v="0"/>
    <n v="1"/>
    <n v="0"/>
    <n v="0"/>
    <n v="0"/>
    <s v="MMR001CMP111"/>
    <x v="0"/>
    <x v="1"/>
    <s v="P2"/>
    <n v="0"/>
    <m/>
  </r>
  <r>
    <n v="27.966666666666665"/>
    <d v="2015-01-13T00:00:00"/>
    <x v="9"/>
    <s v="MRCS"/>
    <s v="Kachin"/>
    <s v="Momauk"/>
    <s v="Nyaung Na Pin "/>
    <m/>
    <m/>
    <m/>
    <m/>
    <m/>
    <m/>
    <m/>
    <m/>
    <m/>
    <m/>
    <n v="195"/>
    <n v="91"/>
    <m/>
    <n v="92"/>
    <m/>
    <m/>
    <m/>
    <n v="0"/>
    <n v="0"/>
    <n v="0"/>
    <n v="0"/>
    <n v="0"/>
    <n v="0"/>
    <n v="0"/>
    <n v="0"/>
    <n v="0"/>
    <n v="0"/>
    <n v="0"/>
    <n v="0"/>
    <n v="0"/>
    <n v="0"/>
    <n v="1"/>
    <n v="0"/>
    <n v="0"/>
    <n v="0"/>
    <s v="MMR001CMP072"/>
    <x v="0"/>
    <x v="0"/>
    <s v="P3"/>
    <n v="0"/>
    <m/>
  </r>
  <r>
    <n v="27.966666666666665"/>
    <d v="2015-01-13T00:00:00"/>
    <x v="9"/>
    <s v="MRCS"/>
    <s v="Kachin"/>
    <s v="Myitkyina"/>
    <s v="Pa Dauk Myaing(Pa La Na)"/>
    <m/>
    <m/>
    <m/>
    <m/>
    <m/>
    <m/>
    <m/>
    <m/>
    <m/>
    <m/>
    <n v="323"/>
    <n v="178"/>
    <m/>
    <m/>
    <m/>
    <m/>
    <m/>
    <n v="0"/>
    <n v="0"/>
    <n v="0"/>
    <n v="0"/>
    <n v="0"/>
    <n v="0"/>
    <n v="0"/>
    <n v="0"/>
    <n v="0"/>
    <n v="0"/>
    <n v="0"/>
    <n v="0"/>
    <n v="0"/>
    <n v="0"/>
    <n v="1"/>
    <n v="0"/>
    <n v="0"/>
    <n v="0"/>
    <s v="MMR001CMP162"/>
    <x v="0"/>
    <x v="0"/>
    <s v="P4"/>
    <n v="0"/>
    <m/>
  </r>
  <r>
    <n v="27.966666666666665"/>
    <d v="2015-01-13T00:00:00"/>
    <x v="9"/>
    <s v="MRCS"/>
    <s v="Kachin"/>
    <s v="Chipwi"/>
    <s v="Pan Wa"/>
    <m/>
    <m/>
    <m/>
    <m/>
    <m/>
    <m/>
    <m/>
    <m/>
    <m/>
    <m/>
    <n v="187"/>
    <n v="137"/>
    <m/>
    <n v="118"/>
    <m/>
    <m/>
    <m/>
    <n v="0"/>
    <n v="0"/>
    <n v="0"/>
    <n v="0"/>
    <n v="0"/>
    <n v="0"/>
    <n v="0"/>
    <n v="0"/>
    <n v="0"/>
    <n v="0"/>
    <n v="0"/>
    <n v="0"/>
    <n v="0"/>
    <n v="0"/>
    <n v="1"/>
    <n v="0"/>
    <n v="0"/>
    <n v="0"/>
    <s v="MMR001CMP210"/>
    <x v="0"/>
    <x v="0"/>
    <s v="P1"/>
    <n v="0"/>
    <m/>
  </r>
  <r>
    <n v="28.066666666666666"/>
    <d v="2015-01-10T00:00:00"/>
    <x v="0"/>
    <s v="UNHCR"/>
    <s v="Kachin"/>
    <s v="Puta-O"/>
    <s v="Naung Khaing"/>
    <m/>
    <m/>
    <n v="55"/>
    <n v="110"/>
    <n v="55"/>
    <n v="110"/>
    <n v="55"/>
    <m/>
    <n v="55"/>
    <n v="275"/>
    <m/>
    <m/>
    <m/>
    <m/>
    <n v="55"/>
    <m/>
    <m/>
    <n v="0"/>
    <n v="0"/>
    <n v="0"/>
    <n v="0"/>
    <n v="0"/>
    <n v="0"/>
    <n v="0"/>
    <n v="0"/>
    <n v="0"/>
    <n v="0"/>
    <n v="0"/>
    <n v="0"/>
    <n v="0"/>
    <n v="0"/>
    <n v="0"/>
    <n v="0"/>
    <n v="0"/>
    <n v="0"/>
    <s v="MMR001CMP220"/>
    <x v="0"/>
    <x v="1"/>
    <s v="P3"/>
    <n v="1.3257164895027359E-3"/>
    <s v="No"/>
  </r>
  <r>
    <n v="27.966666666666665"/>
    <d v="2015-01-13T00:00:00"/>
    <x v="9"/>
    <s v="MRCS"/>
    <s v="Kachin"/>
    <s v="Hpakant"/>
    <s v="Rawan Baptist Church, Maw Shan Vil., Seik Mu"/>
    <m/>
    <m/>
    <m/>
    <m/>
    <m/>
    <m/>
    <m/>
    <m/>
    <m/>
    <m/>
    <n v="26"/>
    <n v="14"/>
    <m/>
    <m/>
    <m/>
    <m/>
    <m/>
    <n v="0"/>
    <n v="0"/>
    <n v="0"/>
    <n v="0"/>
    <n v="0"/>
    <n v="0"/>
    <n v="0"/>
    <n v="0"/>
    <n v="0"/>
    <n v="0"/>
    <n v="0"/>
    <n v="0"/>
    <n v="0"/>
    <n v="0"/>
    <n v="1"/>
    <n v="0"/>
    <n v="0"/>
    <n v="0"/>
    <s v="MMR001CMP182"/>
    <x v="0"/>
    <x v="0"/>
    <s v="P4"/>
    <n v="0"/>
    <m/>
  </r>
  <r>
    <n v="27.966666666666665"/>
    <d v="2015-01-13T00:00:00"/>
    <x v="9"/>
    <s v="MRCS"/>
    <s v="Kachin"/>
    <s v="Hpakant"/>
    <s v="Sai Nai Baptish Church, Maw Shan Vil., Seki Mu"/>
    <m/>
    <m/>
    <m/>
    <m/>
    <m/>
    <m/>
    <m/>
    <m/>
    <m/>
    <m/>
    <n v="34"/>
    <n v="9"/>
    <m/>
    <m/>
    <m/>
    <m/>
    <m/>
    <n v="0"/>
    <n v="0"/>
    <n v="0"/>
    <n v="0"/>
    <n v="0"/>
    <n v="0"/>
    <n v="0"/>
    <n v="0"/>
    <n v="0"/>
    <n v="0"/>
    <n v="0"/>
    <n v="0"/>
    <n v="0"/>
    <n v="0"/>
    <n v="1"/>
    <n v="0"/>
    <n v="0"/>
    <n v="0"/>
    <s v="MMR001CMP183"/>
    <x v="0"/>
    <x v="0"/>
    <s v="P4"/>
    <n v="0"/>
    <m/>
  </r>
  <r>
    <n v="3.5333333333333332"/>
    <d v="2017-01-15T00:00:00"/>
    <x v="0"/>
    <s v="KBC"/>
    <s v="Kachin"/>
    <s v="Mansi"/>
    <s v="Man Kawng Baptist Church"/>
    <m/>
    <n v="15"/>
    <n v="15"/>
    <n v="15"/>
    <n v="15"/>
    <n v="15"/>
    <n v="15"/>
    <m/>
    <n v="15"/>
    <n v="30"/>
    <m/>
    <m/>
    <m/>
    <m/>
    <n v="15"/>
    <m/>
    <n v="15"/>
    <n v="0"/>
    <n v="15"/>
    <n v="15"/>
    <n v="15"/>
    <n v="15"/>
    <n v="15"/>
    <n v="15"/>
    <n v="0"/>
    <n v="15"/>
    <n v="75"/>
    <n v="0"/>
    <n v="0"/>
    <n v="0"/>
    <n v="0"/>
    <n v="0"/>
    <n v="15"/>
    <n v="0"/>
    <n v="15"/>
    <s v="MMR001CMP212"/>
    <x v="3"/>
    <x v="1"/>
    <s v=""/>
    <s v=""/>
    <m/>
  </r>
  <r>
    <n v="27.966666666666665"/>
    <d v="2015-01-13T00:00:00"/>
    <x v="9"/>
    <s v="MRCS"/>
    <s v="Kachin"/>
    <s v="Chipwi"/>
    <s v="Saw Zam"/>
    <m/>
    <m/>
    <m/>
    <m/>
    <m/>
    <m/>
    <m/>
    <m/>
    <m/>
    <m/>
    <n v="111"/>
    <n v="56"/>
    <m/>
    <n v="58"/>
    <m/>
    <m/>
    <m/>
    <n v="0"/>
    <n v="0"/>
    <n v="0"/>
    <n v="0"/>
    <n v="0"/>
    <n v="0"/>
    <n v="0"/>
    <n v="0"/>
    <n v="0"/>
    <n v="0"/>
    <n v="0"/>
    <n v="0"/>
    <n v="0"/>
    <n v="0"/>
    <n v="1"/>
    <n v="0"/>
    <n v="0"/>
    <n v="0"/>
    <s v="MMR001CMP225"/>
    <x v="0"/>
    <x v="0"/>
    <s v="P1"/>
    <n v="0"/>
    <m/>
  </r>
  <r>
    <n v="27.966666666666665"/>
    <d v="2015-01-13T00:00:00"/>
    <x v="9"/>
    <s v="MRCS"/>
    <s v="Kachin"/>
    <s v="Momauk"/>
    <s v="Seng Ja "/>
    <m/>
    <m/>
    <m/>
    <m/>
    <m/>
    <m/>
    <m/>
    <m/>
    <m/>
    <m/>
    <n v="155"/>
    <n v="73"/>
    <m/>
    <n v="96"/>
    <m/>
    <m/>
    <m/>
    <n v="0"/>
    <n v="0"/>
    <n v="0"/>
    <n v="0"/>
    <n v="0"/>
    <n v="0"/>
    <n v="0"/>
    <n v="0"/>
    <n v="0"/>
    <n v="0"/>
    <n v="0"/>
    <n v="0"/>
    <n v="0"/>
    <n v="0"/>
    <n v="1"/>
    <n v="0"/>
    <n v="0"/>
    <n v="0"/>
    <s v="MMR001CMP073"/>
    <x v="0"/>
    <x v="0"/>
    <s v="P3"/>
    <n v="0"/>
    <m/>
  </r>
  <r>
    <n v="27.966666666666665"/>
    <d v="2015-01-13T00:00:00"/>
    <x v="9"/>
    <s v="MRCS"/>
    <s v="Kachin"/>
    <s v="Sumprabum"/>
    <s v="Sumprabum"/>
    <m/>
    <m/>
    <m/>
    <m/>
    <m/>
    <m/>
    <m/>
    <m/>
    <m/>
    <m/>
    <n v="91"/>
    <n v="32"/>
    <m/>
    <n v="36"/>
    <m/>
    <m/>
    <m/>
    <n v="0"/>
    <n v="0"/>
    <n v="0"/>
    <n v="0"/>
    <n v="0"/>
    <n v="0"/>
    <n v="0"/>
    <n v="0"/>
    <n v="0"/>
    <n v="0"/>
    <n v="0"/>
    <n v="0"/>
    <n v="0"/>
    <n v="0"/>
    <n v="1"/>
    <n v="0"/>
    <n v="0"/>
    <n v="0"/>
    <s v="MMR001CMP206"/>
    <x v="0"/>
    <x v="0"/>
    <s v="P4"/>
    <s v=""/>
    <m/>
  </r>
  <r>
    <n v="27.966666666666665"/>
    <d v="2015-01-13T00:00:00"/>
    <x v="0"/>
    <s v="Shalom"/>
    <s v="Kachin"/>
    <s v="Myitkyina"/>
    <s v="Tat Kone COC Baptist - Tat Kone Htoi San"/>
    <m/>
    <m/>
    <m/>
    <m/>
    <n v="2"/>
    <m/>
    <m/>
    <m/>
    <m/>
    <m/>
    <m/>
    <m/>
    <m/>
    <m/>
    <m/>
    <m/>
    <m/>
    <n v="0"/>
    <n v="0"/>
    <n v="0"/>
    <n v="0"/>
    <n v="0"/>
    <n v="0"/>
    <n v="0"/>
    <n v="0"/>
    <n v="0"/>
    <n v="0"/>
    <n v="0"/>
    <n v="0"/>
    <n v="0"/>
    <n v="0"/>
    <n v="0"/>
    <n v="0"/>
    <n v="0"/>
    <n v="0"/>
    <s v="MMR001CMP023"/>
    <x v="0"/>
    <x v="0"/>
    <s v="P4"/>
    <n v="0"/>
    <s v="No"/>
  </r>
  <r>
    <n v="27.966666666666665"/>
    <d v="2015-01-13T00:00:00"/>
    <x v="9"/>
    <s v="MRCS"/>
    <s v="Kachin"/>
    <s v="Hpakant"/>
    <s v="Ward 2 Sai Taung Baptist Church, Seik Mu "/>
    <m/>
    <m/>
    <m/>
    <m/>
    <m/>
    <m/>
    <m/>
    <m/>
    <m/>
    <m/>
    <n v="94"/>
    <n v="58"/>
    <m/>
    <m/>
    <m/>
    <m/>
    <m/>
    <n v="0"/>
    <n v="0"/>
    <n v="0"/>
    <n v="0"/>
    <n v="0"/>
    <n v="0"/>
    <n v="0"/>
    <n v="0"/>
    <n v="0"/>
    <n v="0"/>
    <n v="0"/>
    <n v="0"/>
    <n v="0"/>
    <n v="0"/>
    <n v="1"/>
    <n v="0"/>
    <n v="0"/>
    <n v="0"/>
    <s v="MMR001CMP184"/>
    <x v="0"/>
    <x v="0"/>
    <s v="P4"/>
    <n v="0"/>
    <m/>
  </r>
  <r>
    <n v="27.966666666666665"/>
    <d v="2015-01-13T00:00:00"/>
    <x v="9"/>
    <s v="MRCS"/>
    <s v="Kachin"/>
    <s v="Hpakant"/>
    <s v="Yumar Baptist Church"/>
    <m/>
    <m/>
    <m/>
    <m/>
    <m/>
    <m/>
    <m/>
    <m/>
    <m/>
    <m/>
    <n v="33"/>
    <n v="8"/>
    <m/>
    <m/>
    <m/>
    <m/>
    <m/>
    <n v="0"/>
    <n v="0"/>
    <n v="0"/>
    <n v="0"/>
    <n v="0"/>
    <n v="0"/>
    <n v="0"/>
    <n v="0"/>
    <n v="0"/>
    <n v="0"/>
    <n v="0"/>
    <n v="0"/>
    <n v="0"/>
    <n v="0"/>
    <n v="1"/>
    <n v="0"/>
    <n v="0"/>
    <n v="0"/>
    <s v="MMR001CMP105"/>
    <x v="0"/>
    <x v="0"/>
    <s v="P4"/>
    <n v="0"/>
    <m/>
  </r>
  <r>
    <n v="27.533333333333335"/>
    <d v="2015-01-26T00:00:00"/>
    <x v="0"/>
    <s v="KBC"/>
    <s v="Kachin"/>
    <s v="Hpakant"/>
    <s v="5 Ward RC Church(lon Khin)"/>
    <m/>
    <n v="100"/>
    <m/>
    <n v="200"/>
    <n v="200"/>
    <n v="200"/>
    <n v="100"/>
    <m/>
    <n v="100"/>
    <n v="500"/>
    <m/>
    <m/>
    <m/>
    <m/>
    <n v="100"/>
    <m/>
    <m/>
    <n v="0"/>
    <n v="0"/>
    <n v="0"/>
    <n v="0"/>
    <n v="0"/>
    <n v="0"/>
    <n v="0"/>
    <n v="0"/>
    <n v="0"/>
    <n v="0"/>
    <n v="0"/>
    <n v="0"/>
    <n v="0"/>
    <n v="0"/>
    <n v="0"/>
    <n v="0"/>
    <n v="0"/>
    <n v="0"/>
    <s v="MMR001CMP168"/>
    <x v="0"/>
    <x v="0"/>
    <s v="P4"/>
    <n v="2.4227740763173833E-3"/>
    <s v="No"/>
  </r>
  <r>
    <n v="26.933333333333334"/>
    <d v="2015-02-13T00:00:00"/>
    <x v="0"/>
    <s v="KMSS"/>
    <s v="Kachin"/>
    <s v="Myitkyina"/>
    <s v="Pa Dauk Myaing(Pa La Na)"/>
    <m/>
    <m/>
    <m/>
    <m/>
    <m/>
    <n v="18"/>
    <n v="9"/>
    <m/>
    <n v="29"/>
    <n v="145"/>
    <m/>
    <m/>
    <m/>
    <m/>
    <m/>
    <m/>
    <m/>
    <n v="0"/>
    <n v="0"/>
    <n v="0"/>
    <n v="0"/>
    <n v="0"/>
    <n v="0"/>
    <n v="0"/>
    <n v="0"/>
    <n v="0"/>
    <n v="0"/>
    <n v="0"/>
    <n v="0"/>
    <n v="0"/>
    <n v="0"/>
    <n v="0"/>
    <n v="0"/>
    <n v="0"/>
    <n v="0"/>
    <s v="MMR001CMP162"/>
    <x v="0"/>
    <x v="0"/>
    <s v="P4"/>
    <n v="2.1821355833575792E-4"/>
    <s v="No"/>
  </r>
  <r>
    <n v="26.833333333333332"/>
    <d v="2015-02-16T00:00:00"/>
    <x v="0"/>
    <s v="KMSS"/>
    <s v="Kachin"/>
    <s v="Waingmaw"/>
    <s v="Hpun Lum Yang "/>
    <m/>
    <m/>
    <m/>
    <m/>
    <m/>
    <m/>
    <m/>
    <m/>
    <m/>
    <m/>
    <n v="865"/>
    <n v="924"/>
    <m/>
    <n v="918"/>
    <m/>
    <m/>
    <m/>
    <n v="0"/>
    <n v="0"/>
    <n v="0"/>
    <n v="0"/>
    <n v="0"/>
    <n v="0"/>
    <n v="0"/>
    <n v="0"/>
    <n v="0"/>
    <n v="0"/>
    <n v="0"/>
    <n v="0"/>
    <n v="0"/>
    <n v="0"/>
    <n v="1"/>
    <n v="0"/>
    <n v="0"/>
    <n v="0"/>
    <s v="MMR001CMP122"/>
    <x v="0"/>
    <x v="0"/>
    <s v="P2"/>
    <n v="0"/>
    <s v="No"/>
  </r>
  <r>
    <n v="26.833333333333332"/>
    <d v="2015-02-16T00:00:00"/>
    <x v="0"/>
    <s v="KMSS"/>
    <s v="Kachin"/>
    <s v="Waingmaw"/>
    <s v="Je Yang Hka "/>
    <m/>
    <m/>
    <m/>
    <m/>
    <m/>
    <m/>
    <m/>
    <m/>
    <m/>
    <m/>
    <n v="2676"/>
    <n v="2672"/>
    <m/>
    <n v="3186"/>
    <m/>
    <m/>
    <m/>
    <n v="0"/>
    <n v="0"/>
    <n v="0"/>
    <n v="0"/>
    <n v="0"/>
    <n v="0"/>
    <n v="0"/>
    <n v="0"/>
    <n v="0"/>
    <n v="0"/>
    <n v="0"/>
    <n v="0"/>
    <n v="0"/>
    <n v="0"/>
    <n v="1"/>
    <n v="0"/>
    <n v="0"/>
    <n v="0"/>
    <s v="MMR001CMP121"/>
    <x v="0"/>
    <x v="0"/>
    <s v="P2"/>
    <n v="0"/>
    <s v="No"/>
  </r>
  <r>
    <n v="26.833333333333332"/>
    <d v="2015-02-16T00:00:00"/>
    <x v="0"/>
    <s v="KMSS"/>
    <s v="Kachin"/>
    <s v="Waingmaw"/>
    <s v="Woi Chyai "/>
    <m/>
    <m/>
    <m/>
    <m/>
    <m/>
    <m/>
    <m/>
    <m/>
    <m/>
    <m/>
    <n v="1620"/>
    <n v="2207"/>
    <m/>
    <n v="1760"/>
    <m/>
    <m/>
    <m/>
    <n v="0"/>
    <n v="0"/>
    <n v="0"/>
    <n v="0"/>
    <n v="0"/>
    <n v="0"/>
    <n v="0"/>
    <n v="0"/>
    <n v="0"/>
    <n v="0"/>
    <n v="0"/>
    <n v="0"/>
    <n v="0"/>
    <n v="0"/>
    <n v="1"/>
    <n v="0"/>
    <n v="0"/>
    <n v="0"/>
    <s v="MMR001CMP116"/>
    <x v="0"/>
    <x v="0"/>
    <s v="P4"/>
    <n v="0"/>
    <s v="No"/>
  </r>
  <r>
    <n v="26.666666666666668"/>
    <d v="2015-02-21T00:00:00"/>
    <x v="0"/>
    <s v="KMSS-LSO"/>
    <s v="Shan_North"/>
    <s v="Kutkai"/>
    <s v="Zup Aung Camp"/>
    <m/>
    <n v="54"/>
    <n v="36"/>
    <n v="108"/>
    <n v="54"/>
    <n v="108"/>
    <n v="54"/>
    <n v="54"/>
    <n v="54"/>
    <n v="108"/>
    <m/>
    <m/>
    <m/>
    <m/>
    <n v="54"/>
    <m/>
    <m/>
    <n v="0"/>
    <n v="0"/>
    <n v="0"/>
    <n v="0"/>
    <n v="0"/>
    <n v="0"/>
    <n v="0"/>
    <n v="0"/>
    <n v="0"/>
    <n v="0"/>
    <n v="0"/>
    <n v="0"/>
    <n v="0"/>
    <n v="0"/>
    <n v="0"/>
    <n v="0"/>
    <n v="0"/>
    <n v="0"/>
    <s v="MMR015CMP020"/>
    <x v="0"/>
    <x v="0"/>
    <s v="P3"/>
    <n v="1.3092813500145475E-3"/>
    <s v="No"/>
  </r>
  <r>
    <n v="27.533333333333335"/>
    <d v="2015-01-26T00:00:00"/>
    <x v="0"/>
    <s v="KMSS"/>
    <s v="Kachin"/>
    <s v="Hpakant"/>
    <s v="Emergency"/>
    <m/>
    <n v="200"/>
    <m/>
    <n v="400"/>
    <n v="250"/>
    <n v="400"/>
    <n v="200"/>
    <m/>
    <n v="200"/>
    <n v="1200"/>
    <m/>
    <m/>
    <m/>
    <m/>
    <n v="200"/>
    <m/>
    <n v="30"/>
    <n v="0"/>
    <n v="0"/>
    <n v="0"/>
    <n v="0"/>
    <n v="0"/>
    <n v="0"/>
    <n v="0"/>
    <n v="0"/>
    <n v="0"/>
    <n v="0"/>
    <n v="0"/>
    <n v="0"/>
    <n v="0"/>
    <n v="0"/>
    <n v="0"/>
    <n v="0"/>
    <n v="0"/>
    <n v="0"/>
    <s v=""/>
    <x v="1"/>
    <x v="2"/>
    <s v=""/>
    <s v=""/>
    <s v="No"/>
  </r>
  <r>
    <n v="26.533333333333335"/>
    <d v="2015-02-25T00:00:00"/>
    <x v="1"/>
    <s v="Solidarities"/>
    <s v="Kachin"/>
    <s v="Bhamo"/>
    <s v="Robert Church"/>
    <m/>
    <m/>
    <m/>
    <m/>
    <m/>
    <m/>
    <m/>
    <m/>
    <m/>
    <m/>
    <m/>
    <m/>
    <m/>
    <m/>
    <m/>
    <n v="76"/>
    <m/>
    <n v="0"/>
    <n v="0"/>
    <n v="0"/>
    <n v="0"/>
    <n v="0"/>
    <n v="0"/>
    <n v="0"/>
    <n v="0"/>
    <n v="0"/>
    <n v="0"/>
    <n v="0"/>
    <n v="0"/>
    <n v="0"/>
    <n v="0"/>
    <n v="0"/>
    <n v="0"/>
    <n v="0"/>
    <n v="0"/>
    <s v="MMR001CMP047"/>
    <x v="0"/>
    <x v="0"/>
    <s v="P4"/>
    <n v="0"/>
    <m/>
  </r>
  <r>
    <n v="27.033333333333335"/>
    <d v="2015-02-10T00:00:00"/>
    <x v="0"/>
    <s v="UNHCR"/>
    <s v="Shan_North"/>
    <s v="Mansi"/>
    <s v="Moe Gok (A Shae Kyaung)"/>
    <m/>
    <m/>
    <m/>
    <n v="49"/>
    <n v="16"/>
    <n v="49"/>
    <n v="16"/>
    <m/>
    <n v="16"/>
    <n v="92"/>
    <m/>
    <m/>
    <m/>
    <m/>
    <n v="15"/>
    <m/>
    <m/>
    <n v="0"/>
    <n v="0"/>
    <n v="0"/>
    <n v="0"/>
    <n v="0"/>
    <n v="0"/>
    <n v="0"/>
    <n v="0"/>
    <n v="0"/>
    <n v="0"/>
    <n v="0"/>
    <n v="0"/>
    <n v="0"/>
    <n v="0"/>
    <n v="0"/>
    <n v="0"/>
    <n v="0"/>
    <n v="0"/>
    <s v=""/>
    <x v="1"/>
    <x v="2"/>
    <s v=""/>
    <s v=""/>
    <s v="No"/>
  </r>
  <r>
    <n v="27.033333333333335"/>
    <d v="2015-02-10T00:00:00"/>
    <x v="0"/>
    <s v="UNHCR"/>
    <s v="Shan_North"/>
    <s v="Mansi"/>
    <s v="Moe Gok (Aung Daw Mu)"/>
    <m/>
    <m/>
    <m/>
    <n v="75"/>
    <n v="13"/>
    <n v="110"/>
    <n v="13"/>
    <m/>
    <n v="13"/>
    <n v="45"/>
    <m/>
    <m/>
    <m/>
    <m/>
    <m/>
    <m/>
    <m/>
    <n v="0"/>
    <n v="0"/>
    <n v="0"/>
    <n v="0"/>
    <n v="0"/>
    <n v="0"/>
    <n v="0"/>
    <n v="0"/>
    <n v="0"/>
    <n v="0"/>
    <n v="0"/>
    <n v="0"/>
    <n v="0"/>
    <n v="0"/>
    <n v="0"/>
    <n v="0"/>
    <n v="0"/>
    <n v="0"/>
    <s v=""/>
    <x v="1"/>
    <x v="2"/>
    <s v=""/>
    <s v=""/>
    <s v="No"/>
  </r>
  <r>
    <n v="27.033333333333335"/>
    <d v="2015-02-10T00:00:00"/>
    <x v="0"/>
    <s v="UNHCR"/>
    <s v="Shan_North"/>
    <s v="Mansi"/>
    <s v="Moe Gok (Pain Pyit Lisu Village)"/>
    <m/>
    <n v="200"/>
    <m/>
    <n v="86"/>
    <n v="28"/>
    <n v="173"/>
    <n v="28"/>
    <m/>
    <n v="43"/>
    <n v="199"/>
    <m/>
    <m/>
    <m/>
    <m/>
    <n v="42"/>
    <m/>
    <m/>
    <n v="0"/>
    <n v="0"/>
    <n v="0"/>
    <n v="0"/>
    <n v="0"/>
    <n v="0"/>
    <n v="0"/>
    <n v="0"/>
    <n v="0"/>
    <n v="0"/>
    <n v="0"/>
    <n v="0"/>
    <n v="0"/>
    <n v="0"/>
    <n v="0"/>
    <n v="0"/>
    <n v="0"/>
    <n v="0"/>
    <s v=""/>
    <x v="1"/>
    <x v="2"/>
    <s v=""/>
    <s v=""/>
    <s v="No"/>
  </r>
  <r>
    <n v="27.033333333333335"/>
    <d v="2015-02-10T00:00:00"/>
    <x v="0"/>
    <s v="UNHCR"/>
    <s v="Shan_North"/>
    <s v="Mansi"/>
    <s v="Moe Mait (Man Ohn0"/>
    <m/>
    <m/>
    <m/>
    <n v="90"/>
    <n v="43"/>
    <n v="93"/>
    <n v="43"/>
    <m/>
    <n v="32"/>
    <n v="164"/>
    <m/>
    <m/>
    <m/>
    <m/>
    <n v="43"/>
    <m/>
    <m/>
    <n v="0"/>
    <n v="0"/>
    <n v="0"/>
    <n v="0"/>
    <n v="0"/>
    <n v="0"/>
    <n v="0"/>
    <n v="0"/>
    <n v="0"/>
    <n v="0"/>
    <n v="0"/>
    <n v="0"/>
    <n v="0"/>
    <n v="0"/>
    <n v="0"/>
    <n v="0"/>
    <n v="0"/>
    <n v="0"/>
    <s v=""/>
    <x v="1"/>
    <x v="2"/>
    <s v=""/>
    <s v=""/>
    <s v="No"/>
  </r>
  <r>
    <n v="27.033333333333335"/>
    <d v="2015-02-10T00:00:00"/>
    <x v="0"/>
    <s v="KBC"/>
    <s v="Kachin"/>
    <s v="Puta-O"/>
    <s v="Resettlement place"/>
    <m/>
    <m/>
    <n v="46"/>
    <n v="92"/>
    <n v="46"/>
    <n v="92"/>
    <n v="46"/>
    <m/>
    <n v="46"/>
    <n v="230"/>
    <m/>
    <m/>
    <m/>
    <m/>
    <n v="46"/>
    <m/>
    <n v="55"/>
    <n v="0"/>
    <n v="0"/>
    <n v="0"/>
    <n v="0"/>
    <n v="0"/>
    <n v="0"/>
    <n v="0"/>
    <n v="0"/>
    <n v="0"/>
    <n v="0"/>
    <n v="0"/>
    <n v="0"/>
    <n v="0"/>
    <n v="0"/>
    <n v="0"/>
    <n v="0"/>
    <n v="0"/>
    <n v="0"/>
    <s v=""/>
    <x v="1"/>
    <x v="2"/>
    <s v=""/>
    <s v=""/>
    <s v="No"/>
  </r>
  <r>
    <n v="26.933333333333334"/>
    <d v="2015-02-13T00:00:00"/>
    <x v="0"/>
    <s v="KMSS-LSO"/>
    <s v="Shan_North"/>
    <s v="Kutkai"/>
    <s v="Pyi Lung Chan Tar"/>
    <m/>
    <n v="68"/>
    <n v="54"/>
    <n v="134"/>
    <n v="68"/>
    <n v="134"/>
    <n v="68"/>
    <m/>
    <n v="68"/>
    <n v="134"/>
    <m/>
    <m/>
    <m/>
    <m/>
    <n v="68"/>
    <m/>
    <m/>
    <n v="0"/>
    <n v="0"/>
    <n v="0"/>
    <n v="0"/>
    <n v="0"/>
    <n v="0"/>
    <n v="0"/>
    <n v="0"/>
    <n v="0"/>
    <n v="0"/>
    <n v="0"/>
    <n v="0"/>
    <n v="0"/>
    <n v="0"/>
    <n v="0"/>
    <n v="0"/>
    <n v="0"/>
    <n v="0"/>
    <s v=""/>
    <x v="1"/>
    <x v="2"/>
    <s v=""/>
    <s v=""/>
    <s v="No"/>
  </r>
  <r>
    <n v="26.5"/>
    <d v="2015-02-26T00:00:00"/>
    <x v="1"/>
    <s v="Solidarities"/>
    <s v="Kachin"/>
    <s v="Bhamo"/>
    <s v="AD-2000 Tharthana Compound"/>
    <m/>
    <m/>
    <m/>
    <m/>
    <m/>
    <m/>
    <m/>
    <m/>
    <m/>
    <m/>
    <m/>
    <m/>
    <m/>
    <m/>
    <m/>
    <n v="37"/>
    <m/>
    <n v="0"/>
    <n v="0"/>
    <n v="0"/>
    <n v="0"/>
    <n v="0"/>
    <n v="0"/>
    <n v="0"/>
    <n v="0"/>
    <n v="0"/>
    <n v="0"/>
    <n v="0"/>
    <n v="0"/>
    <n v="0"/>
    <n v="0"/>
    <n v="0"/>
    <n v="0"/>
    <n v="0"/>
    <n v="0"/>
    <s v="MMR001CMP050"/>
    <x v="0"/>
    <x v="0"/>
    <s v="P4"/>
    <n v="0"/>
    <m/>
  </r>
  <r>
    <n v="26.833333333333332"/>
    <d v="2015-02-16T00:00:00"/>
    <x v="0"/>
    <s v="KMSS"/>
    <s v="Kachin"/>
    <s v="Waingmaw"/>
    <s v="Laiza Market 3 - Laiza Gat"/>
    <m/>
    <m/>
    <m/>
    <m/>
    <m/>
    <m/>
    <m/>
    <m/>
    <m/>
    <m/>
    <n v="1119"/>
    <n v="1455"/>
    <m/>
    <n v="1080"/>
    <m/>
    <m/>
    <m/>
    <n v="0"/>
    <n v="0"/>
    <n v="0"/>
    <n v="0"/>
    <n v="0"/>
    <n v="0"/>
    <n v="0"/>
    <n v="0"/>
    <n v="0"/>
    <n v="0"/>
    <n v="0"/>
    <n v="0"/>
    <n v="0"/>
    <n v="0"/>
    <n v="1"/>
    <n v="0"/>
    <n v="0"/>
    <n v="0"/>
    <s v="MMR001CMP117"/>
    <x v="0"/>
    <x v="1"/>
    <s v="P2"/>
    <n v="0"/>
    <s v="No"/>
  </r>
  <r>
    <n v="26.266666666666666"/>
    <d v="2015-03-05T00:00:00"/>
    <x v="0"/>
    <s v="KMSS-LSO"/>
    <s v="Shan_North"/>
    <s v="Hseni"/>
    <s v="Nam Sa Larp"/>
    <m/>
    <n v="43"/>
    <n v="43"/>
    <n v="85"/>
    <n v="43"/>
    <n v="95"/>
    <n v="43"/>
    <n v="43"/>
    <n v="43"/>
    <n v="95"/>
    <m/>
    <m/>
    <m/>
    <m/>
    <n v="43"/>
    <m/>
    <m/>
    <n v="0"/>
    <n v="0"/>
    <n v="0"/>
    <n v="0"/>
    <n v="0"/>
    <n v="0"/>
    <n v="0"/>
    <n v="0"/>
    <n v="0"/>
    <n v="0"/>
    <n v="0"/>
    <n v="0"/>
    <n v="0"/>
    <n v="0"/>
    <n v="0"/>
    <n v="0"/>
    <n v="0"/>
    <n v="0"/>
    <s v="MMR015CMP218"/>
    <x v="2"/>
    <x v="0"/>
    <n v="0"/>
    <n v="1.0229327243315254E-3"/>
    <s v="No"/>
  </r>
  <r>
    <n v="26.1"/>
    <d v="2015-03-10T00:00:00"/>
    <x v="1"/>
    <s v="Solidarities"/>
    <s v="Kachin"/>
    <s v="Momauk"/>
    <s v="Nyaung Na Pin "/>
    <m/>
    <m/>
    <m/>
    <m/>
    <m/>
    <m/>
    <m/>
    <m/>
    <m/>
    <m/>
    <m/>
    <m/>
    <m/>
    <m/>
    <m/>
    <n v="2"/>
    <m/>
    <n v="0"/>
    <n v="0"/>
    <n v="0"/>
    <n v="0"/>
    <n v="0"/>
    <n v="0"/>
    <n v="0"/>
    <n v="0"/>
    <n v="0"/>
    <n v="0"/>
    <n v="0"/>
    <n v="0"/>
    <n v="0"/>
    <n v="0"/>
    <n v="0"/>
    <n v="0"/>
    <n v="0"/>
    <n v="0"/>
    <s v="MMR001CMP072"/>
    <x v="0"/>
    <x v="0"/>
    <s v="P3"/>
    <n v="0"/>
    <m/>
  </r>
  <r>
    <n v="26.033333333333335"/>
    <d v="2015-03-12T00:00:00"/>
    <x v="1"/>
    <s v="Solidarities"/>
    <s v="Kachin"/>
    <s v="Momauk"/>
    <s v="Loi Je Baptist Church"/>
    <m/>
    <m/>
    <m/>
    <m/>
    <m/>
    <m/>
    <m/>
    <m/>
    <m/>
    <m/>
    <m/>
    <m/>
    <m/>
    <m/>
    <m/>
    <n v="1"/>
    <m/>
    <n v="0"/>
    <n v="0"/>
    <n v="0"/>
    <n v="0"/>
    <n v="0"/>
    <n v="0"/>
    <n v="0"/>
    <n v="0"/>
    <n v="0"/>
    <n v="0"/>
    <n v="0"/>
    <n v="0"/>
    <n v="0"/>
    <n v="0"/>
    <n v="0"/>
    <n v="0"/>
    <n v="0"/>
    <n v="0"/>
    <s v="MMR001CMP071"/>
    <x v="0"/>
    <x v="0"/>
    <s v="P3"/>
    <n v="0"/>
    <m/>
  </r>
  <r>
    <n v="26.666666666666668"/>
    <d v="2015-02-21T00:00:00"/>
    <x v="0"/>
    <s v="UNHCR"/>
    <s v="Shan_North"/>
    <s v="Kutkai"/>
    <s v="Namtit"/>
    <m/>
    <m/>
    <m/>
    <n v="161"/>
    <n v="76"/>
    <m/>
    <n v="76"/>
    <m/>
    <n v="76"/>
    <m/>
    <m/>
    <m/>
    <m/>
    <m/>
    <n v="76"/>
    <m/>
    <m/>
    <n v="0"/>
    <n v="0"/>
    <n v="0"/>
    <n v="0"/>
    <n v="0"/>
    <n v="0"/>
    <n v="0"/>
    <n v="0"/>
    <n v="0"/>
    <n v="0"/>
    <n v="0"/>
    <n v="0"/>
    <n v="0"/>
    <n v="0"/>
    <n v="0"/>
    <n v="0"/>
    <n v="0"/>
    <n v="0"/>
    <s v=""/>
    <x v="1"/>
    <x v="2"/>
    <s v=""/>
    <s v=""/>
    <s v="No"/>
  </r>
  <r>
    <n v="26.033333333333335"/>
    <d v="2015-03-12T00:00:00"/>
    <x v="1"/>
    <s v="Solidarities"/>
    <s v="Kachin"/>
    <s v="Momauk"/>
    <s v="Loi Je Baptist Church"/>
    <m/>
    <m/>
    <m/>
    <m/>
    <m/>
    <m/>
    <m/>
    <m/>
    <m/>
    <m/>
    <m/>
    <m/>
    <m/>
    <m/>
    <m/>
    <m/>
    <m/>
    <n v="0"/>
    <n v="0"/>
    <n v="0"/>
    <n v="0"/>
    <n v="0"/>
    <n v="0"/>
    <n v="0"/>
    <n v="0"/>
    <n v="0"/>
    <n v="0"/>
    <n v="0"/>
    <n v="0"/>
    <n v="0"/>
    <n v="0"/>
    <n v="0"/>
    <n v="0"/>
    <n v="0"/>
    <n v="0"/>
    <s v="MMR001CMP071"/>
    <x v="0"/>
    <x v="0"/>
    <s v="P3"/>
    <n v="0"/>
    <m/>
  </r>
  <r>
    <n v="26.033333333333335"/>
    <d v="2015-03-12T00:00:00"/>
    <x v="1"/>
    <s v="Solidarities"/>
    <s v="Kachin"/>
    <s v="Momauk"/>
    <s v="Loi Je Catholic Church"/>
    <m/>
    <m/>
    <m/>
    <m/>
    <m/>
    <m/>
    <m/>
    <m/>
    <m/>
    <m/>
    <m/>
    <m/>
    <m/>
    <m/>
    <m/>
    <n v="2"/>
    <m/>
    <n v="0"/>
    <n v="0"/>
    <n v="0"/>
    <n v="0"/>
    <n v="0"/>
    <n v="0"/>
    <n v="0"/>
    <n v="0"/>
    <n v="0"/>
    <n v="0"/>
    <n v="0"/>
    <n v="0"/>
    <n v="0"/>
    <n v="0"/>
    <n v="0"/>
    <n v="0"/>
    <n v="0"/>
    <n v="0"/>
    <s v="MMR001CMP069"/>
    <x v="0"/>
    <x v="0"/>
    <s v="P3"/>
    <n v="0"/>
    <m/>
  </r>
  <r>
    <n v="26.033333333333335"/>
    <d v="2015-03-12T00:00:00"/>
    <x v="1"/>
    <s v="Solidarities"/>
    <s v="Kachin"/>
    <s v="Momauk"/>
    <s v="Loi Je Lisu Camp"/>
    <m/>
    <m/>
    <m/>
    <m/>
    <m/>
    <m/>
    <m/>
    <m/>
    <m/>
    <m/>
    <m/>
    <m/>
    <m/>
    <m/>
    <m/>
    <n v="5"/>
    <m/>
    <n v="0"/>
    <n v="0"/>
    <n v="0"/>
    <n v="0"/>
    <n v="0"/>
    <n v="0"/>
    <n v="0"/>
    <n v="0"/>
    <n v="0"/>
    <n v="0"/>
    <n v="0"/>
    <n v="0"/>
    <n v="0"/>
    <n v="0"/>
    <n v="0"/>
    <n v="0"/>
    <n v="0"/>
    <n v="0"/>
    <s v="MMR001CMP070"/>
    <x v="0"/>
    <x v="0"/>
    <s v="P3"/>
    <n v="0"/>
    <m/>
  </r>
  <r>
    <n v="26.033333333333335"/>
    <d v="2015-03-12T00:00:00"/>
    <x v="1"/>
    <s v="Solidarities"/>
    <s v="Kachin"/>
    <s v="Bhamo"/>
    <s v="Phan Khar Kone"/>
    <m/>
    <m/>
    <m/>
    <m/>
    <m/>
    <m/>
    <m/>
    <m/>
    <m/>
    <m/>
    <m/>
    <m/>
    <m/>
    <m/>
    <m/>
    <n v="7"/>
    <m/>
    <n v="0"/>
    <n v="0"/>
    <n v="0"/>
    <n v="0"/>
    <n v="0"/>
    <n v="0"/>
    <n v="0"/>
    <n v="0"/>
    <n v="0"/>
    <n v="0"/>
    <n v="0"/>
    <n v="0"/>
    <n v="0"/>
    <n v="0"/>
    <n v="0"/>
    <n v="0"/>
    <n v="0"/>
    <n v="0"/>
    <s v="MMR001CMP193"/>
    <x v="0"/>
    <x v="0"/>
    <s v="P4"/>
    <n v="0"/>
    <m/>
  </r>
  <r>
    <n v="26.033333333333335"/>
    <d v="2015-03-12T00:00:00"/>
    <x v="1"/>
    <s v="Solidarities"/>
    <s v="Kachin"/>
    <s v="Bhamo"/>
    <s v="Robert Church"/>
    <m/>
    <m/>
    <m/>
    <m/>
    <m/>
    <m/>
    <m/>
    <m/>
    <m/>
    <m/>
    <m/>
    <m/>
    <m/>
    <m/>
    <m/>
    <n v="11"/>
    <m/>
    <n v="0"/>
    <n v="0"/>
    <n v="0"/>
    <n v="0"/>
    <n v="0"/>
    <n v="0"/>
    <n v="0"/>
    <n v="0"/>
    <n v="0"/>
    <n v="0"/>
    <n v="0"/>
    <n v="0"/>
    <n v="0"/>
    <n v="0"/>
    <n v="0"/>
    <n v="0"/>
    <n v="0"/>
    <n v="0"/>
    <s v="MMR001CMP047"/>
    <x v="0"/>
    <x v="0"/>
    <s v="P4"/>
    <n v="0"/>
    <m/>
  </r>
  <r>
    <n v="26.033333333333335"/>
    <d v="2015-03-12T00:00:00"/>
    <x v="1"/>
    <s v="Solidarities"/>
    <s v="Kachin"/>
    <s v="Momauk"/>
    <s v="Seng Ja "/>
    <m/>
    <m/>
    <m/>
    <m/>
    <m/>
    <m/>
    <m/>
    <m/>
    <m/>
    <m/>
    <m/>
    <m/>
    <m/>
    <m/>
    <m/>
    <n v="4"/>
    <m/>
    <n v="0"/>
    <n v="0"/>
    <n v="0"/>
    <n v="0"/>
    <n v="0"/>
    <n v="0"/>
    <n v="0"/>
    <n v="0"/>
    <n v="0"/>
    <n v="0"/>
    <n v="0"/>
    <n v="0"/>
    <n v="0"/>
    <n v="0"/>
    <n v="0"/>
    <n v="0"/>
    <n v="0"/>
    <n v="0"/>
    <s v="MMR001CMP073"/>
    <x v="0"/>
    <x v="0"/>
    <s v="P3"/>
    <n v="0"/>
    <m/>
  </r>
  <r>
    <n v="26"/>
    <d v="2015-03-13T00:00:00"/>
    <x v="0"/>
    <s v="KMSS"/>
    <s v="Kachin"/>
    <s v="Waingmaw"/>
    <s v="Maina Catholic Church (St. Joseph)"/>
    <m/>
    <m/>
    <m/>
    <m/>
    <n v="1"/>
    <m/>
    <m/>
    <m/>
    <m/>
    <m/>
    <m/>
    <m/>
    <m/>
    <m/>
    <m/>
    <m/>
    <m/>
    <n v="0"/>
    <n v="0"/>
    <n v="0"/>
    <n v="0"/>
    <n v="0"/>
    <n v="0"/>
    <n v="0"/>
    <n v="0"/>
    <n v="0"/>
    <n v="0"/>
    <n v="0"/>
    <n v="0"/>
    <n v="0"/>
    <n v="0"/>
    <n v="0"/>
    <n v="0"/>
    <n v="0"/>
    <n v="0"/>
    <s v="MMR001CMP029"/>
    <x v="0"/>
    <x v="0"/>
    <s v="P4"/>
    <n v="0"/>
    <s v="No"/>
  </r>
  <r>
    <n v="25.6"/>
    <d v="2015-03-25T00:00:00"/>
    <x v="0"/>
    <s v="KMSS-BMO"/>
    <s v="Kachin"/>
    <s v="Mansi"/>
    <s v="Bum Tsit Pa "/>
    <m/>
    <m/>
    <m/>
    <m/>
    <m/>
    <n v="829"/>
    <m/>
    <m/>
    <m/>
    <m/>
    <m/>
    <m/>
    <m/>
    <m/>
    <m/>
    <m/>
    <m/>
    <n v="0"/>
    <n v="0"/>
    <n v="0"/>
    <n v="0"/>
    <n v="0"/>
    <n v="0"/>
    <n v="0"/>
    <n v="0"/>
    <n v="0"/>
    <n v="0"/>
    <n v="0"/>
    <n v="0"/>
    <n v="0"/>
    <n v="0"/>
    <n v="0"/>
    <n v="0"/>
    <n v="0"/>
    <n v="0"/>
    <s v="MMR001CMP129"/>
    <x v="0"/>
    <x v="0"/>
    <s v="P2"/>
    <n v="0"/>
    <s v="No"/>
  </r>
  <r>
    <n v="25.533333333333335"/>
    <d v="2015-03-27T00:00:00"/>
    <x v="0"/>
    <s v="KMSS-BMO"/>
    <s v="Kachin"/>
    <s v="Mansi"/>
    <s v="Lana Zup Ja "/>
    <m/>
    <m/>
    <m/>
    <m/>
    <m/>
    <n v="357"/>
    <m/>
    <m/>
    <m/>
    <m/>
    <m/>
    <m/>
    <m/>
    <m/>
    <m/>
    <m/>
    <m/>
    <n v="0"/>
    <n v="0"/>
    <n v="0"/>
    <n v="0"/>
    <n v="0"/>
    <n v="0"/>
    <n v="0"/>
    <n v="0"/>
    <n v="0"/>
    <n v="0"/>
    <n v="0"/>
    <n v="0"/>
    <n v="0"/>
    <n v="0"/>
    <n v="0"/>
    <n v="0"/>
    <n v="0"/>
    <n v="0"/>
    <s v="MMR001CMP128"/>
    <x v="0"/>
    <x v="0"/>
    <s v="P2"/>
    <n v="0"/>
    <s v="No"/>
  </r>
  <r>
    <n v="25.3"/>
    <d v="2015-04-03T00:00:00"/>
    <x v="0"/>
    <s v="Shalom-BM"/>
    <s v="Kachin"/>
    <s v="Bhamo"/>
    <s v="Mu-yin Baptist Church"/>
    <m/>
    <m/>
    <m/>
    <m/>
    <n v="3"/>
    <n v="53"/>
    <m/>
    <m/>
    <n v="3"/>
    <n v="11"/>
    <m/>
    <m/>
    <m/>
    <m/>
    <n v="3"/>
    <m/>
    <m/>
    <n v="0"/>
    <n v="0"/>
    <n v="0"/>
    <n v="0"/>
    <n v="0"/>
    <n v="0"/>
    <n v="0"/>
    <n v="0"/>
    <n v="0"/>
    <n v="0"/>
    <n v="0"/>
    <n v="0"/>
    <n v="0"/>
    <n v="0"/>
    <n v="0"/>
    <n v="0"/>
    <n v="0"/>
    <n v="0"/>
    <s v="MMR001CMP051"/>
    <x v="0"/>
    <x v="0"/>
    <s v="P4"/>
    <n v="0"/>
    <s v="No"/>
  </r>
  <r>
    <n v="25.3"/>
    <d v="2015-04-03T00:00:00"/>
    <x v="0"/>
    <s v="UNHCR"/>
    <s v="Kachin"/>
    <s v="Momauk"/>
    <s v="Nhkawng Pa "/>
    <m/>
    <m/>
    <m/>
    <m/>
    <m/>
    <m/>
    <m/>
    <m/>
    <m/>
    <m/>
    <m/>
    <m/>
    <m/>
    <m/>
    <n v="405"/>
    <m/>
    <m/>
    <n v="0"/>
    <n v="0"/>
    <n v="0"/>
    <n v="0"/>
    <n v="0"/>
    <n v="0"/>
    <n v="0"/>
    <n v="0"/>
    <n v="0"/>
    <n v="0"/>
    <n v="0"/>
    <n v="0"/>
    <n v="0"/>
    <n v="0"/>
    <n v="0"/>
    <n v="0"/>
    <n v="0"/>
    <n v="0"/>
    <s v="MMR001CMP131"/>
    <x v="0"/>
    <x v="0"/>
    <s v="P1"/>
    <n v="0"/>
    <s v="No"/>
  </r>
  <r>
    <n v="25.133333333333333"/>
    <d v="2015-04-08T00:00:00"/>
    <x v="1"/>
    <s v="Solidarities"/>
    <s v="Kachin"/>
    <s v="Bhamo"/>
    <s v="AD-2000 Tharthana Compound"/>
    <m/>
    <m/>
    <m/>
    <m/>
    <m/>
    <m/>
    <m/>
    <m/>
    <m/>
    <m/>
    <m/>
    <m/>
    <m/>
    <m/>
    <m/>
    <n v="7"/>
    <m/>
    <n v="0"/>
    <n v="0"/>
    <n v="0"/>
    <n v="0"/>
    <n v="0"/>
    <n v="0"/>
    <n v="0"/>
    <n v="0"/>
    <n v="0"/>
    <n v="0"/>
    <n v="0"/>
    <n v="0"/>
    <n v="0"/>
    <n v="0"/>
    <n v="0"/>
    <n v="0"/>
    <n v="0"/>
    <n v="0"/>
    <s v="MMR001CMP050"/>
    <x v="0"/>
    <x v="0"/>
    <s v="P4"/>
    <n v="0"/>
    <m/>
  </r>
  <r>
    <n v="25.133333333333333"/>
    <d v="2015-04-08T00:00:00"/>
    <x v="0"/>
    <s v="KBC"/>
    <s v="Kachin"/>
    <s v="Mansi"/>
    <s v="Maing Khaung"/>
    <m/>
    <m/>
    <m/>
    <n v="8"/>
    <n v="4"/>
    <m/>
    <n v="4"/>
    <m/>
    <n v="4"/>
    <m/>
    <m/>
    <m/>
    <m/>
    <m/>
    <m/>
    <m/>
    <m/>
    <n v="0"/>
    <n v="0"/>
    <n v="0"/>
    <n v="0"/>
    <n v="0"/>
    <n v="0"/>
    <n v="0"/>
    <n v="0"/>
    <n v="0"/>
    <n v="0"/>
    <n v="0"/>
    <n v="0"/>
    <n v="0"/>
    <n v="0"/>
    <n v="0"/>
    <n v="0"/>
    <n v="0"/>
    <n v="0"/>
    <s v="MMR001CMP218"/>
    <x v="0"/>
    <x v="0"/>
    <s v="P4"/>
    <n v="9.6274188889958599E-5"/>
    <s v="No"/>
  </r>
  <r>
    <n v="25.133333333333333"/>
    <d v="2015-04-08T00:00:00"/>
    <x v="1"/>
    <s v="Solidarities"/>
    <s v="Kachin"/>
    <s v="Bhamo"/>
    <s v="Ta Gun Taing Monastery (Shwe Kyi Na)"/>
    <m/>
    <m/>
    <m/>
    <m/>
    <m/>
    <m/>
    <m/>
    <m/>
    <m/>
    <m/>
    <m/>
    <m/>
    <m/>
    <m/>
    <m/>
    <n v="2"/>
    <m/>
    <n v="0"/>
    <n v="0"/>
    <n v="0"/>
    <n v="0"/>
    <n v="0"/>
    <n v="0"/>
    <n v="0"/>
    <n v="0"/>
    <n v="0"/>
    <n v="0"/>
    <n v="0"/>
    <n v="0"/>
    <n v="0"/>
    <n v="0"/>
    <n v="0"/>
    <n v="0"/>
    <n v="0"/>
    <n v="0"/>
    <s v="MMR001CMP055"/>
    <x v="0"/>
    <x v="0"/>
    <s v="P4"/>
    <n v="0"/>
    <m/>
  </r>
  <r>
    <n v="25.9"/>
    <d v="2015-03-16T00:00:00"/>
    <x v="0"/>
    <s v="UNHCR"/>
    <s v="Kachin"/>
    <s v="Bhamo"/>
    <s v="Nhkawng Pa camp and Pa Kahtawng camp thru cross line mission with KMSS-Bhamo"/>
    <m/>
    <m/>
    <m/>
    <m/>
    <m/>
    <m/>
    <m/>
    <m/>
    <m/>
    <m/>
    <n v="2460"/>
    <n v="3600"/>
    <m/>
    <m/>
    <m/>
    <m/>
    <m/>
    <n v="0"/>
    <n v="0"/>
    <n v="0"/>
    <n v="0"/>
    <n v="0"/>
    <n v="0"/>
    <n v="0"/>
    <n v="0"/>
    <n v="0"/>
    <n v="0"/>
    <n v="0"/>
    <n v="0"/>
    <n v="0"/>
    <n v="0"/>
    <n v="1"/>
    <n v="0"/>
    <n v="0"/>
    <n v="0"/>
    <s v=""/>
    <x v="1"/>
    <x v="2"/>
    <s v=""/>
    <s v=""/>
    <s v="No"/>
  </r>
  <r>
    <n v="25.6"/>
    <d v="2015-03-25T00:00:00"/>
    <x v="1"/>
    <s v="Solidarities"/>
    <s v="Kachin"/>
    <s v="Momauk"/>
    <s v="Edin"/>
    <m/>
    <m/>
    <m/>
    <m/>
    <m/>
    <m/>
    <m/>
    <m/>
    <m/>
    <m/>
    <m/>
    <m/>
    <m/>
    <m/>
    <m/>
    <n v="3"/>
    <m/>
    <n v="0"/>
    <n v="0"/>
    <n v="0"/>
    <n v="0"/>
    <n v="0"/>
    <n v="0"/>
    <n v="0"/>
    <n v="0"/>
    <n v="0"/>
    <n v="0"/>
    <n v="0"/>
    <n v="0"/>
    <n v="0"/>
    <n v="0"/>
    <n v="0"/>
    <n v="0"/>
    <n v="0"/>
    <n v="0"/>
    <s v=""/>
    <x v="1"/>
    <x v="2"/>
    <s v=""/>
    <s v=""/>
    <m/>
  </r>
  <r>
    <n v="25.6"/>
    <d v="2015-03-25T00:00:00"/>
    <x v="0"/>
    <s v="UNHCR"/>
    <s v="Kachin"/>
    <s v="Mansi"/>
    <s v="Lana Zup Ja and Bumtsit pa (1) and (2)"/>
    <m/>
    <m/>
    <m/>
    <n v="1621"/>
    <m/>
    <m/>
    <m/>
    <m/>
    <m/>
    <m/>
    <m/>
    <m/>
    <m/>
    <m/>
    <m/>
    <m/>
    <m/>
    <n v="0"/>
    <n v="0"/>
    <n v="0"/>
    <n v="0"/>
    <n v="0"/>
    <n v="0"/>
    <n v="0"/>
    <n v="0"/>
    <n v="0"/>
    <n v="0"/>
    <n v="0"/>
    <n v="0"/>
    <n v="0"/>
    <n v="0"/>
    <n v="0"/>
    <n v="0"/>
    <n v="0"/>
    <n v="0"/>
    <s v=""/>
    <x v="1"/>
    <x v="2"/>
    <s v=""/>
    <s v=""/>
    <s v="No"/>
  </r>
  <r>
    <n v="25.6"/>
    <d v="2015-03-25T00:00:00"/>
    <x v="0"/>
    <s v="UNHCR"/>
    <s v="Kachin"/>
    <s v="Bhamo"/>
    <s v="Nhkawng Pa camp and Pa Kahtawng camp thru cross line mission with KMSS-Bhamo"/>
    <m/>
    <m/>
    <m/>
    <m/>
    <m/>
    <m/>
    <m/>
    <m/>
    <m/>
    <m/>
    <n v="2086"/>
    <n v="3036"/>
    <m/>
    <m/>
    <m/>
    <m/>
    <m/>
    <n v="0"/>
    <n v="0"/>
    <n v="0"/>
    <n v="0"/>
    <n v="0"/>
    <n v="0"/>
    <n v="0"/>
    <n v="0"/>
    <n v="0"/>
    <n v="0"/>
    <n v="0"/>
    <n v="0"/>
    <n v="0"/>
    <n v="0"/>
    <n v="1"/>
    <n v="0"/>
    <n v="0"/>
    <n v="0"/>
    <s v=""/>
    <x v="1"/>
    <x v="2"/>
    <s v=""/>
    <s v=""/>
    <s v="No"/>
  </r>
  <r>
    <n v="25.6"/>
    <d v="2015-03-25T00:00:00"/>
    <x v="1"/>
    <s v="Solidarities"/>
    <s v="Kachin"/>
    <s v="Momauk"/>
    <s v="Ni Thaw Ka Monestry"/>
    <m/>
    <m/>
    <m/>
    <m/>
    <m/>
    <m/>
    <m/>
    <m/>
    <m/>
    <m/>
    <m/>
    <m/>
    <m/>
    <m/>
    <m/>
    <n v="1"/>
    <m/>
    <n v="0"/>
    <n v="0"/>
    <n v="0"/>
    <n v="0"/>
    <n v="0"/>
    <n v="0"/>
    <n v="0"/>
    <n v="0"/>
    <n v="0"/>
    <n v="0"/>
    <n v="0"/>
    <n v="0"/>
    <n v="0"/>
    <n v="0"/>
    <n v="0"/>
    <n v="0"/>
    <n v="0"/>
    <n v="0"/>
    <s v="MMR001CMP059"/>
    <x v="0"/>
    <x v="1"/>
    <s v="P4"/>
    <n v="0"/>
    <m/>
  </r>
  <r>
    <n v="24.866666666666667"/>
    <d v="2015-04-16T00:00:00"/>
    <x v="0"/>
    <s v="KMSS-LSO"/>
    <s v="Shan_North"/>
    <s v="Kutkai"/>
    <s v="Kutkai downtown (RC Church)"/>
    <m/>
    <m/>
    <m/>
    <m/>
    <m/>
    <m/>
    <m/>
    <m/>
    <m/>
    <n v="69"/>
    <m/>
    <m/>
    <m/>
    <m/>
    <m/>
    <m/>
    <m/>
    <n v="0"/>
    <n v="0"/>
    <n v="0"/>
    <n v="0"/>
    <n v="0"/>
    <n v="0"/>
    <n v="0"/>
    <n v="0"/>
    <n v="0"/>
    <n v="0"/>
    <n v="0"/>
    <n v="0"/>
    <n v="0"/>
    <n v="0"/>
    <n v="0"/>
    <n v="0"/>
    <n v="0"/>
    <n v="0"/>
    <s v="MMR015CMP017"/>
    <x v="0"/>
    <x v="0"/>
    <s v="P3"/>
    <n v="0"/>
    <s v="No"/>
  </r>
  <r>
    <n v="24.6"/>
    <d v="2015-04-24T00:00:00"/>
    <x v="0"/>
    <s v="KBC"/>
    <s v="Kachin"/>
    <s v="Momauk"/>
    <s v="Loi Je Lisu Camp"/>
    <m/>
    <m/>
    <m/>
    <m/>
    <m/>
    <m/>
    <m/>
    <m/>
    <n v="9"/>
    <m/>
    <m/>
    <m/>
    <m/>
    <m/>
    <m/>
    <m/>
    <m/>
    <n v="0"/>
    <n v="0"/>
    <n v="0"/>
    <n v="0"/>
    <n v="0"/>
    <n v="0"/>
    <n v="0"/>
    <n v="0"/>
    <n v="0"/>
    <n v="0"/>
    <n v="0"/>
    <n v="0"/>
    <n v="0"/>
    <n v="0"/>
    <n v="0"/>
    <n v="0"/>
    <n v="0"/>
    <n v="0"/>
    <s v="MMR001CMP070"/>
    <x v="0"/>
    <x v="0"/>
    <s v="P3"/>
    <n v="0"/>
    <s v="No"/>
  </r>
  <r>
    <n v="25.5"/>
    <d v="2015-03-28T00:00:00"/>
    <x v="0"/>
    <s v="KMSS-BMO"/>
    <s v="Kachin"/>
    <s v="Mansi"/>
    <s v="Bum Tsit Pa Camp II"/>
    <m/>
    <m/>
    <m/>
    <m/>
    <m/>
    <n v="704"/>
    <m/>
    <m/>
    <n v="9"/>
    <m/>
    <m/>
    <m/>
    <m/>
    <m/>
    <m/>
    <m/>
    <m/>
    <n v="0"/>
    <n v="0"/>
    <n v="0"/>
    <n v="0"/>
    <n v="0"/>
    <n v="0"/>
    <n v="0"/>
    <n v="0"/>
    <n v="0"/>
    <n v="0"/>
    <n v="0"/>
    <n v="0"/>
    <n v="0"/>
    <n v="0"/>
    <n v="0"/>
    <n v="0"/>
    <n v="0"/>
    <n v="0"/>
    <s v="MMR001CMP226"/>
    <x v="0"/>
    <x v="1"/>
    <s v="P2"/>
    <n v="0"/>
    <s v="No"/>
  </r>
  <r>
    <n v="25.3"/>
    <d v="2015-04-03T00:00:00"/>
    <x v="0"/>
    <s v="Shalom-BM"/>
    <s v="Kachin"/>
    <s v="Bhamo"/>
    <s v="Lisu Baptist Church"/>
    <m/>
    <m/>
    <m/>
    <m/>
    <m/>
    <n v="15"/>
    <m/>
    <m/>
    <n v="26"/>
    <n v="720"/>
    <m/>
    <m/>
    <m/>
    <m/>
    <n v="26"/>
    <m/>
    <m/>
    <n v="0"/>
    <n v="0"/>
    <n v="0"/>
    <n v="0"/>
    <n v="0"/>
    <n v="0"/>
    <n v="0"/>
    <n v="0"/>
    <n v="0"/>
    <n v="0"/>
    <n v="0"/>
    <n v="0"/>
    <n v="0"/>
    <n v="0"/>
    <n v="0"/>
    <n v="0"/>
    <n v="0"/>
    <n v="0"/>
    <s v=""/>
    <x v="1"/>
    <x v="2"/>
    <s v=""/>
    <s v=""/>
    <s v="No"/>
  </r>
  <r>
    <n v="25.3"/>
    <d v="2015-04-03T00:00:00"/>
    <x v="0"/>
    <s v="Shalom"/>
    <s v="Kachin"/>
    <s v="Momauk"/>
    <s v="Mandalay Monestry"/>
    <m/>
    <m/>
    <m/>
    <m/>
    <m/>
    <m/>
    <m/>
    <m/>
    <m/>
    <m/>
    <m/>
    <m/>
    <m/>
    <m/>
    <m/>
    <m/>
    <m/>
    <n v="0"/>
    <n v="0"/>
    <n v="0"/>
    <n v="0"/>
    <n v="0"/>
    <n v="0"/>
    <n v="0"/>
    <n v="0"/>
    <n v="0"/>
    <n v="0"/>
    <n v="0"/>
    <n v="0"/>
    <n v="0"/>
    <n v="0"/>
    <n v="0"/>
    <n v="0"/>
    <n v="0"/>
    <n v="0"/>
    <s v="MMR001CMP058"/>
    <x v="0"/>
    <x v="1"/>
    <s v="P4"/>
    <n v="0"/>
    <s v="No"/>
  </r>
  <r>
    <n v="25.3"/>
    <d v="2015-04-03T00:00:00"/>
    <x v="0"/>
    <s v="Shalom"/>
    <s v="Kachin"/>
    <s v="Momauk"/>
    <s v="Ni Thaw Ka Monestry"/>
    <m/>
    <m/>
    <m/>
    <n v="105"/>
    <n v="26"/>
    <n v="308"/>
    <n v="29"/>
    <m/>
    <m/>
    <n v="69"/>
    <m/>
    <m/>
    <m/>
    <m/>
    <m/>
    <m/>
    <m/>
    <n v="0"/>
    <n v="0"/>
    <n v="0"/>
    <n v="0"/>
    <n v="0"/>
    <n v="0"/>
    <n v="0"/>
    <n v="0"/>
    <n v="0"/>
    <n v="0"/>
    <n v="0"/>
    <n v="0"/>
    <n v="0"/>
    <n v="0"/>
    <n v="0"/>
    <n v="0"/>
    <n v="0"/>
    <n v="0"/>
    <s v="MMR001CMP059"/>
    <x v="0"/>
    <x v="1"/>
    <s v="P4"/>
    <n v="7.1048827694343043E-4"/>
    <s v="No"/>
  </r>
  <r>
    <n v="24.6"/>
    <d v="2015-04-24T00:00:00"/>
    <x v="0"/>
    <s v="KBC"/>
    <s v="Kachin"/>
    <s v="Momauk"/>
    <s v="Seng Ja "/>
    <m/>
    <m/>
    <m/>
    <n v="36"/>
    <n v="18"/>
    <n v="90"/>
    <n v="18"/>
    <m/>
    <m/>
    <n v="90"/>
    <m/>
    <m/>
    <m/>
    <m/>
    <n v="18"/>
    <m/>
    <m/>
    <n v="0"/>
    <n v="0"/>
    <n v="0"/>
    <n v="0"/>
    <n v="0"/>
    <n v="0"/>
    <n v="0"/>
    <n v="0"/>
    <n v="0"/>
    <n v="0"/>
    <n v="0"/>
    <n v="0"/>
    <n v="0"/>
    <n v="0"/>
    <n v="0"/>
    <n v="0"/>
    <n v="0"/>
    <n v="0"/>
    <s v="MMR001CMP073"/>
    <x v="0"/>
    <x v="0"/>
    <s v="P3"/>
    <n v="4.3772190068576433E-4"/>
    <s v="No"/>
  </r>
  <r>
    <n v="23.966666666666665"/>
    <d v="2015-05-13T00:00:00"/>
    <x v="0"/>
    <s v="KMSS-BMO"/>
    <s v="Kachin"/>
    <s v="Momauk"/>
    <s v="Man Bung Catholic compound"/>
    <m/>
    <m/>
    <m/>
    <m/>
    <m/>
    <n v="28"/>
    <m/>
    <m/>
    <m/>
    <m/>
    <m/>
    <m/>
    <m/>
    <m/>
    <m/>
    <m/>
    <m/>
    <n v="0"/>
    <n v="0"/>
    <n v="0"/>
    <n v="0"/>
    <n v="0"/>
    <n v="0"/>
    <n v="0"/>
    <n v="0"/>
    <n v="0"/>
    <n v="0"/>
    <n v="0"/>
    <n v="0"/>
    <n v="0"/>
    <n v="0"/>
    <n v="0"/>
    <n v="0"/>
    <n v="0"/>
    <n v="0"/>
    <s v="MMR001CMP062"/>
    <x v="0"/>
    <x v="0"/>
    <s v="P4"/>
    <n v="0"/>
    <s v="No"/>
  </r>
  <r>
    <n v="23.5"/>
    <d v="2015-05-27T00:00:00"/>
    <x v="1"/>
    <s v="Solidarities"/>
    <s v="Kachin"/>
    <s v="Bhamo"/>
    <s v="AD-2000 Tharthana Compound"/>
    <m/>
    <m/>
    <n v="424"/>
    <m/>
    <m/>
    <m/>
    <m/>
    <m/>
    <m/>
    <m/>
    <m/>
    <m/>
    <m/>
    <m/>
    <m/>
    <m/>
    <m/>
    <n v="0"/>
    <n v="0"/>
    <n v="0"/>
    <n v="0"/>
    <n v="0"/>
    <n v="0"/>
    <n v="0"/>
    <n v="0"/>
    <n v="0"/>
    <n v="0"/>
    <n v="0"/>
    <n v="0"/>
    <n v="0"/>
    <n v="0"/>
    <n v="0"/>
    <n v="0"/>
    <n v="0"/>
    <n v="0"/>
    <s v="MMR001CMP050"/>
    <x v="0"/>
    <x v="0"/>
    <s v="P4"/>
    <n v="0"/>
    <m/>
  </r>
  <r>
    <n v="23.466666666666665"/>
    <d v="2015-05-28T00:00:00"/>
    <x v="1"/>
    <s v="Solidarities"/>
    <s v="Kachin"/>
    <s v="Bhamo"/>
    <s v="Ta Gun Taing Monastery (Shwe Kyi Na)"/>
    <m/>
    <m/>
    <n v="36"/>
    <m/>
    <m/>
    <m/>
    <m/>
    <m/>
    <m/>
    <m/>
    <m/>
    <m/>
    <m/>
    <m/>
    <m/>
    <m/>
    <m/>
    <n v="0"/>
    <n v="0"/>
    <n v="0"/>
    <n v="0"/>
    <n v="0"/>
    <n v="0"/>
    <n v="0"/>
    <n v="0"/>
    <n v="0"/>
    <n v="0"/>
    <n v="0"/>
    <n v="0"/>
    <n v="0"/>
    <n v="0"/>
    <n v="0"/>
    <n v="0"/>
    <n v="0"/>
    <n v="0"/>
    <s v="MMR001CMP055"/>
    <x v="0"/>
    <x v="0"/>
    <s v="P4"/>
    <n v="0"/>
    <m/>
  </r>
  <r>
    <n v="23.433333333333334"/>
    <d v="2015-05-29T00:00:00"/>
    <x v="1"/>
    <s v="Solidarities"/>
    <s v="Kachin"/>
    <s v="Bhamo"/>
    <s v="Phan Khar Kone"/>
    <m/>
    <m/>
    <n v="258"/>
    <m/>
    <m/>
    <m/>
    <m/>
    <m/>
    <m/>
    <m/>
    <m/>
    <m/>
    <m/>
    <m/>
    <m/>
    <m/>
    <m/>
    <n v="0"/>
    <n v="0"/>
    <n v="0"/>
    <n v="0"/>
    <n v="0"/>
    <n v="0"/>
    <n v="0"/>
    <n v="0"/>
    <n v="0"/>
    <n v="0"/>
    <n v="0"/>
    <n v="0"/>
    <n v="0"/>
    <n v="0"/>
    <n v="0"/>
    <n v="0"/>
    <n v="0"/>
    <n v="0"/>
    <s v="MMR001CMP193"/>
    <x v="0"/>
    <x v="0"/>
    <s v="P4"/>
    <n v="0"/>
    <m/>
  </r>
  <r>
    <n v="23.4"/>
    <d v="2015-05-30T00:00:00"/>
    <x v="1"/>
    <s v="Solidarities"/>
    <s v="Kachin"/>
    <s v="Bhamo"/>
    <s v="Robert Church"/>
    <m/>
    <m/>
    <m/>
    <m/>
    <m/>
    <m/>
    <m/>
    <m/>
    <m/>
    <m/>
    <m/>
    <m/>
    <m/>
    <m/>
    <n v="3"/>
    <m/>
    <m/>
    <n v="0"/>
    <n v="0"/>
    <n v="0"/>
    <n v="0"/>
    <n v="0"/>
    <n v="0"/>
    <n v="0"/>
    <n v="0"/>
    <n v="0"/>
    <n v="0"/>
    <n v="0"/>
    <n v="0"/>
    <n v="0"/>
    <n v="0"/>
    <n v="0"/>
    <n v="0"/>
    <n v="0"/>
    <n v="0"/>
    <s v="MMR001CMP047"/>
    <x v="0"/>
    <x v="0"/>
    <s v="P4"/>
    <n v="0"/>
    <m/>
  </r>
  <r>
    <n v="23.366666666666667"/>
    <d v="2015-05-31T00:00:00"/>
    <x v="1"/>
    <s v="Solidarities"/>
    <s v="Kachin"/>
    <s v="Momauk"/>
    <s v="Loi Je Baptist Church"/>
    <m/>
    <m/>
    <m/>
    <m/>
    <m/>
    <m/>
    <m/>
    <m/>
    <m/>
    <m/>
    <m/>
    <m/>
    <m/>
    <m/>
    <n v="2"/>
    <m/>
    <m/>
    <n v="0"/>
    <n v="0"/>
    <n v="0"/>
    <n v="0"/>
    <n v="0"/>
    <n v="0"/>
    <n v="0"/>
    <n v="0"/>
    <n v="0"/>
    <n v="0"/>
    <n v="0"/>
    <n v="0"/>
    <n v="0"/>
    <n v="0"/>
    <n v="0"/>
    <n v="0"/>
    <n v="0"/>
    <n v="0"/>
    <s v="MMR001CMP071"/>
    <x v="0"/>
    <x v="0"/>
    <s v="P3"/>
    <n v="0"/>
    <m/>
  </r>
  <r>
    <n v="23.366666666666667"/>
    <d v="2015-05-31T00:00:00"/>
    <x v="1"/>
    <s v="Solidarities"/>
    <s v="Kachin"/>
    <s v="Momauk"/>
    <s v="Loi Je Lisu Camp"/>
    <m/>
    <m/>
    <m/>
    <m/>
    <m/>
    <m/>
    <m/>
    <m/>
    <m/>
    <m/>
    <m/>
    <m/>
    <m/>
    <m/>
    <n v="4"/>
    <m/>
    <m/>
    <n v="0"/>
    <n v="0"/>
    <n v="0"/>
    <n v="0"/>
    <n v="0"/>
    <n v="0"/>
    <n v="0"/>
    <n v="0"/>
    <n v="0"/>
    <n v="0"/>
    <n v="0"/>
    <n v="0"/>
    <n v="0"/>
    <n v="0"/>
    <n v="0"/>
    <n v="0"/>
    <n v="0"/>
    <n v="0"/>
    <s v="MMR001CMP070"/>
    <x v="0"/>
    <x v="0"/>
    <s v="P3"/>
    <n v="0"/>
    <m/>
  </r>
  <r>
    <n v="23.366666666666667"/>
    <d v="2015-05-31T00:00:00"/>
    <x v="1"/>
    <s v="Solidarities"/>
    <s v="Kachin"/>
    <s v="Bhamo"/>
    <s v="Phan Khar Kone"/>
    <m/>
    <m/>
    <m/>
    <m/>
    <m/>
    <m/>
    <m/>
    <m/>
    <m/>
    <m/>
    <m/>
    <m/>
    <m/>
    <m/>
    <n v="6"/>
    <m/>
    <m/>
    <n v="0"/>
    <n v="0"/>
    <n v="0"/>
    <n v="0"/>
    <n v="0"/>
    <n v="0"/>
    <n v="0"/>
    <n v="0"/>
    <n v="0"/>
    <n v="0"/>
    <n v="0"/>
    <n v="0"/>
    <n v="0"/>
    <n v="0"/>
    <n v="0"/>
    <n v="0"/>
    <n v="0"/>
    <n v="0"/>
    <s v="MMR001CMP193"/>
    <x v="0"/>
    <x v="0"/>
    <s v="P4"/>
    <n v="0"/>
    <m/>
  </r>
  <r>
    <n v="23.366666666666667"/>
    <d v="2015-05-31T00:00:00"/>
    <x v="1"/>
    <s v="Solidarities"/>
    <s v="Kachin"/>
    <s v="Momauk"/>
    <s v="Seng Ja "/>
    <m/>
    <m/>
    <m/>
    <m/>
    <m/>
    <m/>
    <m/>
    <m/>
    <m/>
    <m/>
    <m/>
    <m/>
    <m/>
    <m/>
    <n v="3"/>
    <m/>
    <m/>
    <n v="0"/>
    <n v="0"/>
    <n v="0"/>
    <n v="0"/>
    <n v="0"/>
    <n v="0"/>
    <n v="0"/>
    <n v="0"/>
    <n v="0"/>
    <n v="0"/>
    <n v="0"/>
    <n v="0"/>
    <n v="0"/>
    <n v="0"/>
    <n v="0"/>
    <n v="0"/>
    <n v="0"/>
    <n v="0"/>
    <s v="MMR001CMP073"/>
    <x v="0"/>
    <x v="0"/>
    <s v="P3"/>
    <n v="0"/>
    <m/>
  </r>
  <r>
    <n v="23.3"/>
    <d v="2015-06-02T00:00:00"/>
    <x v="1"/>
    <s v="Solidarities"/>
    <s v="Kachin"/>
    <s v="Bhamo"/>
    <s v="Robert Church"/>
    <m/>
    <m/>
    <n v="1048"/>
    <m/>
    <m/>
    <m/>
    <m/>
    <m/>
    <m/>
    <m/>
    <m/>
    <m/>
    <m/>
    <m/>
    <m/>
    <m/>
    <m/>
    <n v="0"/>
    <n v="0"/>
    <n v="0"/>
    <n v="0"/>
    <n v="0"/>
    <n v="0"/>
    <n v="0"/>
    <n v="0"/>
    <n v="0"/>
    <n v="0"/>
    <n v="0"/>
    <n v="0"/>
    <n v="0"/>
    <n v="0"/>
    <n v="0"/>
    <n v="0"/>
    <n v="0"/>
    <n v="0"/>
    <s v="MMR001CMP047"/>
    <x v="0"/>
    <x v="0"/>
    <s v="P4"/>
    <n v="0"/>
    <m/>
  </r>
  <r>
    <n v="23.433333333333334"/>
    <d v="2015-05-29T00:00:00"/>
    <x v="1"/>
    <s v="Solidarities"/>
    <s v="Kachin"/>
    <s v="Momauk"/>
    <s v="Edin"/>
    <m/>
    <m/>
    <n v="103"/>
    <m/>
    <m/>
    <m/>
    <m/>
    <m/>
    <m/>
    <m/>
    <m/>
    <m/>
    <m/>
    <m/>
    <m/>
    <m/>
    <m/>
    <n v="0"/>
    <n v="0"/>
    <n v="0"/>
    <n v="0"/>
    <n v="0"/>
    <n v="0"/>
    <n v="0"/>
    <n v="0"/>
    <n v="0"/>
    <n v="0"/>
    <n v="0"/>
    <n v="0"/>
    <n v="0"/>
    <n v="0"/>
    <n v="0"/>
    <n v="0"/>
    <n v="0"/>
    <n v="0"/>
    <s v=""/>
    <x v="1"/>
    <x v="2"/>
    <s v=""/>
    <s v=""/>
    <m/>
  </r>
  <r>
    <n v="23.266666666666666"/>
    <d v="2015-06-03T00:00:00"/>
    <x v="1"/>
    <s v="Solidarities"/>
    <s v="Kachin"/>
    <s v="Momauk"/>
    <s v="Loi Je Baptist Church"/>
    <m/>
    <m/>
    <m/>
    <m/>
    <m/>
    <m/>
    <m/>
    <m/>
    <m/>
    <m/>
    <m/>
    <m/>
    <m/>
    <m/>
    <m/>
    <m/>
    <m/>
    <n v="0"/>
    <n v="0"/>
    <n v="0"/>
    <n v="0"/>
    <n v="0"/>
    <n v="0"/>
    <n v="0"/>
    <n v="0"/>
    <n v="0"/>
    <n v="0"/>
    <n v="0"/>
    <n v="0"/>
    <n v="0"/>
    <n v="0"/>
    <n v="0"/>
    <n v="0"/>
    <n v="0"/>
    <n v="0"/>
    <s v="MMR001CMP071"/>
    <x v="0"/>
    <x v="0"/>
    <s v="P3"/>
    <n v="0"/>
    <m/>
  </r>
  <r>
    <n v="23.266666666666666"/>
    <d v="2015-06-03T00:00:00"/>
    <x v="1"/>
    <s v="Solidarities"/>
    <s v="Kachin"/>
    <s v="Momauk"/>
    <s v="Loi Je Catholic Church"/>
    <m/>
    <m/>
    <n v="115"/>
    <m/>
    <m/>
    <m/>
    <m/>
    <m/>
    <m/>
    <m/>
    <m/>
    <m/>
    <m/>
    <m/>
    <m/>
    <m/>
    <m/>
    <n v="0"/>
    <n v="0"/>
    <n v="0"/>
    <n v="0"/>
    <n v="0"/>
    <n v="0"/>
    <n v="0"/>
    <n v="0"/>
    <n v="0"/>
    <n v="0"/>
    <n v="0"/>
    <n v="0"/>
    <n v="0"/>
    <n v="0"/>
    <n v="0"/>
    <n v="0"/>
    <n v="0"/>
    <n v="0"/>
    <s v="MMR001CMP069"/>
    <x v="0"/>
    <x v="0"/>
    <s v="P3"/>
    <n v="0"/>
    <m/>
  </r>
  <r>
    <n v="23.366666666666667"/>
    <d v="2015-05-31T00:00:00"/>
    <x v="1"/>
    <s v="Solidarities"/>
    <s v="Kachin"/>
    <s v="Momauk"/>
    <s v="Ni Thaw Ka Monestry"/>
    <m/>
    <m/>
    <n v="34"/>
    <m/>
    <m/>
    <m/>
    <m/>
    <m/>
    <m/>
    <m/>
    <m/>
    <m/>
    <m/>
    <m/>
    <m/>
    <m/>
    <m/>
    <n v="0"/>
    <n v="0"/>
    <n v="0"/>
    <n v="0"/>
    <n v="0"/>
    <n v="0"/>
    <n v="0"/>
    <n v="0"/>
    <n v="0"/>
    <n v="0"/>
    <n v="0"/>
    <n v="0"/>
    <n v="0"/>
    <n v="0"/>
    <n v="0"/>
    <n v="0"/>
    <n v="0"/>
    <n v="0"/>
    <s v="MMR001CMP059"/>
    <x v="0"/>
    <x v="1"/>
    <s v="P4"/>
    <n v="0"/>
    <m/>
  </r>
  <r>
    <n v="23.266666666666666"/>
    <d v="2015-06-03T00:00:00"/>
    <x v="1"/>
    <s v="Solidarities"/>
    <s v="Kachin"/>
    <s v="Momauk"/>
    <s v="Loi Je Lisu Camp"/>
    <m/>
    <m/>
    <n v="270"/>
    <m/>
    <m/>
    <m/>
    <m/>
    <m/>
    <m/>
    <m/>
    <m/>
    <m/>
    <m/>
    <m/>
    <m/>
    <m/>
    <m/>
    <n v="0"/>
    <n v="0"/>
    <n v="0"/>
    <n v="0"/>
    <n v="0"/>
    <n v="0"/>
    <n v="0"/>
    <n v="0"/>
    <n v="0"/>
    <n v="0"/>
    <n v="0"/>
    <n v="0"/>
    <n v="0"/>
    <n v="0"/>
    <n v="0"/>
    <n v="0"/>
    <n v="0"/>
    <n v="0"/>
    <s v="MMR001CMP070"/>
    <x v="0"/>
    <x v="0"/>
    <s v="P3"/>
    <n v="0"/>
    <m/>
  </r>
  <r>
    <n v="23.266666666666666"/>
    <d v="2015-06-03T00:00:00"/>
    <x v="0"/>
    <s v="KBC"/>
    <s v="Kachin"/>
    <s v="Mansi"/>
    <s v="Maing Khaung"/>
    <m/>
    <m/>
    <m/>
    <n v="6"/>
    <n v="12"/>
    <n v="24"/>
    <n v="3"/>
    <m/>
    <n v="3"/>
    <n v="9"/>
    <m/>
    <m/>
    <m/>
    <m/>
    <n v="3"/>
    <m/>
    <m/>
    <n v="0"/>
    <n v="0"/>
    <n v="0"/>
    <n v="0"/>
    <n v="0"/>
    <n v="0"/>
    <n v="0"/>
    <n v="0"/>
    <n v="0"/>
    <n v="0"/>
    <n v="0"/>
    <n v="0"/>
    <n v="0"/>
    <n v="0"/>
    <n v="0"/>
    <n v="0"/>
    <n v="0"/>
    <n v="0"/>
    <s v="MMR001CMP218"/>
    <x v="0"/>
    <x v="0"/>
    <s v="P4"/>
    <n v="7.2205641667468946E-5"/>
    <s v="No"/>
  </r>
  <r>
    <n v="23.233333333333334"/>
    <d v="2015-06-04T00:00:00"/>
    <x v="1"/>
    <s v="Solidarities"/>
    <s v="Kachin"/>
    <s v="Momauk"/>
    <s v="Loi Je Baptist Church"/>
    <m/>
    <m/>
    <n v="54"/>
    <m/>
    <m/>
    <m/>
    <m/>
    <m/>
    <m/>
    <m/>
    <m/>
    <m/>
    <m/>
    <m/>
    <m/>
    <m/>
    <m/>
    <n v="0"/>
    <n v="0"/>
    <n v="0"/>
    <n v="0"/>
    <n v="0"/>
    <n v="0"/>
    <n v="0"/>
    <n v="0"/>
    <n v="0"/>
    <n v="0"/>
    <n v="0"/>
    <n v="0"/>
    <n v="0"/>
    <n v="0"/>
    <n v="0"/>
    <n v="0"/>
    <n v="0"/>
    <n v="0"/>
    <s v="MMR001CMP071"/>
    <x v="0"/>
    <x v="0"/>
    <s v="P3"/>
    <n v="0"/>
    <m/>
  </r>
  <r>
    <n v="23.233333333333334"/>
    <d v="2015-06-04T00:00:00"/>
    <x v="0"/>
    <s v="KBC"/>
    <s v="Kachin"/>
    <s v="Momauk"/>
    <s v="Loi Je Lisu Camp"/>
    <m/>
    <m/>
    <m/>
    <m/>
    <n v="88"/>
    <n v="27"/>
    <n v="9"/>
    <m/>
    <n v="9"/>
    <n v="48"/>
    <m/>
    <m/>
    <m/>
    <m/>
    <n v="9"/>
    <m/>
    <m/>
    <n v="0"/>
    <n v="0"/>
    <n v="0"/>
    <n v="0"/>
    <n v="0"/>
    <n v="0"/>
    <n v="0"/>
    <n v="0"/>
    <n v="0"/>
    <n v="0"/>
    <n v="0"/>
    <n v="0"/>
    <n v="0"/>
    <n v="0"/>
    <n v="0"/>
    <n v="0"/>
    <n v="0"/>
    <n v="0"/>
    <s v="MMR001CMP070"/>
    <x v="0"/>
    <x v="0"/>
    <s v="P3"/>
    <n v="2.1951219512195122E-4"/>
    <s v="No"/>
  </r>
  <r>
    <n v="23.233333333333334"/>
    <d v="2015-06-04T00:00:00"/>
    <x v="0"/>
    <s v="KBC"/>
    <s v="Kachin"/>
    <s v="Momauk"/>
    <s v="Momauk Baptist Church"/>
    <m/>
    <m/>
    <m/>
    <m/>
    <n v="80"/>
    <m/>
    <m/>
    <m/>
    <m/>
    <m/>
    <m/>
    <m/>
    <m/>
    <m/>
    <m/>
    <m/>
    <m/>
    <n v="0"/>
    <n v="0"/>
    <n v="0"/>
    <n v="0"/>
    <n v="0"/>
    <n v="0"/>
    <n v="0"/>
    <n v="0"/>
    <n v="0"/>
    <n v="0"/>
    <n v="0"/>
    <n v="0"/>
    <n v="0"/>
    <n v="0"/>
    <n v="0"/>
    <n v="0"/>
    <n v="0"/>
    <n v="0"/>
    <s v="MMR001CMP056"/>
    <x v="0"/>
    <x v="0"/>
    <s v="P4"/>
    <n v="0"/>
    <s v="No"/>
  </r>
  <r>
    <n v="23.233333333333334"/>
    <d v="2015-06-04T00:00:00"/>
    <x v="1"/>
    <s v="Solidarities"/>
    <s v="Kachin"/>
    <s v="Momauk"/>
    <s v="Nyaung Na Pin "/>
    <m/>
    <m/>
    <n v="87"/>
    <m/>
    <m/>
    <m/>
    <m/>
    <m/>
    <m/>
    <m/>
    <m/>
    <m/>
    <m/>
    <m/>
    <m/>
    <m/>
    <m/>
    <n v="0"/>
    <n v="0"/>
    <n v="0"/>
    <n v="0"/>
    <n v="0"/>
    <n v="0"/>
    <n v="0"/>
    <n v="0"/>
    <n v="0"/>
    <n v="0"/>
    <n v="0"/>
    <n v="0"/>
    <n v="0"/>
    <n v="0"/>
    <n v="0"/>
    <n v="0"/>
    <n v="0"/>
    <n v="0"/>
    <s v="MMR001CMP072"/>
    <x v="0"/>
    <x v="0"/>
    <s v="P3"/>
    <n v="0"/>
    <m/>
  </r>
  <r>
    <n v="23.233333333333334"/>
    <d v="2015-06-04T00:00:00"/>
    <x v="0"/>
    <s v="KBC"/>
    <s v="Kachin"/>
    <s v="Bhamo"/>
    <s v="Phan Khar Kone"/>
    <m/>
    <m/>
    <m/>
    <m/>
    <n v="37"/>
    <m/>
    <m/>
    <m/>
    <m/>
    <m/>
    <m/>
    <m/>
    <m/>
    <m/>
    <m/>
    <m/>
    <m/>
    <n v="0"/>
    <n v="0"/>
    <n v="0"/>
    <n v="0"/>
    <n v="0"/>
    <n v="0"/>
    <n v="0"/>
    <n v="0"/>
    <n v="0"/>
    <n v="0"/>
    <n v="0"/>
    <n v="0"/>
    <n v="0"/>
    <n v="0"/>
    <n v="0"/>
    <n v="0"/>
    <n v="0"/>
    <n v="0"/>
    <s v="MMR001CMP193"/>
    <x v="0"/>
    <x v="0"/>
    <s v="P4"/>
    <n v="0"/>
    <s v="No"/>
  </r>
  <r>
    <n v="23.233333333333334"/>
    <d v="2015-06-04T00:00:00"/>
    <x v="0"/>
    <s v="KBC"/>
    <s v="Kachin"/>
    <s v="Momauk"/>
    <s v="Seng Ja "/>
    <m/>
    <m/>
    <m/>
    <n v="18"/>
    <n v="35"/>
    <m/>
    <m/>
    <m/>
    <m/>
    <m/>
    <m/>
    <m/>
    <m/>
    <m/>
    <m/>
    <m/>
    <n v="8"/>
    <n v="0"/>
    <n v="0"/>
    <n v="0"/>
    <n v="0"/>
    <n v="0"/>
    <n v="0"/>
    <n v="0"/>
    <n v="0"/>
    <n v="0"/>
    <n v="0"/>
    <n v="0"/>
    <n v="0"/>
    <n v="0"/>
    <n v="0"/>
    <n v="0"/>
    <n v="0"/>
    <n v="0"/>
    <n v="0"/>
    <s v="MMR001CMP073"/>
    <x v="0"/>
    <x v="0"/>
    <s v="P3"/>
    <n v="0"/>
    <s v="No"/>
  </r>
  <r>
    <n v="23.233333333333334"/>
    <d v="2015-06-04T00:00:00"/>
    <x v="1"/>
    <s v="Solidarities"/>
    <s v="Kachin"/>
    <s v="Momauk"/>
    <s v="Seng Ja "/>
    <m/>
    <m/>
    <n v="73"/>
    <m/>
    <m/>
    <m/>
    <m/>
    <m/>
    <m/>
    <m/>
    <m/>
    <m/>
    <m/>
    <m/>
    <m/>
    <m/>
    <m/>
    <n v="0"/>
    <n v="0"/>
    <n v="0"/>
    <n v="0"/>
    <n v="0"/>
    <n v="0"/>
    <n v="0"/>
    <n v="0"/>
    <n v="0"/>
    <n v="0"/>
    <n v="0"/>
    <n v="0"/>
    <n v="0"/>
    <n v="0"/>
    <n v="0"/>
    <n v="0"/>
    <n v="0"/>
    <n v="0"/>
    <s v="MMR001CMP073"/>
    <x v="0"/>
    <x v="0"/>
    <s v="P3"/>
    <n v="0"/>
    <m/>
  </r>
  <r>
    <n v="22.4"/>
    <d v="2015-06-29T00:00:00"/>
    <x v="1"/>
    <s v="KBC"/>
    <s v="Kachin"/>
    <s v="Momauk"/>
    <s v="Je Yang Hka "/>
    <m/>
    <m/>
    <n v="2350"/>
    <m/>
    <m/>
    <m/>
    <m/>
    <m/>
    <m/>
    <m/>
    <m/>
    <m/>
    <m/>
    <m/>
    <m/>
    <m/>
    <m/>
    <n v="0"/>
    <n v="0"/>
    <n v="0"/>
    <n v="0"/>
    <n v="0"/>
    <n v="0"/>
    <n v="0"/>
    <n v="0"/>
    <n v="0"/>
    <n v="0"/>
    <n v="0"/>
    <n v="0"/>
    <n v="0"/>
    <n v="0"/>
    <n v="0"/>
    <n v="0"/>
    <n v="0"/>
    <n v="0"/>
    <s v="MMR001CMP121"/>
    <x v="0"/>
    <x v="0"/>
    <s v="P2"/>
    <n v="0"/>
    <m/>
  </r>
  <r>
    <n v="22.366666666666667"/>
    <d v="2015-06-30T00:00:00"/>
    <x v="1"/>
    <s v="Solidarities"/>
    <s v="Kachin"/>
    <s v="Bhamo"/>
    <s v="AD-2000 Tharthana Compound"/>
    <m/>
    <m/>
    <m/>
    <m/>
    <m/>
    <m/>
    <m/>
    <m/>
    <m/>
    <m/>
    <m/>
    <m/>
    <m/>
    <m/>
    <n v="3"/>
    <m/>
    <m/>
    <n v="0"/>
    <n v="0"/>
    <n v="0"/>
    <n v="0"/>
    <n v="0"/>
    <n v="0"/>
    <n v="0"/>
    <n v="0"/>
    <n v="0"/>
    <n v="0"/>
    <n v="0"/>
    <n v="0"/>
    <n v="0"/>
    <n v="0"/>
    <n v="0"/>
    <n v="0"/>
    <n v="0"/>
    <n v="0"/>
    <s v="MMR001CMP050"/>
    <x v="0"/>
    <x v="0"/>
    <s v="P4"/>
    <n v="0"/>
    <m/>
  </r>
  <r>
    <n v="22.366666666666667"/>
    <d v="2015-06-30T00:00:00"/>
    <x v="1"/>
    <s v="Solidarities"/>
    <s v="Kachin"/>
    <s v="Bhamo"/>
    <s v="Phan Khar Kone"/>
    <m/>
    <m/>
    <m/>
    <m/>
    <m/>
    <m/>
    <m/>
    <m/>
    <m/>
    <m/>
    <m/>
    <m/>
    <m/>
    <m/>
    <n v="5"/>
    <m/>
    <m/>
    <n v="0"/>
    <n v="0"/>
    <n v="0"/>
    <n v="0"/>
    <n v="0"/>
    <n v="0"/>
    <n v="0"/>
    <n v="0"/>
    <n v="0"/>
    <n v="0"/>
    <n v="0"/>
    <n v="0"/>
    <n v="0"/>
    <n v="0"/>
    <n v="0"/>
    <n v="0"/>
    <n v="0"/>
    <n v="0"/>
    <s v="MMR001CMP193"/>
    <x v="0"/>
    <x v="0"/>
    <s v="P4"/>
    <n v="0"/>
    <m/>
  </r>
  <r>
    <n v="21.666666666666668"/>
    <d v="2015-07-21T00:00:00"/>
    <x v="0"/>
    <s v="KBC"/>
    <s v="Kachin"/>
    <s v="Sumprabum"/>
    <s v="Sumprabum"/>
    <m/>
    <m/>
    <m/>
    <m/>
    <n v="250"/>
    <m/>
    <m/>
    <m/>
    <m/>
    <m/>
    <m/>
    <m/>
    <m/>
    <m/>
    <m/>
    <m/>
    <m/>
    <n v="0"/>
    <n v="0"/>
    <n v="0"/>
    <n v="0"/>
    <n v="0"/>
    <n v="0"/>
    <n v="0"/>
    <n v="0"/>
    <n v="0"/>
    <n v="0"/>
    <n v="0"/>
    <n v="0"/>
    <n v="0"/>
    <n v="0"/>
    <n v="0"/>
    <n v="0"/>
    <n v="0"/>
    <n v="0"/>
    <s v="MMR001CMP206"/>
    <x v="0"/>
    <x v="0"/>
    <s v="P4"/>
    <s v=""/>
    <s v="No"/>
  </r>
  <r>
    <n v="20.966666666666665"/>
    <d v="2015-08-11T00:00:00"/>
    <x v="0"/>
    <s v="KBC"/>
    <s v="Kachin"/>
    <s v="Mogaung"/>
    <s v="Kyun Taw Baptist Church "/>
    <m/>
    <m/>
    <m/>
    <n v="14"/>
    <n v="14"/>
    <m/>
    <m/>
    <m/>
    <m/>
    <m/>
    <m/>
    <m/>
    <m/>
    <m/>
    <m/>
    <m/>
    <m/>
    <n v="0"/>
    <n v="0"/>
    <n v="0"/>
    <n v="0"/>
    <n v="0"/>
    <n v="0"/>
    <n v="0"/>
    <n v="0"/>
    <n v="0"/>
    <n v="0"/>
    <n v="0"/>
    <n v="0"/>
    <n v="0"/>
    <n v="0"/>
    <n v="0"/>
    <n v="0"/>
    <n v="0"/>
    <n v="0"/>
    <s v="MMR001CMP078"/>
    <x v="0"/>
    <x v="0"/>
    <s v="P4"/>
    <n v="0"/>
    <s v="No"/>
  </r>
  <r>
    <n v="20.966666666666665"/>
    <d v="2015-08-11T00:00:00"/>
    <x v="0"/>
    <s v="Shalom"/>
    <s v="Kachin"/>
    <s v="Myitkyina"/>
    <s v="Tat Kone Emanuel Church"/>
    <m/>
    <m/>
    <m/>
    <n v="6"/>
    <n v="4"/>
    <n v="6"/>
    <n v="4"/>
    <m/>
    <n v="4"/>
    <n v="10"/>
    <m/>
    <m/>
    <m/>
    <m/>
    <n v="4"/>
    <m/>
    <m/>
    <n v="0"/>
    <n v="0"/>
    <n v="0"/>
    <n v="0"/>
    <n v="0"/>
    <n v="0"/>
    <n v="0"/>
    <n v="0"/>
    <n v="0"/>
    <n v="0"/>
    <n v="0"/>
    <n v="0"/>
    <n v="0"/>
    <n v="0"/>
    <n v="0"/>
    <n v="0"/>
    <n v="0"/>
    <n v="0"/>
    <s v="MMR001CMP004"/>
    <x v="0"/>
    <x v="0"/>
    <s v="P4"/>
    <n v="9.814505839630975E-5"/>
    <s v="No"/>
  </r>
  <r>
    <n v="19.7"/>
    <d v="2015-09-18T00:00:00"/>
    <x v="0"/>
    <s v="KMSS"/>
    <s v="Kachin"/>
    <s v="Myitkyina"/>
    <s v="Pa Dauk Myaing(Pa La Na)"/>
    <m/>
    <n v="11"/>
    <n v="11"/>
    <n v="21"/>
    <n v="16"/>
    <n v="21"/>
    <n v="11"/>
    <m/>
    <n v="11"/>
    <n v="42"/>
    <m/>
    <m/>
    <m/>
    <m/>
    <n v="11"/>
    <m/>
    <n v="6"/>
    <n v="0"/>
    <n v="0"/>
    <n v="0"/>
    <n v="0"/>
    <n v="0"/>
    <n v="0"/>
    <n v="0"/>
    <n v="0"/>
    <n v="0"/>
    <n v="0"/>
    <n v="0"/>
    <n v="0"/>
    <n v="0"/>
    <n v="0"/>
    <n v="0"/>
    <n v="0"/>
    <n v="0"/>
    <n v="0"/>
    <s v="MMR001CMP162"/>
    <x v="0"/>
    <x v="0"/>
    <s v="P4"/>
    <n v="2.667054601881486E-4"/>
    <s v="No"/>
  </r>
  <r>
    <n v="19.600000000000001"/>
    <d v="2015-09-21T00:00:00"/>
    <x v="0"/>
    <s v="KMSS"/>
    <s v="Kachin"/>
    <s v="Waingmaw"/>
    <s v="Maina Catholic Church (St. Joseph)"/>
    <m/>
    <m/>
    <m/>
    <n v="41"/>
    <n v="16"/>
    <n v="41"/>
    <n v="16"/>
    <m/>
    <n v="16"/>
    <n v="80"/>
    <m/>
    <m/>
    <m/>
    <m/>
    <n v="16"/>
    <m/>
    <m/>
    <n v="0"/>
    <n v="0"/>
    <n v="0"/>
    <n v="0"/>
    <n v="0"/>
    <n v="0"/>
    <n v="0"/>
    <n v="0"/>
    <n v="0"/>
    <n v="0"/>
    <n v="0"/>
    <n v="0"/>
    <n v="0"/>
    <n v="0"/>
    <n v="0"/>
    <n v="0"/>
    <n v="0"/>
    <n v="0"/>
    <s v="MMR001CMP029"/>
    <x v="0"/>
    <x v="0"/>
    <s v="P4"/>
    <n v="3.8623086950224499E-4"/>
    <s v="No"/>
  </r>
  <r>
    <n v="17.466666666666665"/>
    <d v="2015-11-24T00:00:00"/>
    <x v="0"/>
    <s v="KMSS"/>
    <s v="Kachin"/>
    <s v="Myitkyina"/>
    <s v="Pa Dauk Myaing(Pa La Na)"/>
    <m/>
    <m/>
    <m/>
    <m/>
    <m/>
    <m/>
    <m/>
    <m/>
    <m/>
    <m/>
    <m/>
    <m/>
    <m/>
    <n v="50"/>
    <m/>
    <m/>
    <m/>
    <n v="0"/>
    <n v="0"/>
    <n v="0"/>
    <n v="0"/>
    <n v="0"/>
    <n v="0"/>
    <n v="0"/>
    <n v="0"/>
    <n v="0"/>
    <n v="0"/>
    <n v="0"/>
    <n v="0"/>
    <n v="0"/>
    <n v="0"/>
    <n v="1"/>
    <n v="0"/>
    <n v="0"/>
    <n v="0"/>
    <s v="MMR001CMP162"/>
    <x v="0"/>
    <x v="0"/>
    <s v="P4"/>
    <n v="0"/>
    <s v="No"/>
  </r>
  <r>
    <n v="22.366666666666667"/>
    <d v="2015-06-30T00:00:00"/>
    <x v="1"/>
    <s v="Solidarities"/>
    <s v="Kachin"/>
    <s v="Momauk"/>
    <s v="Edin"/>
    <m/>
    <m/>
    <m/>
    <m/>
    <m/>
    <m/>
    <m/>
    <m/>
    <m/>
    <m/>
    <m/>
    <m/>
    <m/>
    <m/>
    <n v="2"/>
    <m/>
    <m/>
    <n v="0"/>
    <n v="0"/>
    <n v="0"/>
    <n v="0"/>
    <n v="0"/>
    <n v="0"/>
    <n v="0"/>
    <n v="0"/>
    <n v="0"/>
    <n v="0"/>
    <n v="0"/>
    <n v="0"/>
    <n v="0"/>
    <n v="0"/>
    <n v="0"/>
    <n v="0"/>
    <n v="0"/>
    <n v="0"/>
    <s v=""/>
    <x v="1"/>
    <x v="2"/>
    <s v=""/>
    <s v=""/>
    <m/>
  </r>
  <r>
    <n v="22.366666666666667"/>
    <d v="2015-06-30T00:00:00"/>
    <x v="1"/>
    <s v="Solidarities"/>
    <s v="Kachin"/>
    <s v="Waingmaw"/>
    <s v="Laiza Market 3 - Laiza Gat"/>
    <m/>
    <m/>
    <n v="825"/>
    <m/>
    <m/>
    <m/>
    <m/>
    <m/>
    <m/>
    <m/>
    <m/>
    <m/>
    <m/>
    <m/>
    <m/>
    <m/>
    <m/>
    <n v="0"/>
    <n v="0"/>
    <n v="0"/>
    <n v="0"/>
    <n v="0"/>
    <n v="0"/>
    <n v="0"/>
    <n v="0"/>
    <n v="0"/>
    <n v="0"/>
    <n v="0"/>
    <n v="0"/>
    <n v="0"/>
    <n v="0"/>
    <n v="0"/>
    <n v="0"/>
    <n v="0"/>
    <n v="0"/>
    <s v="MMR001CMP117"/>
    <x v="0"/>
    <x v="1"/>
    <s v="P2"/>
    <n v="0"/>
    <m/>
  </r>
  <r>
    <n v="17.433333333333334"/>
    <d v="2015-11-25T00:00:00"/>
    <x v="0"/>
    <s v="KBC"/>
    <s v="Kachin"/>
    <s v="Shwegu"/>
    <s v="Shwe Gu Baptist Church"/>
    <m/>
    <m/>
    <m/>
    <m/>
    <n v="4"/>
    <n v="16"/>
    <n v="4"/>
    <m/>
    <n v="4"/>
    <n v="23"/>
    <m/>
    <m/>
    <m/>
    <m/>
    <n v="7"/>
    <m/>
    <m/>
    <n v="0"/>
    <n v="0"/>
    <n v="0"/>
    <n v="0"/>
    <n v="0"/>
    <n v="0"/>
    <n v="0"/>
    <n v="0"/>
    <n v="0"/>
    <n v="0"/>
    <n v="0"/>
    <n v="0"/>
    <n v="0"/>
    <n v="0"/>
    <n v="0"/>
    <n v="0"/>
    <n v="0"/>
    <n v="0"/>
    <s v="MMR001CMP067"/>
    <x v="0"/>
    <x v="0"/>
    <s v="P4"/>
    <n v="9.8219766728054015E-5"/>
    <s v="No"/>
  </r>
  <r>
    <n v="17.433333333333334"/>
    <d v="2015-11-25T00:00:00"/>
    <x v="0"/>
    <s v="KBC"/>
    <s v="Kachin"/>
    <s v="Shwegu"/>
    <s v="Shwe Gu Catholic Church"/>
    <m/>
    <m/>
    <m/>
    <m/>
    <n v="4"/>
    <n v="12"/>
    <n v="3"/>
    <m/>
    <n v="4"/>
    <n v="14"/>
    <m/>
    <m/>
    <m/>
    <m/>
    <n v="4"/>
    <m/>
    <m/>
    <n v="0"/>
    <n v="0"/>
    <n v="0"/>
    <n v="0"/>
    <n v="0"/>
    <n v="0"/>
    <n v="0"/>
    <n v="0"/>
    <n v="0"/>
    <n v="0"/>
    <n v="0"/>
    <n v="0"/>
    <n v="0"/>
    <n v="0"/>
    <n v="0"/>
    <n v="0"/>
    <n v="0"/>
    <n v="0"/>
    <s v="MMR001CMP068"/>
    <x v="0"/>
    <x v="0"/>
    <s v="P4"/>
    <n v="7.3664825046040511E-5"/>
    <s v="No"/>
  </r>
  <r>
    <n v="17.366666666666667"/>
    <d v="2015-11-27T00:00:00"/>
    <x v="0"/>
    <s v="KBC"/>
    <s v="Kachin"/>
    <s v="Shwegu"/>
    <s v="Shwe Gu Baptist Church"/>
    <m/>
    <m/>
    <m/>
    <m/>
    <n v="9"/>
    <n v="23"/>
    <n v="10"/>
    <m/>
    <n v="8"/>
    <n v="24"/>
    <m/>
    <m/>
    <m/>
    <m/>
    <n v="6"/>
    <m/>
    <m/>
    <n v="0"/>
    <n v="0"/>
    <n v="0"/>
    <n v="0"/>
    <n v="0"/>
    <n v="0"/>
    <n v="0"/>
    <n v="0"/>
    <n v="0"/>
    <n v="0"/>
    <n v="0"/>
    <n v="0"/>
    <n v="0"/>
    <n v="0"/>
    <n v="0"/>
    <n v="0"/>
    <n v="0"/>
    <n v="0"/>
    <s v="MMR001CMP067"/>
    <x v="0"/>
    <x v="0"/>
    <s v="P4"/>
    <n v="2.4554941682013506E-4"/>
    <s v="No"/>
  </r>
  <r>
    <n v="17.133333333333333"/>
    <d v="2015-12-04T00:00:00"/>
    <x v="1"/>
    <s v="Solidarities"/>
    <s v="Kachin"/>
    <s v="Bhamo"/>
    <s v="Phan Khar Kone"/>
    <m/>
    <m/>
    <m/>
    <m/>
    <m/>
    <m/>
    <m/>
    <m/>
    <m/>
    <m/>
    <m/>
    <m/>
    <m/>
    <m/>
    <n v="5"/>
    <m/>
    <m/>
    <n v="0"/>
    <n v="0"/>
    <n v="0"/>
    <n v="0"/>
    <n v="0"/>
    <n v="0"/>
    <n v="0"/>
    <n v="0"/>
    <n v="0"/>
    <n v="0"/>
    <n v="0"/>
    <n v="0"/>
    <n v="0"/>
    <n v="0"/>
    <n v="0"/>
    <n v="0"/>
    <n v="0"/>
    <n v="0"/>
    <s v="MMR001CMP193"/>
    <x v="0"/>
    <x v="0"/>
    <s v="P4"/>
    <n v="0"/>
    <m/>
  </r>
  <r>
    <n v="16.899999999999999"/>
    <d v="2015-12-11T00:00:00"/>
    <x v="0"/>
    <s v="Shalom"/>
    <s v="Kachin"/>
    <s v="Myitkyina"/>
    <s v="Tat Kone Emanuel Church"/>
    <m/>
    <m/>
    <m/>
    <m/>
    <m/>
    <m/>
    <m/>
    <m/>
    <m/>
    <m/>
    <m/>
    <m/>
    <m/>
    <n v="11"/>
    <m/>
    <m/>
    <m/>
    <n v="0"/>
    <n v="0"/>
    <n v="0"/>
    <n v="0"/>
    <n v="0"/>
    <n v="0"/>
    <n v="0"/>
    <n v="0"/>
    <n v="0"/>
    <n v="0"/>
    <n v="0"/>
    <n v="0"/>
    <n v="0"/>
    <n v="0"/>
    <n v="1"/>
    <n v="0"/>
    <n v="0"/>
    <n v="0"/>
    <s v="MMR001CMP004"/>
    <x v="0"/>
    <x v="0"/>
    <s v="P4"/>
    <n v="0"/>
    <s v="No"/>
  </r>
  <r>
    <n v="20.433333333333334"/>
    <d v="2015-08-27T00:00:00"/>
    <x v="0"/>
    <s v="KBC"/>
    <s v="Kachin"/>
    <s v="Myitkyina"/>
    <m/>
    <m/>
    <m/>
    <m/>
    <m/>
    <m/>
    <m/>
    <m/>
    <m/>
    <m/>
    <m/>
    <m/>
    <m/>
    <m/>
    <m/>
    <m/>
    <n v="10"/>
    <m/>
    <n v="0"/>
    <n v="0"/>
    <n v="0"/>
    <n v="0"/>
    <n v="0"/>
    <n v="0"/>
    <n v="0"/>
    <n v="0"/>
    <n v="0"/>
    <n v="0"/>
    <n v="0"/>
    <n v="0"/>
    <n v="0"/>
    <n v="0"/>
    <n v="0"/>
    <n v="0"/>
    <n v="0"/>
    <n v="0"/>
    <s v=""/>
    <x v="1"/>
    <x v="2"/>
    <s v=""/>
    <s v=""/>
    <s v="No"/>
  </r>
  <r>
    <n v="20.433333333333334"/>
    <d v="2015-08-27T00:00:00"/>
    <x v="0"/>
    <s v="KMSS-MKN"/>
    <s v="Kachin"/>
    <s v="Myitkyina"/>
    <m/>
    <m/>
    <m/>
    <m/>
    <m/>
    <m/>
    <m/>
    <m/>
    <m/>
    <m/>
    <m/>
    <m/>
    <m/>
    <m/>
    <m/>
    <m/>
    <n v="7"/>
    <m/>
    <n v="0"/>
    <n v="0"/>
    <n v="0"/>
    <n v="0"/>
    <n v="0"/>
    <n v="0"/>
    <n v="0"/>
    <n v="0"/>
    <n v="0"/>
    <n v="0"/>
    <n v="0"/>
    <n v="0"/>
    <n v="0"/>
    <n v="0"/>
    <n v="0"/>
    <n v="0"/>
    <n v="0"/>
    <n v="0"/>
    <s v=""/>
    <x v="1"/>
    <x v="2"/>
    <s v=""/>
    <s v=""/>
    <s v="No"/>
  </r>
  <r>
    <n v="20.433333333333334"/>
    <d v="2015-08-27T00:00:00"/>
    <x v="0"/>
    <s v="Shalom"/>
    <s v="Kachin"/>
    <s v="Myitkyina"/>
    <m/>
    <m/>
    <m/>
    <m/>
    <m/>
    <m/>
    <m/>
    <m/>
    <m/>
    <m/>
    <m/>
    <m/>
    <m/>
    <m/>
    <m/>
    <m/>
    <n v="8"/>
    <m/>
    <n v="0"/>
    <n v="0"/>
    <n v="0"/>
    <n v="0"/>
    <n v="0"/>
    <n v="0"/>
    <n v="0"/>
    <n v="0"/>
    <n v="0"/>
    <n v="0"/>
    <n v="0"/>
    <n v="0"/>
    <n v="0"/>
    <n v="0"/>
    <n v="0"/>
    <n v="0"/>
    <n v="0"/>
    <n v="0"/>
    <s v=""/>
    <x v="1"/>
    <x v="2"/>
    <s v=""/>
    <s v=""/>
    <s v="No"/>
  </r>
  <r>
    <n v="16.8"/>
    <d v="2015-12-14T00:00:00"/>
    <x v="1"/>
    <s v="Solidarities"/>
    <s v="Kachin"/>
    <s v="Bhamo"/>
    <s v="Robert Church"/>
    <m/>
    <m/>
    <m/>
    <m/>
    <m/>
    <m/>
    <m/>
    <m/>
    <m/>
    <m/>
    <m/>
    <m/>
    <m/>
    <m/>
    <n v="2"/>
    <m/>
    <m/>
    <n v="0"/>
    <n v="0"/>
    <n v="0"/>
    <n v="0"/>
    <n v="0"/>
    <n v="0"/>
    <n v="0"/>
    <n v="0"/>
    <n v="0"/>
    <n v="0"/>
    <n v="0"/>
    <n v="0"/>
    <n v="0"/>
    <n v="0"/>
    <n v="0"/>
    <n v="0"/>
    <n v="0"/>
    <n v="0"/>
    <s v="MMR001CMP047"/>
    <x v="0"/>
    <x v="0"/>
    <s v="P4"/>
    <n v="0"/>
    <m/>
  </r>
  <r>
    <n v="19.600000000000001"/>
    <d v="2015-09-21T00:00:00"/>
    <x v="0"/>
    <s v="KMSS-MKN"/>
    <s v="Kachin"/>
    <s v="Myitkyina"/>
    <m/>
    <m/>
    <m/>
    <m/>
    <m/>
    <m/>
    <m/>
    <m/>
    <m/>
    <m/>
    <m/>
    <m/>
    <m/>
    <m/>
    <m/>
    <m/>
    <m/>
    <m/>
    <n v="0"/>
    <n v="0"/>
    <n v="0"/>
    <n v="0"/>
    <n v="0"/>
    <n v="0"/>
    <n v="0"/>
    <n v="0"/>
    <n v="0"/>
    <n v="0"/>
    <n v="0"/>
    <n v="0"/>
    <n v="0"/>
    <n v="0"/>
    <n v="0"/>
    <n v="0"/>
    <n v="0"/>
    <n v="0"/>
    <s v=""/>
    <x v="1"/>
    <x v="2"/>
    <s v=""/>
    <s v=""/>
    <s v="No"/>
  </r>
  <r>
    <n v="16.766666666666666"/>
    <d v="2015-12-15T00:00:00"/>
    <x v="1"/>
    <s v="Solidarities"/>
    <s v="Kachin"/>
    <s v="Momauk"/>
    <s v="Loi Je Baptist Church"/>
    <m/>
    <m/>
    <m/>
    <m/>
    <m/>
    <m/>
    <m/>
    <m/>
    <m/>
    <m/>
    <m/>
    <m/>
    <m/>
    <m/>
    <m/>
    <n v="3"/>
    <m/>
    <n v="0"/>
    <n v="0"/>
    <n v="0"/>
    <n v="0"/>
    <n v="0"/>
    <n v="0"/>
    <n v="0"/>
    <n v="0"/>
    <n v="0"/>
    <n v="0"/>
    <n v="0"/>
    <n v="0"/>
    <n v="0"/>
    <n v="0"/>
    <n v="0"/>
    <n v="0"/>
    <n v="0"/>
    <n v="0"/>
    <s v="MMR001CMP071"/>
    <x v="0"/>
    <x v="0"/>
    <s v="P3"/>
    <n v="0"/>
    <m/>
  </r>
  <r>
    <n v="19.566666666666666"/>
    <d v="2015-09-22T00:00:00"/>
    <x v="0"/>
    <s v="KBC"/>
    <s v="Kachin"/>
    <s v="Mansi"/>
    <s v="Mai hkawng Camp (RC +KBC)"/>
    <m/>
    <m/>
    <n v="145"/>
    <n v="132"/>
    <n v="66"/>
    <n v="132"/>
    <n v="66"/>
    <m/>
    <n v="66"/>
    <n v="243"/>
    <m/>
    <m/>
    <m/>
    <m/>
    <n v="66"/>
    <m/>
    <m/>
    <n v="0"/>
    <n v="0"/>
    <n v="0"/>
    <n v="0"/>
    <n v="0"/>
    <n v="0"/>
    <n v="0"/>
    <n v="0"/>
    <n v="0"/>
    <n v="0"/>
    <n v="0"/>
    <n v="0"/>
    <n v="0"/>
    <n v="0"/>
    <n v="0"/>
    <n v="0"/>
    <n v="0"/>
    <n v="0"/>
    <s v=""/>
    <x v="1"/>
    <x v="2"/>
    <s v=""/>
    <s v=""/>
    <s v="No"/>
  </r>
  <r>
    <n v="19.266666666666666"/>
    <d v="2015-10-01T00:00:00"/>
    <x v="0"/>
    <s v="KBC"/>
    <s v="Kachin"/>
    <s v="Mansi"/>
    <s v="Mai hkawng Camp (RC +KBC)"/>
    <m/>
    <n v="77"/>
    <n v="232"/>
    <n v="200"/>
    <n v="89"/>
    <n v="200"/>
    <n v="119"/>
    <m/>
    <n v="119"/>
    <n v="345"/>
    <m/>
    <m/>
    <m/>
    <m/>
    <n v="119"/>
    <m/>
    <n v="45"/>
    <n v="0"/>
    <n v="0"/>
    <n v="0"/>
    <n v="0"/>
    <n v="0"/>
    <n v="0"/>
    <n v="0"/>
    <n v="0"/>
    <n v="0"/>
    <n v="0"/>
    <n v="0"/>
    <n v="0"/>
    <n v="0"/>
    <n v="0"/>
    <n v="0"/>
    <n v="0"/>
    <n v="0"/>
    <n v="0"/>
    <s v=""/>
    <x v="1"/>
    <x v="2"/>
    <s v=""/>
    <s v=""/>
    <s v="No"/>
  </r>
  <r>
    <n v="18.2"/>
    <d v="2015-11-02T00:00:00"/>
    <x v="0"/>
    <s v="KBC"/>
    <s v="Kachin"/>
    <s v="Mansi"/>
    <s v="Mai hkawng Camp (RC +KBC)"/>
    <m/>
    <m/>
    <n v="223"/>
    <m/>
    <n v="30"/>
    <m/>
    <m/>
    <m/>
    <m/>
    <n v="337"/>
    <m/>
    <m/>
    <m/>
    <m/>
    <m/>
    <m/>
    <m/>
    <n v="0"/>
    <n v="0"/>
    <n v="0"/>
    <n v="0"/>
    <n v="0"/>
    <n v="0"/>
    <n v="0"/>
    <n v="0"/>
    <n v="0"/>
    <n v="0"/>
    <n v="0"/>
    <n v="0"/>
    <n v="0"/>
    <n v="0"/>
    <n v="0"/>
    <n v="0"/>
    <n v="0"/>
    <n v="0"/>
    <s v=""/>
    <x v="1"/>
    <x v="2"/>
    <s v=""/>
    <s v=""/>
    <s v="No"/>
  </r>
  <r>
    <n v="16.766666666666666"/>
    <d v="2015-12-15T00:00:00"/>
    <x v="1"/>
    <s v="Solidarities"/>
    <s v="Kachin"/>
    <s v="Momauk"/>
    <s v="Loi Je Baptist Church"/>
    <m/>
    <m/>
    <m/>
    <m/>
    <m/>
    <m/>
    <m/>
    <m/>
    <m/>
    <m/>
    <m/>
    <m/>
    <m/>
    <m/>
    <m/>
    <m/>
    <m/>
    <n v="0"/>
    <n v="0"/>
    <n v="0"/>
    <n v="0"/>
    <n v="0"/>
    <n v="0"/>
    <n v="0"/>
    <n v="0"/>
    <n v="0"/>
    <n v="0"/>
    <n v="0"/>
    <n v="0"/>
    <n v="0"/>
    <n v="0"/>
    <n v="0"/>
    <n v="0"/>
    <n v="0"/>
    <n v="0"/>
    <s v="MMR001CMP071"/>
    <x v="0"/>
    <x v="0"/>
    <s v="P3"/>
    <n v="0"/>
    <m/>
  </r>
  <r>
    <n v="16.766666666666666"/>
    <d v="2015-12-15T00:00:00"/>
    <x v="1"/>
    <s v="Solidarities"/>
    <s v="Kachin"/>
    <s v="Momauk"/>
    <s v="Loi Je Catholic Church"/>
    <m/>
    <m/>
    <m/>
    <m/>
    <m/>
    <m/>
    <m/>
    <m/>
    <m/>
    <m/>
    <m/>
    <m/>
    <m/>
    <m/>
    <m/>
    <n v="20"/>
    <m/>
    <n v="0"/>
    <n v="0"/>
    <n v="0"/>
    <n v="0"/>
    <n v="0"/>
    <n v="0"/>
    <n v="0"/>
    <n v="0"/>
    <n v="0"/>
    <n v="0"/>
    <n v="0"/>
    <n v="0"/>
    <n v="0"/>
    <n v="0"/>
    <n v="0"/>
    <n v="0"/>
    <n v="0"/>
    <n v="0"/>
    <s v="MMR001CMP069"/>
    <x v="0"/>
    <x v="0"/>
    <s v="P3"/>
    <n v="0"/>
    <m/>
  </r>
  <r>
    <n v="16.766666666666666"/>
    <d v="2015-12-15T00:00:00"/>
    <x v="1"/>
    <s v="Solidarities"/>
    <s v="Kachin"/>
    <s v="Momauk"/>
    <s v="Loi Je Lisu Camp"/>
    <m/>
    <m/>
    <m/>
    <m/>
    <m/>
    <m/>
    <m/>
    <m/>
    <m/>
    <m/>
    <m/>
    <m/>
    <m/>
    <m/>
    <m/>
    <n v="14"/>
    <m/>
    <n v="0"/>
    <n v="0"/>
    <n v="0"/>
    <n v="0"/>
    <n v="0"/>
    <n v="0"/>
    <n v="0"/>
    <n v="0"/>
    <n v="0"/>
    <n v="0"/>
    <n v="0"/>
    <n v="0"/>
    <n v="0"/>
    <n v="0"/>
    <n v="0"/>
    <n v="0"/>
    <n v="0"/>
    <n v="0"/>
    <s v="MMR001CMP070"/>
    <x v="0"/>
    <x v="0"/>
    <s v="P3"/>
    <n v="0"/>
    <m/>
  </r>
  <r>
    <n v="16.766666666666666"/>
    <d v="2015-12-15T00:00:00"/>
    <x v="0"/>
    <s v="KBC"/>
    <s v="Kachin"/>
    <s v="Myitkyina"/>
    <s v="Man Hkring Baptist Church"/>
    <m/>
    <m/>
    <m/>
    <n v="7"/>
    <n v="7"/>
    <m/>
    <n v="7"/>
    <m/>
    <n v="7"/>
    <n v="27"/>
    <m/>
    <m/>
    <m/>
    <n v="27"/>
    <n v="7"/>
    <m/>
    <m/>
    <n v="0"/>
    <n v="0"/>
    <n v="0"/>
    <n v="0"/>
    <n v="0"/>
    <n v="0"/>
    <n v="0"/>
    <n v="0"/>
    <n v="0"/>
    <n v="0"/>
    <n v="0"/>
    <n v="0"/>
    <n v="0"/>
    <n v="0"/>
    <n v="1"/>
    <n v="0"/>
    <n v="0"/>
    <n v="0"/>
    <s v="MMR001CMP008"/>
    <x v="0"/>
    <x v="0"/>
    <s v="P4"/>
    <n v="1.7188459177409454E-4"/>
    <s v="No"/>
  </r>
  <r>
    <n v="17.233333333333334"/>
    <d v="2015-12-01T00:00:00"/>
    <x v="1"/>
    <s v="Solidarities"/>
    <s v="Kachin"/>
    <s v="Momauk"/>
    <s v="Loi Je B.E.H.S"/>
    <m/>
    <m/>
    <m/>
    <m/>
    <m/>
    <m/>
    <m/>
    <m/>
    <m/>
    <m/>
    <m/>
    <m/>
    <m/>
    <m/>
    <n v="44"/>
    <m/>
    <m/>
    <n v="0"/>
    <n v="0"/>
    <n v="0"/>
    <n v="0"/>
    <n v="0"/>
    <n v="0"/>
    <n v="0"/>
    <n v="0"/>
    <n v="0"/>
    <n v="0"/>
    <n v="0"/>
    <n v="0"/>
    <n v="0"/>
    <n v="0"/>
    <n v="0"/>
    <n v="0"/>
    <n v="0"/>
    <n v="0"/>
    <s v=""/>
    <x v="1"/>
    <x v="2"/>
    <s v=""/>
    <s v=""/>
    <m/>
  </r>
  <r>
    <n v="17.133333333333333"/>
    <d v="2015-12-04T00:00:00"/>
    <x v="1"/>
    <s v="Solidarities"/>
    <s v="Kachin"/>
    <s v="Momauk"/>
    <s v="Edin"/>
    <m/>
    <m/>
    <m/>
    <m/>
    <m/>
    <m/>
    <m/>
    <m/>
    <m/>
    <m/>
    <m/>
    <m/>
    <m/>
    <m/>
    <n v="1"/>
    <m/>
    <m/>
    <n v="0"/>
    <n v="0"/>
    <n v="0"/>
    <n v="0"/>
    <n v="0"/>
    <n v="0"/>
    <n v="0"/>
    <n v="0"/>
    <n v="0"/>
    <n v="0"/>
    <n v="0"/>
    <n v="0"/>
    <n v="0"/>
    <n v="0"/>
    <n v="0"/>
    <n v="0"/>
    <n v="0"/>
    <n v="0"/>
    <s v=""/>
    <x v="1"/>
    <x v="2"/>
    <s v=""/>
    <s v=""/>
    <m/>
  </r>
  <r>
    <n v="16.766666666666666"/>
    <d v="2015-12-15T00:00:00"/>
    <x v="1"/>
    <s v="Solidarities"/>
    <s v="Kachin"/>
    <s v="Momauk"/>
    <s v="Nyaung Na Pin "/>
    <m/>
    <m/>
    <m/>
    <m/>
    <m/>
    <m/>
    <m/>
    <m/>
    <m/>
    <m/>
    <m/>
    <m/>
    <m/>
    <m/>
    <m/>
    <n v="5"/>
    <m/>
    <n v="0"/>
    <n v="0"/>
    <n v="0"/>
    <n v="0"/>
    <n v="0"/>
    <n v="0"/>
    <n v="0"/>
    <n v="0"/>
    <n v="0"/>
    <n v="0"/>
    <n v="0"/>
    <n v="0"/>
    <n v="0"/>
    <n v="0"/>
    <n v="0"/>
    <n v="0"/>
    <n v="0"/>
    <n v="0"/>
    <s v="MMR001CMP072"/>
    <x v="0"/>
    <x v="0"/>
    <s v="P3"/>
    <n v="0"/>
    <m/>
  </r>
  <r>
    <n v="16.766666666666666"/>
    <d v="2015-12-15T00:00:00"/>
    <x v="1"/>
    <s v="Solidarities"/>
    <s v="Kachin"/>
    <s v="Momauk"/>
    <s v="Seng Ja "/>
    <m/>
    <m/>
    <m/>
    <m/>
    <m/>
    <m/>
    <m/>
    <m/>
    <m/>
    <m/>
    <m/>
    <m/>
    <m/>
    <m/>
    <m/>
    <n v="4"/>
    <m/>
    <n v="0"/>
    <n v="0"/>
    <n v="0"/>
    <n v="0"/>
    <n v="0"/>
    <n v="0"/>
    <n v="0"/>
    <n v="0"/>
    <n v="0"/>
    <n v="0"/>
    <n v="0"/>
    <n v="0"/>
    <n v="0"/>
    <n v="0"/>
    <n v="0"/>
    <n v="0"/>
    <n v="0"/>
    <n v="0"/>
    <s v="MMR001CMP073"/>
    <x v="0"/>
    <x v="0"/>
    <s v="P3"/>
    <n v="0"/>
    <m/>
  </r>
  <r>
    <n v="16.7"/>
    <d v="2015-12-17T00:00:00"/>
    <x v="1"/>
    <s v="Solidarities"/>
    <s v="Kachin"/>
    <s v="Bhamo"/>
    <s v="AD-2000 Tharthana Compound"/>
    <m/>
    <m/>
    <m/>
    <m/>
    <m/>
    <m/>
    <m/>
    <m/>
    <m/>
    <m/>
    <m/>
    <m/>
    <m/>
    <m/>
    <m/>
    <n v="38"/>
    <m/>
    <n v="0"/>
    <n v="0"/>
    <n v="0"/>
    <n v="0"/>
    <n v="0"/>
    <n v="0"/>
    <n v="0"/>
    <n v="0"/>
    <n v="0"/>
    <n v="0"/>
    <n v="0"/>
    <n v="0"/>
    <n v="0"/>
    <n v="0"/>
    <n v="0"/>
    <n v="0"/>
    <n v="0"/>
    <n v="0"/>
    <s v="MMR001CMP050"/>
    <x v="0"/>
    <x v="0"/>
    <s v="P4"/>
    <n v="0"/>
    <m/>
  </r>
  <r>
    <n v="16.7"/>
    <d v="2015-12-17T00:00:00"/>
    <x v="1"/>
    <s v="Solidarities"/>
    <s v="Kachin"/>
    <s v="Bhamo"/>
    <s v="Robert Church"/>
    <m/>
    <m/>
    <m/>
    <m/>
    <m/>
    <m/>
    <m/>
    <m/>
    <m/>
    <m/>
    <m/>
    <m/>
    <m/>
    <m/>
    <m/>
    <n v="76"/>
    <m/>
    <n v="0"/>
    <n v="0"/>
    <n v="0"/>
    <n v="0"/>
    <n v="0"/>
    <n v="0"/>
    <n v="0"/>
    <n v="0"/>
    <n v="0"/>
    <n v="0"/>
    <n v="0"/>
    <n v="0"/>
    <n v="0"/>
    <n v="0"/>
    <n v="0"/>
    <n v="0"/>
    <n v="0"/>
    <n v="0"/>
    <s v="MMR001CMP047"/>
    <x v="0"/>
    <x v="0"/>
    <s v="P4"/>
    <n v="0"/>
    <m/>
  </r>
  <r>
    <n v="16.666666666666668"/>
    <d v="2015-12-18T00:00:00"/>
    <x v="1"/>
    <s v="Solidarities"/>
    <s v="Kachin"/>
    <s v="Bhamo"/>
    <s v="Phan Khar Kone"/>
    <m/>
    <m/>
    <m/>
    <m/>
    <m/>
    <m/>
    <m/>
    <m/>
    <m/>
    <m/>
    <m/>
    <m/>
    <m/>
    <m/>
    <m/>
    <n v="24"/>
    <m/>
    <n v="0"/>
    <n v="0"/>
    <n v="0"/>
    <n v="0"/>
    <n v="0"/>
    <n v="0"/>
    <n v="0"/>
    <n v="0"/>
    <n v="0"/>
    <n v="0"/>
    <n v="0"/>
    <n v="0"/>
    <n v="0"/>
    <n v="0"/>
    <n v="0"/>
    <n v="0"/>
    <n v="0"/>
    <n v="0"/>
    <s v="MMR001CMP193"/>
    <x v="0"/>
    <x v="0"/>
    <s v="P4"/>
    <n v="0"/>
    <m/>
  </r>
  <r>
    <n v="16.666666666666668"/>
    <d v="2015-12-18T00:00:00"/>
    <x v="1"/>
    <s v="Solidarities"/>
    <s v="Kachin"/>
    <s v="Bhamo"/>
    <s v="Ta Gun Taing Monastery (Shwe Kyi Na)"/>
    <m/>
    <m/>
    <m/>
    <m/>
    <m/>
    <m/>
    <m/>
    <m/>
    <m/>
    <m/>
    <m/>
    <m/>
    <m/>
    <m/>
    <m/>
    <n v="5"/>
    <m/>
    <n v="0"/>
    <n v="0"/>
    <n v="0"/>
    <n v="0"/>
    <n v="0"/>
    <n v="0"/>
    <n v="0"/>
    <n v="0"/>
    <n v="0"/>
    <n v="0"/>
    <n v="0"/>
    <n v="0"/>
    <n v="0"/>
    <n v="0"/>
    <n v="0"/>
    <n v="0"/>
    <n v="0"/>
    <n v="0"/>
    <s v="MMR001CMP055"/>
    <x v="0"/>
    <x v="0"/>
    <s v="P4"/>
    <n v="0"/>
    <m/>
  </r>
  <r>
    <n v="15.966666666666667"/>
    <d v="2016-01-08T00:00:00"/>
    <x v="0"/>
    <s v="KBC"/>
    <s v="Shan_North"/>
    <s v="Namtu"/>
    <s v="Nam Tu Baptist"/>
    <m/>
    <m/>
    <m/>
    <n v="35"/>
    <m/>
    <n v="35"/>
    <n v="18"/>
    <m/>
    <n v="18"/>
    <n v="82"/>
    <m/>
    <m/>
    <m/>
    <m/>
    <n v="18"/>
    <m/>
    <m/>
    <n v="0"/>
    <n v="0"/>
    <n v="0"/>
    <n v="0"/>
    <n v="0"/>
    <n v="0"/>
    <n v="0"/>
    <n v="0"/>
    <n v="0"/>
    <n v="0"/>
    <n v="0"/>
    <n v="0"/>
    <n v="0"/>
    <n v="0"/>
    <n v="0"/>
    <n v="0"/>
    <n v="0"/>
    <n v="0"/>
    <s v="MMR015CMP014"/>
    <x v="0"/>
    <x v="0"/>
    <s v="P3"/>
    <n v="4.3902439024390245E-4"/>
    <m/>
  </r>
  <r>
    <n v="15.5"/>
    <d v="2016-01-22T00:00:00"/>
    <x v="1"/>
    <s v="Solidarities"/>
    <s v="Kachin"/>
    <s v="Bhamo"/>
    <s v="Phan Khar Kone"/>
    <m/>
    <m/>
    <m/>
    <m/>
    <m/>
    <m/>
    <m/>
    <m/>
    <m/>
    <m/>
    <m/>
    <m/>
    <m/>
    <m/>
    <n v="4"/>
    <m/>
    <m/>
    <n v="0"/>
    <n v="0"/>
    <n v="0"/>
    <n v="0"/>
    <n v="0"/>
    <n v="0"/>
    <n v="0"/>
    <n v="0"/>
    <n v="0"/>
    <n v="0"/>
    <n v="0"/>
    <n v="0"/>
    <n v="0"/>
    <n v="0"/>
    <n v="0"/>
    <n v="0"/>
    <n v="0"/>
    <n v="0"/>
    <s v="MMR001CMP193"/>
    <x v="0"/>
    <x v="0"/>
    <s v="P4"/>
    <n v="0"/>
    <m/>
  </r>
  <r>
    <n v="15.366666666666667"/>
    <d v="2016-01-26T00:00:00"/>
    <x v="1"/>
    <s v="Solidarities"/>
    <s v="Kachin"/>
    <s v="Bhamo"/>
    <s v="Robert Church"/>
    <m/>
    <m/>
    <m/>
    <m/>
    <m/>
    <m/>
    <m/>
    <m/>
    <m/>
    <m/>
    <m/>
    <m/>
    <m/>
    <m/>
    <n v="5"/>
    <m/>
    <m/>
    <n v="0"/>
    <n v="0"/>
    <n v="0"/>
    <n v="0"/>
    <n v="0"/>
    <n v="0"/>
    <n v="0"/>
    <n v="0"/>
    <n v="0"/>
    <n v="0"/>
    <n v="0"/>
    <n v="0"/>
    <n v="0"/>
    <n v="0"/>
    <n v="0"/>
    <n v="0"/>
    <n v="0"/>
    <n v="0"/>
    <s v="MMR001CMP047"/>
    <x v="0"/>
    <x v="0"/>
    <s v="P4"/>
    <n v="0"/>
    <m/>
  </r>
  <r>
    <n v="15.266666666666667"/>
    <d v="2016-01-29T00:00:00"/>
    <x v="1"/>
    <s v="Solidarities"/>
    <s v="Kachin"/>
    <s v="Momauk"/>
    <s v="Loi Je Baptist Church"/>
    <m/>
    <m/>
    <m/>
    <m/>
    <m/>
    <m/>
    <m/>
    <m/>
    <m/>
    <m/>
    <m/>
    <m/>
    <m/>
    <m/>
    <n v="2"/>
    <m/>
    <m/>
    <n v="0"/>
    <n v="0"/>
    <n v="0"/>
    <n v="0"/>
    <n v="0"/>
    <n v="0"/>
    <n v="0"/>
    <n v="0"/>
    <n v="0"/>
    <n v="0"/>
    <n v="0"/>
    <n v="0"/>
    <n v="0"/>
    <n v="0"/>
    <n v="0"/>
    <n v="0"/>
    <n v="0"/>
    <n v="0"/>
    <s v="MMR001CMP071"/>
    <x v="0"/>
    <x v="0"/>
    <s v="P3"/>
    <n v="0"/>
    <m/>
  </r>
  <r>
    <n v="15.266666666666667"/>
    <d v="2016-01-29T00:00:00"/>
    <x v="1"/>
    <s v="Solidarities"/>
    <s v="Kachin"/>
    <s v="Momauk"/>
    <s v="Loi Je Lisu Camp"/>
    <m/>
    <m/>
    <m/>
    <m/>
    <m/>
    <m/>
    <m/>
    <m/>
    <m/>
    <m/>
    <m/>
    <m/>
    <m/>
    <m/>
    <n v="3"/>
    <m/>
    <m/>
    <n v="0"/>
    <n v="0"/>
    <n v="0"/>
    <n v="0"/>
    <n v="0"/>
    <n v="0"/>
    <n v="0"/>
    <n v="0"/>
    <n v="0"/>
    <n v="0"/>
    <n v="0"/>
    <n v="0"/>
    <n v="0"/>
    <n v="0"/>
    <n v="0"/>
    <n v="0"/>
    <n v="0"/>
    <n v="0"/>
    <s v="MMR001CMP070"/>
    <x v="0"/>
    <x v="0"/>
    <s v="P3"/>
    <n v="0"/>
    <m/>
  </r>
  <r>
    <n v="15.266666666666667"/>
    <d v="2016-01-29T00:00:00"/>
    <x v="1"/>
    <s v="Solidarities"/>
    <s v="Kachin"/>
    <s v="Momauk"/>
    <s v="Seng Ja "/>
    <m/>
    <m/>
    <m/>
    <m/>
    <m/>
    <m/>
    <m/>
    <m/>
    <m/>
    <m/>
    <m/>
    <m/>
    <m/>
    <m/>
    <n v="3"/>
    <m/>
    <m/>
    <n v="0"/>
    <n v="0"/>
    <n v="0"/>
    <n v="0"/>
    <n v="0"/>
    <n v="0"/>
    <n v="0"/>
    <n v="0"/>
    <n v="0"/>
    <n v="0"/>
    <n v="0"/>
    <n v="0"/>
    <n v="0"/>
    <n v="0"/>
    <n v="0"/>
    <n v="0"/>
    <n v="0"/>
    <n v="0"/>
    <s v="MMR001CMP073"/>
    <x v="0"/>
    <x v="0"/>
    <s v="P3"/>
    <n v="0"/>
    <m/>
  </r>
  <r>
    <n v="16.666666666666668"/>
    <d v="2015-12-18T00:00:00"/>
    <x v="1"/>
    <s v="Solidarities"/>
    <s v="Kachin"/>
    <s v="Momauk"/>
    <s v="Edin"/>
    <m/>
    <m/>
    <m/>
    <m/>
    <m/>
    <m/>
    <m/>
    <m/>
    <m/>
    <m/>
    <m/>
    <m/>
    <m/>
    <m/>
    <m/>
    <n v="13"/>
    <m/>
    <n v="0"/>
    <n v="0"/>
    <n v="0"/>
    <n v="0"/>
    <n v="0"/>
    <n v="0"/>
    <n v="0"/>
    <n v="0"/>
    <n v="0"/>
    <n v="0"/>
    <n v="0"/>
    <n v="0"/>
    <n v="0"/>
    <n v="0"/>
    <n v="0"/>
    <n v="0"/>
    <n v="0"/>
    <n v="0"/>
    <s v=""/>
    <x v="1"/>
    <x v="2"/>
    <s v=""/>
    <s v=""/>
    <m/>
  </r>
  <r>
    <n v="16.666666666666668"/>
    <d v="2015-12-18T00:00:00"/>
    <x v="1"/>
    <s v="Solidarities"/>
    <s v="Kachin"/>
    <s v="Momauk"/>
    <s v="Ni Thaw Ka Monestry"/>
    <m/>
    <m/>
    <m/>
    <m/>
    <m/>
    <m/>
    <m/>
    <m/>
    <m/>
    <m/>
    <m/>
    <m/>
    <m/>
    <m/>
    <m/>
    <n v="5"/>
    <m/>
    <n v="0"/>
    <n v="0"/>
    <n v="0"/>
    <n v="0"/>
    <n v="0"/>
    <n v="0"/>
    <n v="0"/>
    <n v="0"/>
    <n v="0"/>
    <n v="0"/>
    <n v="0"/>
    <n v="0"/>
    <n v="0"/>
    <n v="0"/>
    <n v="0"/>
    <n v="0"/>
    <n v="0"/>
    <n v="0"/>
    <s v="MMR001CMP059"/>
    <x v="0"/>
    <x v="1"/>
    <s v="P4"/>
    <n v="0"/>
    <m/>
  </r>
  <r>
    <n v="15.133333333333333"/>
    <d v="2016-02-02T00:00:00"/>
    <x v="1"/>
    <s v="Solidarities"/>
    <s v="Kachin"/>
    <s v="Bhamo"/>
    <s v="AD-2000 Tharthana Compound"/>
    <m/>
    <m/>
    <n v="310"/>
    <m/>
    <m/>
    <m/>
    <m/>
    <m/>
    <m/>
    <m/>
    <m/>
    <m/>
    <m/>
    <m/>
    <m/>
    <m/>
    <m/>
    <n v="0"/>
    <n v="0"/>
    <n v="0"/>
    <n v="0"/>
    <n v="0"/>
    <n v="0"/>
    <n v="0"/>
    <n v="0"/>
    <n v="0"/>
    <n v="0"/>
    <n v="0"/>
    <n v="0"/>
    <n v="0"/>
    <n v="0"/>
    <n v="0"/>
    <n v="0"/>
    <n v="0"/>
    <n v="0"/>
    <s v="MMR001CMP050"/>
    <x v="0"/>
    <x v="0"/>
    <s v="P4"/>
    <n v="0"/>
    <m/>
  </r>
  <r>
    <n v="15.133333333333333"/>
    <d v="2016-02-02T00:00:00"/>
    <x v="1"/>
    <s v="Solidarities"/>
    <s v="Kachin"/>
    <s v="Bhamo"/>
    <s v="Phan Khar Kone"/>
    <m/>
    <m/>
    <n v="204"/>
    <m/>
    <m/>
    <m/>
    <m/>
    <m/>
    <m/>
    <m/>
    <m/>
    <m/>
    <m/>
    <m/>
    <m/>
    <m/>
    <m/>
    <n v="0"/>
    <n v="0"/>
    <n v="0"/>
    <n v="0"/>
    <n v="0"/>
    <n v="0"/>
    <n v="0"/>
    <n v="0"/>
    <n v="0"/>
    <n v="0"/>
    <n v="0"/>
    <n v="0"/>
    <n v="0"/>
    <n v="0"/>
    <n v="0"/>
    <n v="0"/>
    <n v="0"/>
    <n v="0"/>
    <s v="MMR001CMP193"/>
    <x v="0"/>
    <x v="0"/>
    <s v="P4"/>
    <n v="0"/>
    <m/>
  </r>
  <r>
    <n v="16.166666666666668"/>
    <d v="2016-01-02T00:00:00"/>
    <x v="0"/>
    <s v="KBC"/>
    <s v="Shan_North"/>
    <s v="Namhkan"/>
    <m/>
    <m/>
    <m/>
    <m/>
    <m/>
    <m/>
    <m/>
    <m/>
    <m/>
    <m/>
    <m/>
    <m/>
    <m/>
    <m/>
    <m/>
    <m/>
    <m/>
    <n v="37"/>
    <n v="0"/>
    <n v="0"/>
    <n v="0"/>
    <n v="0"/>
    <n v="0"/>
    <n v="0"/>
    <n v="0"/>
    <n v="0"/>
    <n v="0"/>
    <n v="0"/>
    <n v="0"/>
    <n v="0"/>
    <n v="0"/>
    <n v="0"/>
    <n v="0"/>
    <n v="0"/>
    <n v="0"/>
    <n v="0"/>
    <s v=""/>
    <x v="1"/>
    <x v="2"/>
    <s v=""/>
    <s v=""/>
    <m/>
  </r>
  <r>
    <n v="15.066666666666666"/>
    <d v="2016-02-04T00:00:00"/>
    <x v="1"/>
    <s v="Solidarities"/>
    <s v="Kachin"/>
    <s v="Momauk"/>
    <s v="Loi Je Baptist Church"/>
    <m/>
    <m/>
    <n v="55"/>
    <m/>
    <m/>
    <m/>
    <m/>
    <m/>
    <m/>
    <m/>
    <m/>
    <m/>
    <m/>
    <m/>
    <m/>
    <m/>
    <m/>
    <n v="0"/>
    <n v="0"/>
    <n v="0"/>
    <n v="0"/>
    <n v="0"/>
    <n v="0"/>
    <n v="0"/>
    <n v="0"/>
    <n v="0"/>
    <n v="0"/>
    <n v="0"/>
    <n v="0"/>
    <n v="0"/>
    <n v="0"/>
    <n v="0"/>
    <n v="0"/>
    <n v="0"/>
    <n v="0"/>
    <s v="MMR001CMP071"/>
    <x v="0"/>
    <x v="0"/>
    <s v="P3"/>
    <n v="0"/>
    <m/>
  </r>
  <r>
    <n v="15.066666666666666"/>
    <d v="2016-02-04T00:00:00"/>
    <x v="1"/>
    <s v="Solidarities"/>
    <s v="Kachin"/>
    <s v="Momauk"/>
    <s v="Loi Je Baptist Church"/>
    <m/>
    <m/>
    <m/>
    <m/>
    <m/>
    <m/>
    <m/>
    <m/>
    <m/>
    <m/>
    <m/>
    <m/>
    <m/>
    <m/>
    <m/>
    <m/>
    <m/>
    <n v="0"/>
    <n v="0"/>
    <n v="0"/>
    <n v="0"/>
    <n v="0"/>
    <n v="0"/>
    <n v="0"/>
    <n v="0"/>
    <n v="0"/>
    <n v="0"/>
    <n v="0"/>
    <n v="0"/>
    <n v="0"/>
    <n v="0"/>
    <n v="0"/>
    <n v="0"/>
    <n v="0"/>
    <n v="0"/>
    <s v="MMR001CMP071"/>
    <x v="0"/>
    <x v="0"/>
    <s v="P3"/>
    <n v="0"/>
    <m/>
  </r>
  <r>
    <n v="15.066666666666666"/>
    <d v="2016-02-04T00:00:00"/>
    <x v="1"/>
    <s v="Solidarities"/>
    <s v="Kachin"/>
    <s v="Momauk"/>
    <s v="Loi Je Catholic Church"/>
    <m/>
    <m/>
    <n v="71"/>
    <m/>
    <m/>
    <m/>
    <m/>
    <m/>
    <m/>
    <m/>
    <m/>
    <m/>
    <m/>
    <m/>
    <m/>
    <m/>
    <m/>
    <n v="0"/>
    <n v="0"/>
    <n v="0"/>
    <n v="0"/>
    <n v="0"/>
    <n v="0"/>
    <n v="0"/>
    <n v="0"/>
    <n v="0"/>
    <n v="0"/>
    <n v="0"/>
    <n v="0"/>
    <n v="0"/>
    <n v="0"/>
    <n v="0"/>
    <n v="0"/>
    <n v="0"/>
    <n v="0"/>
    <s v="MMR001CMP069"/>
    <x v="0"/>
    <x v="0"/>
    <s v="P3"/>
    <n v="0"/>
    <m/>
  </r>
  <r>
    <n v="15.066666666666666"/>
    <d v="2016-02-04T00:00:00"/>
    <x v="1"/>
    <s v="Solidarities"/>
    <s v="Kachin"/>
    <s v="Bhamo"/>
    <s v="Ta Gun Taing Monastery (Shwe Kyi Na)"/>
    <m/>
    <m/>
    <n v="29"/>
    <m/>
    <m/>
    <m/>
    <m/>
    <m/>
    <m/>
    <m/>
    <m/>
    <m/>
    <m/>
    <m/>
    <m/>
    <m/>
    <m/>
    <n v="0"/>
    <n v="0"/>
    <n v="0"/>
    <n v="0"/>
    <n v="0"/>
    <n v="0"/>
    <n v="0"/>
    <n v="0"/>
    <n v="0"/>
    <n v="0"/>
    <n v="0"/>
    <n v="0"/>
    <n v="0"/>
    <n v="0"/>
    <n v="0"/>
    <n v="0"/>
    <n v="0"/>
    <n v="0"/>
    <s v="MMR001CMP055"/>
    <x v="0"/>
    <x v="0"/>
    <s v="P4"/>
    <n v="0"/>
    <m/>
  </r>
  <r>
    <n v="15.033333333333333"/>
    <d v="2016-02-05T00:00:00"/>
    <x v="1"/>
    <s v="Solidarities"/>
    <s v="Kachin"/>
    <s v="Momauk"/>
    <s v="Loi Je Lisu Camp"/>
    <m/>
    <m/>
    <n v="258"/>
    <m/>
    <m/>
    <m/>
    <m/>
    <m/>
    <m/>
    <m/>
    <m/>
    <m/>
    <m/>
    <m/>
    <m/>
    <m/>
    <m/>
    <n v="0"/>
    <n v="0"/>
    <n v="0"/>
    <n v="0"/>
    <n v="0"/>
    <n v="0"/>
    <n v="0"/>
    <n v="0"/>
    <n v="0"/>
    <n v="0"/>
    <n v="0"/>
    <n v="0"/>
    <n v="0"/>
    <n v="0"/>
    <n v="0"/>
    <n v="0"/>
    <n v="0"/>
    <n v="0"/>
    <s v="MMR001CMP070"/>
    <x v="0"/>
    <x v="0"/>
    <s v="P3"/>
    <n v="0"/>
    <m/>
  </r>
  <r>
    <n v="14.933333333333334"/>
    <d v="2016-02-08T00:00:00"/>
    <x v="1"/>
    <s v="Solidarities"/>
    <s v="Kachin"/>
    <s v="Momauk"/>
    <s v="Nyaung Na Pin "/>
    <m/>
    <m/>
    <n v="82"/>
    <m/>
    <m/>
    <m/>
    <m/>
    <m/>
    <m/>
    <m/>
    <m/>
    <m/>
    <m/>
    <m/>
    <m/>
    <m/>
    <m/>
    <n v="0"/>
    <n v="0"/>
    <n v="0"/>
    <n v="0"/>
    <n v="0"/>
    <n v="0"/>
    <n v="0"/>
    <n v="0"/>
    <n v="0"/>
    <n v="0"/>
    <n v="0"/>
    <n v="0"/>
    <n v="0"/>
    <n v="0"/>
    <n v="0"/>
    <n v="0"/>
    <n v="0"/>
    <n v="0"/>
    <s v="MMR001CMP072"/>
    <x v="0"/>
    <x v="0"/>
    <s v="P3"/>
    <n v="0"/>
    <m/>
  </r>
  <r>
    <n v="14.933333333333334"/>
    <d v="2016-02-08T00:00:00"/>
    <x v="1"/>
    <s v="Solidarities"/>
    <s v="Kachin"/>
    <s v="Bhamo"/>
    <s v="Robert Church"/>
    <m/>
    <m/>
    <n v="996"/>
    <m/>
    <m/>
    <m/>
    <m/>
    <m/>
    <m/>
    <m/>
    <m/>
    <m/>
    <m/>
    <m/>
    <m/>
    <m/>
    <m/>
    <n v="0"/>
    <n v="0"/>
    <n v="0"/>
    <n v="0"/>
    <n v="0"/>
    <n v="0"/>
    <n v="0"/>
    <n v="0"/>
    <n v="0"/>
    <n v="0"/>
    <n v="0"/>
    <n v="0"/>
    <n v="0"/>
    <n v="0"/>
    <n v="0"/>
    <n v="0"/>
    <n v="0"/>
    <n v="0"/>
    <s v="MMR001CMP047"/>
    <x v="0"/>
    <x v="0"/>
    <s v="P4"/>
    <n v="0"/>
    <m/>
  </r>
  <r>
    <n v="14.933333333333334"/>
    <d v="2016-02-08T00:00:00"/>
    <x v="1"/>
    <s v="Solidarities"/>
    <s v="Kachin"/>
    <s v="Momauk"/>
    <s v="Seng Ja "/>
    <m/>
    <m/>
    <n v="62"/>
    <m/>
    <m/>
    <m/>
    <m/>
    <m/>
    <m/>
    <m/>
    <m/>
    <m/>
    <m/>
    <m/>
    <m/>
    <m/>
    <m/>
    <n v="0"/>
    <n v="0"/>
    <n v="0"/>
    <n v="0"/>
    <n v="0"/>
    <n v="0"/>
    <n v="0"/>
    <n v="0"/>
    <n v="0"/>
    <n v="0"/>
    <n v="0"/>
    <n v="0"/>
    <n v="0"/>
    <n v="0"/>
    <n v="0"/>
    <n v="0"/>
    <n v="0"/>
    <n v="0"/>
    <s v="MMR001CMP073"/>
    <x v="0"/>
    <x v="0"/>
    <s v="P3"/>
    <n v="0"/>
    <m/>
  </r>
  <r>
    <n v="15.066666666666666"/>
    <d v="2016-02-04T00:00:00"/>
    <x v="1"/>
    <s v="Solidarities"/>
    <s v="Kachin"/>
    <s v="Momauk"/>
    <s v="Edin"/>
    <m/>
    <m/>
    <n v="96"/>
    <m/>
    <m/>
    <m/>
    <m/>
    <m/>
    <m/>
    <m/>
    <m/>
    <m/>
    <m/>
    <m/>
    <m/>
    <m/>
    <m/>
    <n v="0"/>
    <n v="0"/>
    <n v="0"/>
    <n v="0"/>
    <n v="0"/>
    <n v="0"/>
    <n v="0"/>
    <n v="0"/>
    <n v="0"/>
    <n v="0"/>
    <n v="0"/>
    <n v="0"/>
    <n v="0"/>
    <n v="0"/>
    <n v="0"/>
    <n v="0"/>
    <n v="0"/>
    <n v="0"/>
    <s v=""/>
    <x v="1"/>
    <x v="2"/>
    <s v=""/>
    <s v=""/>
    <m/>
  </r>
  <r>
    <n v="15.066666666666666"/>
    <d v="2016-02-04T00:00:00"/>
    <x v="1"/>
    <s v="Solidarities"/>
    <s v="Kachin"/>
    <s v="Momauk"/>
    <s v="Ni Thaw Ka Monestry"/>
    <m/>
    <m/>
    <n v="33"/>
    <m/>
    <m/>
    <m/>
    <m/>
    <m/>
    <m/>
    <m/>
    <m/>
    <m/>
    <m/>
    <m/>
    <m/>
    <m/>
    <m/>
    <n v="0"/>
    <n v="0"/>
    <n v="0"/>
    <n v="0"/>
    <n v="0"/>
    <n v="0"/>
    <n v="0"/>
    <n v="0"/>
    <n v="0"/>
    <n v="0"/>
    <n v="0"/>
    <n v="0"/>
    <n v="0"/>
    <n v="0"/>
    <n v="0"/>
    <n v="0"/>
    <n v="0"/>
    <n v="0"/>
    <s v="MMR001CMP059"/>
    <x v="0"/>
    <x v="1"/>
    <s v="P4"/>
    <n v="0"/>
    <m/>
  </r>
  <r>
    <n v="14.433333333333334"/>
    <d v="2016-02-23T00:00:00"/>
    <x v="1"/>
    <s v="KBC"/>
    <s v="Kachin"/>
    <s v="Momauk"/>
    <s v="Je Yang Hka "/>
    <m/>
    <m/>
    <n v="1807"/>
    <m/>
    <m/>
    <m/>
    <m/>
    <m/>
    <m/>
    <m/>
    <m/>
    <m/>
    <m/>
    <m/>
    <m/>
    <m/>
    <m/>
    <n v="0"/>
    <n v="0"/>
    <n v="0"/>
    <n v="0"/>
    <n v="0"/>
    <n v="0"/>
    <n v="0"/>
    <n v="0"/>
    <n v="0"/>
    <n v="0"/>
    <n v="0"/>
    <n v="0"/>
    <n v="0"/>
    <n v="0"/>
    <n v="0"/>
    <n v="0"/>
    <n v="0"/>
    <n v="0"/>
    <s v="MMR001CMP121"/>
    <x v="0"/>
    <x v="0"/>
    <s v="P2"/>
    <n v="0"/>
    <m/>
  </r>
  <r>
    <n v="14.4"/>
    <d v="2016-02-24T00:00:00"/>
    <x v="1"/>
    <s v="KBC"/>
    <s v="Kachin"/>
    <s v="Momauk"/>
    <s v="Je Yang Hka "/>
    <m/>
    <m/>
    <m/>
    <m/>
    <m/>
    <m/>
    <m/>
    <m/>
    <m/>
    <m/>
    <m/>
    <m/>
    <m/>
    <m/>
    <m/>
    <m/>
    <m/>
    <n v="0"/>
    <n v="0"/>
    <n v="0"/>
    <n v="0"/>
    <n v="0"/>
    <n v="0"/>
    <n v="0"/>
    <n v="0"/>
    <n v="0"/>
    <n v="0"/>
    <n v="0"/>
    <n v="0"/>
    <n v="0"/>
    <n v="0"/>
    <n v="0"/>
    <n v="0"/>
    <n v="0"/>
    <n v="0"/>
    <s v="MMR001CMP121"/>
    <x v="0"/>
    <x v="0"/>
    <s v="P2"/>
    <n v="0"/>
    <m/>
  </r>
  <r>
    <n v="14.366666666666667"/>
    <d v="2016-02-25T00:00:00"/>
    <x v="1"/>
    <s v="Solidarities"/>
    <s v="Kachin"/>
    <s v="Bhamo"/>
    <s v="Phan Khar Kone"/>
    <m/>
    <m/>
    <m/>
    <m/>
    <m/>
    <m/>
    <m/>
    <m/>
    <m/>
    <m/>
    <m/>
    <m/>
    <m/>
    <m/>
    <m/>
    <m/>
    <m/>
    <n v="0"/>
    <n v="0"/>
    <n v="0"/>
    <n v="0"/>
    <n v="0"/>
    <n v="0"/>
    <n v="0"/>
    <n v="0"/>
    <n v="0"/>
    <n v="0"/>
    <n v="0"/>
    <n v="0"/>
    <n v="0"/>
    <n v="0"/>
    <n v="0"/>
    <n v="0"/>
    <n v="0"/>
    <n v="0"/>
    <s v="MMR001CMP193"/>
    <x v="0"/>
    <x v="0"/>
    <s v="P4"/>
    <n v="0"/>
    <m/>
  </r>
  <r>
    <n v="14.366666666666667"/>
    <d v="2016-02-25T00:00:00"/>
    <x v="1"/>
    <s v="Solidarities"/>
    <s v="Kachin"/>
    <s v="Bhamo"/>
    <s v="Robert Church"/>
    <m/>
    <m/>
    <m/>
    <m/>
    <m/>
    <m/>
    <m/>
    <m/>
    <m/>
    <m/>
    <m/>
    <m/>
    <m/>
    <m/>
    <m/>
    <m/>
    <m/>
    <n v="0"/>
    <n v="0"/>
    <n v="0"/>
    <n v="0"/>
    <n v="0"/>
    <n v="0"/>
    <n v="0"/>
    <n v="0"/>
    <n v="0"/>
    <n v="0"/>
    <n v="0"/>
    <n v="0"/>
    <n v="0"/>
    <n v="0"/>
    <n v="0"/>
    <n v="0"/>
    <n v="0"/>
    <n v="0"/>
    <s v="MMR001CMP047"/>
    <x v="0"/>
    <x v="0"/>
    <s v="P4"/>
    <n v="0"/>
    <m/>
  </r>
  <r>
    <n v="14.333333333333334"/>
    <d v="2016-02-26T00:00:00"/>
    <x v="1"/>
    <s v="Solidarities"/>
    <s v="Kachin"/>
    <s v="Bhamo"/>
    <s v="AD-2000 Tharthana Compound"/>
    <m/>
    <m/>
    <m/>
    <m/>
    <m/>
    <m/>
    <m/>
    <m/>
    <m/>
    <m/>
    <m/>
    <m/>
    <m/>
    <m/>
    <m/>
    <m/>
    <m/>
    <n v="0"/>
    <n v="0"/>
    <n v="0"/>
    <n v="0"/>
    <n v="0"/>
    <n v="0"/>
    <n v="0"/>
    <n v="0"/>
    <n v="0"/>
    <n v="0"/>
    <n v="0"/>
    <n v="0"/>
    <n v="0"/>
    <n v="0"/>
    <n v="0"/>
    <n v="0"/>
    <n v="0"/>
    <n v="0"/>
    <s v="MMR001CMP050"/>
    <x v="0"/>
    <x v="0"/>
    <s v="P4"/>
    <n v="0"/>
    <m/>
  </r>
  <r>
    <n v="14.333333333333334"/>
    <d v="2016-02-26T00:00:00"/>
    <x v="1"/>
    <s v="Solidarities"/>
    <s v="Kachin"/>
    <s v="Bhamo"/>
    <s v="Ta Gun Taing Monastery (Shwe Kyi Na)"/>
    <m/>
    <m/>
    <m/>
    <m/>
    <m/>
    <m/>
    <m/>
    <m/>
    <m/>
    <m/>
    <m/>
    <m/>
    <m/>
    <m/>
    <m/>
    <m/>
    <m/>
    <n v="0"/>
    <n v="0"/>
    <n v="0"/>
    <n v="0"/>
    <n v="0"/>
    <n v="0"/>
    <n v="0"/>
    <n v="0"/>
    <n v="0"/>
    <n v="0"/>
    <n v="0"/>
    <n v="0"/>
    <n v="0"/>
    <n v="0"/>
    <n v="0"/>
    <n v="0"/>
    <n v="0"/>
    <n v="0"/>
    <s v="MMR001CMP055"/>
    <x v="0"/>
    <x v="0"/>
    <s v="P4"/>
    <n v="0"/>
    <m/>
  </r>
  <r>
    <n v="14.3"/>
    <d v="2016-02-27T00:00:00"/>
    <x v="0"/>
    <s v="KBC"/>
    <s v="Kachin"/>
    <s v="Waingmaw"/>
    <s v="Hpare Hkyer - BP6"/>
    <m/>
    <m/>
    <m/>
    <m/>
    <m/>
    <m/>
    <m/>
    <m/>
    <m/>
    <m/>
    <n v="380"/>
    <n v="380"/>
    <m/>
    <m/>
    <m/>
    <m/>
    <m/>
    <n v="0"/>
    <n v="0"/>
    <n v="0"/>
    <n v="0"/>
    <n v="0"/>
    <n v="0"/>
    <n v="0"/>
    <n v="0"/>
    <n v="0"/>
    <n v="0"/>
    <n v="0"/>
    <n v="0"/>
    <n v="0"/>
    <n v="0"/>
    <n v="1"/>
    <n v="0"/>
    <n v="0"/>
    <n v="0"/>
    <s v="MMR001CMP043"/>
    <x v="0"/>
    <x v="0"/>
    <s v="P1"/>
    <n v="0"/>
    <m/>
  </r>
  <r>
    <n v="14.3"/>
    <d v="2016-02-27T00:00:00"/>
    <x v="0"/>
    <s v="KBC"/>
    <s v="Kachin"/>
    <s v="Waingmaw"/>
    <s v="Pajau - Jan Mai"/>
    <m/>
    <m/>
    <m/>
    <m/>
    <m/>
    <m/>
    <m/>
    <m/>
    <m/>
    <m/>
    <n v="330"/>
    <n v="330"/>
    <m/>
    <n v="346"/>
    <m/>
    <m/>
    <m/>
    <n v="0"/>
    <n v="0"/>
    <n v="0"/>
    <n v="0"/>
    <n v="0"/>
    <n v="0"/>
    <n v="0"/>
    <n v="0"/>
    <n v="0"/>
    <n v="0"/>
    <n v="0"/>
    <n v="0"/>
    <n v="0"/>
    <n v="0"/>
    <n v="1"/>
    <n v="0"/>
    <n v="0"/>
    <n v="0"/>
    <s v="MMR001CMP120"/>
    <x v="0"/>
    <x v="0"/>
    <s v="P1"/>
    <n v="0"/>
    <m/>
  </r>
  <r>
    <n v="14.466666666666667"/>
    <d v="2016-02-22T00:00:00"/>
    <x v="0"/>
    <s v="KBC"/>
    <s v="Shan_North"/>
    <s v="Kutkai"/>
    <m/>
    <m/>
    <m/>
    <m/>
    <m/>
    <m/>
    <m/>
    <m/>
    <m/>
    <m/>
    <m/>
    <m/>
    <m/>
    <m/>
    <m/>
    <m/>
    <m/>
    <n v="71"/>
    <n v="0"/>
    <n v="0"/>
    <n v="0"/>
    <n v="0"/>
    <n v="0"/>
    <n v="0"/>
    <n v="0"/>
    <n v="0"/>
    <n v="0"/>
    <n v="0"/>
    <n v="0"/>
    <n v="0"/>
    <n v="0"/>
    <n v="0"/>
    <n v="0"/>
    <n v="0"/>
    <n v="0"/>
    <n v="0"/>
    <s v=""/>
    <x v="1"/>
    <x v="2"/>
    <s v=""/>
    <s v=""/>
    <m/>
  </r>
  <r>
    <n v="14.3"/>
    <d v="2016-02-27T00:00:00"/>
    <x v="0"/>
    <s v="KBC"/>
    <s v="Kachin"/>
    <s v="Waingmaw"/>
    <s v="Pajau - Jan Mai"/>
    <m/>
    <m/>
    <m/>
    <m/>
    <m/>
    <n v="670"/>
    <m/>
    <m/>
    <n v="345"/>
    <m/>
    <m/>
    <m/>
    <m/>
    <m/>
    <m/>
    <m/>
    <m/>
    <n v="0"/>
    <n v="0"/>
    <n v="0"/>
    <n v="0"/>
    <n v="0"/>
    <n v="0"/>
    <n v="0"/>
    <n v="0"/>
    <n v="0"/>
    <n v="0"/>
    <n v="0"/>
    <n v="0"/>
    <n v="0"/>
    <n v="0"/>
    <n v="0"/>
    <n v="0"/>
    <n v="0"/>
    <n v="0"/>
    <s v="MMR001CMP120"/>
    <x v="0"/>
    <x v="0"/>
    <s v="P1"/>
    <n v="0"/>
    <m/>
  </r>
  <r>
    <n v="14.266666666666667"/>
    <d v="2016-02-28T00:00:00"/>
    <x v="0"/>
    <s v="KBC"/>
    <s v="Kachin"/>
    <s v="Chipwi"/>
    <s v="Hpare Hkyer - BP6"/>
    <m/>
    <m/>
    <m/>
    <m/>
    <m/>
    <n v="345"/>
    <m/>
    <m/>
    <m/>
    <m/>
    <m/>
    <n v="765"/>
    <m/>
    <m/>
    <m/>
    <m/>
    <m/>
    <n v="0"/>
    <n v="0"/>
    <n v="0"/>
    <n v="0"/>
    <n v="0"/>
    <n v="0"/>
    <n v="0"/>
    <n v="0"/>
    <n v="0"/>
    <n v="0"/>
    <n v="0"/>
    <n v="0"/>
    <n v="0"/>
    <n v="0"/>
    <n v="1"/>
    <n v="0"/>
    <n v="0"/>
    <n v="0"/>
    <s v="MMR001CMP043"/>
    <x v="0"/>
    <x v="0"/>
    <s v="P1"/>
    <n v="0"/>
    <m/>
  </r>
  <r>
    <n v="13.7"/>
    <d v="2016-03-16T00:00:00"/>
    <x v="1"/>
    <s v="Solidarities"/>
    <s v="Kachin"/>
    <s v="Bhamo"/>
    <s v="Phan Khar Kone"/>
    <m/>
    <m/>
    <m/>
    <m/>
    <m/>
    <m/>
    <m/>
    <m/>
    <m/>
    <m/>
    <m/>
    <m/>
    <m/>
    <m/>
    <n v="4"/>
    <m/>
    <m/>
    <n v="0"/>
    <n v="0"/>
    <n v="0"/>
    <n v="0"/>
    <n v="0"/>
    <n v="0"/>
    <n v="0"/>
    <n v="0"/>
    <n v="0"/>
    <n v="0"/>
    <n v="0"/>
    <n v="0"/>
    <n v="0"/>
    <n v="0"/>
    <n v="0"/>
    <n v="0"/>
    <n v="0"/>
    <n v="0"/>
    <s v="MMR001CMP193"/>
    <x v="0"/>
    <x v="0"/>
    <s v="P4"/>
    <n v="0"/>
    <m/>
  </r>
  <r>
    <n v="13.666666666666666"/>
    <d v="2016-03-17T00:00:00"/>
    <x v="1"/>
    <s v="Solidarities"/>
    <s v="Kachin"/>
    <s v="Bhamo"/>
    <s v="Robert Church"/>
    <m/>
    <m/>
    <m/>
    <m/>
    <m/>
    <m/>
    <m/>
    <m/>
    <m/>
    <m/>
    <m/>
    <m/>
    <m/>
    <m/>
    <n v="1"/>
    <m/>
    <m/>
    <n v="0"/>
    <n v="0"/>
    <n v="0"/>
    <n v="0"/>
    <n v="0"/>
    <n v="0"/>
    <n v="0"/>
    <n v="0"/>
    <n v="0"/>
    <n v="0"/>
    <n v="0"/>
    <n v="0"/>
    <n v="0"/>
    <n v="0"/>
    <n v="0"/>
    <n v="0"/>
    <n v="0"/>
    <n v="0"/>
    <s v="MMR001CMP047"/>
    <x v="0"/>
    <x v="0"/>
    <s v="P4"/>
    <n v="0"/>
    <m/>
  </r>
  <r>
    <n v="13.2"/>
    <d v="2016-03-31T00:00:00"/>
    <x v="0"/>
    <s v="Shalom"/>
    <s v="Kachin"/>
    <s v="Bhamo"/>
    <s v="Mu-yin Baptist Church"/>
    <m/>
    <m/>
    <m/>
    <m/>
    <n v="4"/>
    <m/>
    <m/>
    <m/>
    <m/>
    <m/>
    <m/>
    <m/>
    <m/>
    <m/>
    <m/>
    <m/>
    <m/>
    <n v="0"/>
    <n v="0"/>
    <n v="0"/>
    <n v="0"/>
    <n v="0"/>
    <n v="0"/>
    <n v="0"/>
    <n v="0"/>
    <n v="0"/>
    <n v="0"/>
    <n v="0"/>
    <n v="0"/>
    <n v="0"/>
    <n v="0"/>
    <n v="0"/>
    <n v="0"/>
    <n v="0"/>
    <n v="0"/>
    <s v="MMR001CMP051"/>
    <x v="0"/>
    <x v="0"/>
    <s v="P4"/>
    <n v="0"/>
    <m/>
  </r>
  <r>
    <n v="12.933333333333334"/>
    <d v="2016-04-08T00:00:00"/>
    <x v="0"/>
    <s v="KBC"/>
    <s v="Kachin"/>
    <s v="Bhamo"/>
    <s v="Lisu Boarding-House"/>
    <m/>
    <m/>
    <m/>
    <m/>
    <n v="10"/>
    <m/>
    <m/>
    <m/>
    <m/>
    <m/>
    <m/>
    <m/>
    <m/>
    <m/>
    <m/>
    <m/>
    <m/>
    <n v="0"/>
    <n v="0"/>
    <n v="0"/>
    <n v="0"/>
    <n v="0"/>
    <n v="0"/>
    <n v="0"/>
    <n v="0"/>
    <n v="0"/>
    <n v="0"/>
    <n v="0"/>
    <n v="0"/>
    <n v="0"/>
    <n v="0"/>
    <n v="0"/>
    <n v="0"/>
    <n v="0"/>
    <n v="0"/>
    <s v="MMR001CMP049"/>
    <x v="0"/>
    <x v="0"/>
    <s v="P4"/>
    <n v="0"/>
    <m/>
  </r>
  <r>
    <n v="12.233333333333333"/>
    <d v="2016-04-29T00:00:00"/>
    <x v="1"/>
    <s v="Solidarities"/>
    <s v="Kachin"/>
    <s v="Bhamo"/>
    <s v="AD-2000 Tharthana Compound"/>
    <m/>
    <m/>
    <m/>
    <m/>
    <m/>
    <m/>
    <m/>
    <m/>
    <m/>
    <m/>
    <m/>
    <m/>
    <m/>
    <m/>
    <m/>
    <n v="74"/>
    <m/>
    <n v="0"/>
    <n v="0"/>
    <n v="0"/>
    <n v="0"/>
    <n v="0"/>
    <n v="0"/>
    <n v="0"/>
    <n v="0"/>
    <n v="0"/>
    <n v="0"/>
    <n v="0"/>
    <n v="0"/>
    <n v="0"/>
    <n v="0"/>
    <n v="0"/>
    <n v="0"/>
    <n v="0"/>
    <n v="0"/>
    <s v="MMR001CMP050"/>
    <x v="0"/>
    <x v="0"/>
    <s v="P4"/>
    <n v="0"/>
    <m/>
  </r>
  <r>
    <n v="12.233333333333333"/>
    <d v="2016-04-29T00:00:00"/>
    <x v="1"/>
    <s v="Solidarities"/>
    <s v="Kachin"/>
    <s v="Bhamo"/>
    <s v="Phan Khar Kone"/>
    <m/>
    <m/>
    <m/>
    <m/>
    <m/>
    <m/>
    <m/>
    <m/>
    <m/>
    <m/>
    <m/>
    <m/>
    <m/>
    <m/>
    <m/>
    <n v="48"/>
    <m/>
    <n v="0"/>
    <n v="0"/>
    <n v="0"/>
    <n v="0"/>
    <n v="0"/>
    <n v="0"/>
    <n v="0"/>
    <n v="0"/>
    <n v="0"/>
    <n v="0"/>
    <n v="0"/>
    <n v="0"/>
    <n v="0"/>
    <n v="0"/>
    <n v="0"/>
    <n v="0"/>
    <n v="0"/>
    <n v="0"/>
    <s v="MMR001CMP193"/>
    <x v="0"/>
    <x v="0"/>
    <s v="P4"/>
    <n v="0"/>
    <m/>
  </r>
  <r>
    <n v="12.233333333333333"/>
    <d v="2016-04-29T00:00:00"/>
    <x v="1"/>
    <s v="Solidarities"/>
    <s v="Kachin"/>
    <s v="Bhamo"/>
    <s v="Robert Church"/>
    <m/>
    <m/>
    <m/>
    <m/>
    <m/>
    <m/>
    <m/>
    <m/>
    <m/>
    <m/>
    <m/>
    <m/>
    <m/>
    <m/>
    <m/>
    <n v="152"/>
    <m/>
    <n v="0"/>
    <n v="0"/>
    <n v="0"/>
    <n v="0"/>
    <n v="0"/>
    <n v="0"/>
    <n v="0"/>
    <n v="0"/>
    <n v="0"/>
    <n v="0"/>
    <n v="0"/>
    <n v="0"/>
    <n v="0"/>
    <n v="0"/>
    <n v="0"/>
    <n v="0"/>
    <n v="0"/>
    <n v="0"/>
    <s v="MMR001CMP047"/>
    <x v="0"/>
    <x v="0"/>
    <s v="P4"/>
    <n v="0"/>
    <m/>
  </r>
  <r>
    <n v="12.233333333333333"/>
    <d v="2016-04-29T00:00:00"/>
    <x v="1"/>
    <s v="Solidarities"/>
    <s v="Kachin"/>
    <s v="Bhamo"/>
    <s v="Ta Gun Taing Monastery (Shwe Kyi Na)"/>
    <m/>
    <m/>
    <m/>
    <m/>
    <m/>
    <m/>
    <m/>
    <m/>
    <m/>
    <m/>
    <m/>
    <m/>
    <m/>
    <m/>
    <m/>
    <n v="10"/>
    <m/>
    <n v="0"/>
    <n v="0"/>
    <n v="0"/>
    <n v="0"/>
    <n v="0"/>
    <n v="0"/>
    <n v="0"/>
    <n v="0"/>
    <n v="0"/>
    <n v="0"/>
    <n v="0"/>
    <n v="0"/>
    <n v="0"/>
    <n v="0"/>
    <n v="0"/>
    <n v="0"/>
    <n v="0"/>
    <n v="0"/>
    <s v="MMR001CMP055"/>
    <x v="0"/>
    <x v="0"/>
    <s v="P4"/>
    <n v="0"/>
    <m/>
  </r>
  <r>
    <n v="14.233333333333333"/>
    <d v="2016-02-29T00:00:00"/>
    <x v="1"/>
    <s v="Solidarities"/>
    <s v="Kachin"/>
    <s v="Momauk"/>
    <s v="Edin"/>
    <m/>
    <m/>
    <m/>
    <m/>
    <m/>
    <m/>
    <m/>
    <m/>
    <m/>
    <m/>
    <m/>
    <m/>
    <m/>
    <m/>
    <m/>
    <m/>
    <m/>
    <n v="0"/>
    <n v="0"/>
    <n v="0"/>
    <n v="0"/>
    <n v="0"/>
    <n v="0"/>
    <n v="0"/>
    <n v="0"/>
    <n v="0"/>
    <n v="0"/>
    <n v="0"/>
    <n v="0"/>
    <n v="0"/>
    <n v="0"/>
    <n v="0"/>
    <n v="0"/>
    <n v="0"/>
    <n v="0"/>
    <s v=""/>
    <x v="1"/>
    <x v="2"/>
    <s v=""/>
    <s v=""/>
    <m/>
  </r>
  <r>
    <n v="14.233333333333333"/>
    <d v="2016-02-29T00:00:00"/>
    <x v="1"/>
    <s v="Solidarities"/>
    <s v="Kachin"/>
    <s v="Momauk"/>
    <s v="Ni Thaw Ka Monestry"/>
    <m/>
    <m/>
    <m/>
    <m/>
    <m/>
    <m/>
    <m/>
    <m/>
    <m/>
    <m/>
    <m/>
    <m/>
    <m/>
    <m/>
    <m/>
    <m/>
    <m/>
    <n v="0"/>
    <n v="0"/>
    <n v="0"/>
    <n v="0"/>
    <n v="0"/>
    <n v="0"/>
    <n v="0"/>
    <n v="0"/>
    <n v="0"/>
    <n v="0"/>
    <n v="0"/>
    <n v="0"/>
    <n v="0"/>
    <n v="0"/>
    <n v="0"/>
    <n v="0"/>
    <n v="0"/>
    <n v="0"/>
    <s v="MMR001CMP059"/>
    <x v="0"/>
    <x v="1"/>
    <s v="P4"/>
    <n v="0"/>
    <m/>
  </r>
  <r>
    <n v="13.966666666666667"/>
    <d v="2016-03-08T00:00:00"/>
    <x v="0"/>
    <s v="KMSS_LSO"/>
    <s v="Shan_North"/>
    <s v="Kutkai"/>
    <m/>
    <m/>
    <m/>
    <m/>
    <n v="600"/>
    <m/>
    <m/>
    <m/>
    <m/>
    <m/>
    <m/>
    <m/>
    <m/>
    <m/>
    <m/>
    <m/>
    <m/>
    <m/>
    <n v="0"/>
    <n v="0"/>
    <n v="0"/>
    <n v="0"/>
    <n v="0"/>
    <n v="0"/>
    <n v="0"/>
    <n v="0"/>
    <n v="0"/>
    <n v="0"/>
    <n v="0"/>
    <n v="0"/>
    <n v="0"/>
    <n v="0"/>
    <n v="0"/>
    <n v="0"/>
    <n v="0"/>
    <n v="0"/>
    <s v=""/>
    <x v="1"/>
    <x v="2"/>
    <s v=""/>
    <s v=""/>
    <m/>
  </r>
  <r>
    <n v="13.7"/>
    <d v="2016-03-16T00:00:00"/>
    <x v="1"/>
    <s v="Solidarities"/>
    <s v="Kachin"/>
    <s v="Momauk"/>
    <s v="Ni Thaw Ka Monestry"/>
    <m/>
    <m/>
    <m/>
    <m/>
    <m/>
    <m/>
    <m/>
    <m/>
    <m/>
    <m/>
    <m/>
    <m/>
    <m/>
    <m/>
    <n v="1"/>
    <m/>
    <m/>
    <n v="0"/>
    <n v="0"/>
    <n v="0"/>
    <n v="0"/>
    <n v="0"/>
    <n v="0"/>
    <n v="0"/>
    <n v="0"/>
    <n v="0"/>
    <n v="0"/>
    <n v="0"/>
    <n v="0"/>
    <n v="0"/>
    <n v="0"/>
    <n v="0"/>
    <n v="0"/>
    <n v="0"/>
    <n v="0"/>
    <s v="MMR001CMP059"/>
    <x v="0"/>
    <x v="1"/>
    <s v="P4"/>
    <n v="0"/>
    <m/>
  </r>
  <r>
    <n v="12.2"/>
    <d v="2016-04-30T00:00:00"/>
    <x v="1"/>
    <s v="Solidarities"/>
    <s v="Kachin"/>
    <s v="Momauk"/>
    <s v="Loi Je Baptist Church"/>
    <m/>
    <m/>
    <m/>
    <m/>
    <m/>
    <m/>
    <m/>
    <m/>
    <m/>
    <m/>
    <m/>
    <m/>
    <m/>
    <m/>
    <m/>
    <n v="3"/>
    <m/>
    <n v="0"/>
    <n v="0"/>
    <n v="0"/>
    <n v="0"/>
    <n v="0"/>
    <n v="0"/>
    <n v="0"/>
    <n v="0"/>
    <n v="0"/>
    <n v="0"/>
    <n v="0"/>
    <n v="0"/>
    <n v="0"/>
    <n v="0"/>
    <n v="0"/>
    <n v="0"/>
    <n v="0"/>
    <n v="0"/>
    <s v="MMR001CMP071"/>
    <x v="0"/>
    <x v="0"/>
    <s v="P3"/>
    <n v="0"/>
    <m/>
  </r>
  <r>
    <n v="12.2"/>
    <d v="2016-04-30T00:00:00"/>
    <x v="1"/>
    <s v="Solidarities"/>
    <s v="Kachin"/>
    <s v="Momauk"/>
    <s v="Loi Je Baptist Church"/>
    <m/>
    <m/>
    <m/>
    <m/>
    <m/>
    <m/>
    <m/>
    <m/>
    <m/>
    <m/>
    <m/>
    <m/>
    <m/>
    <m/>
    <m/>
    <m/>
    <m/>
    <n v="0"/>
    <n v="0"/>
    <n v="0"/>
    <n v="0"/>
    <n v="0"/>
    <n v="0"/>
    <n v="0"/>
    <n v="0"/>
    <n v="0"/>
    <n v="0"/>
    <n v="0"/>
    <n v="0"/>
    <n v="0"/>
    <n v="0"/>
    <n v="0"/>
    <n v="0"/>
    <n v="0"/>
    <n v="0"/>
    <s v="MMR001CMP071"/>
    <x v="0"/>
    <x v="0"/>
    <s v="P3"/>
    <n v="0"/>
    <m/>
  </r>
  <r>
    <n v="12.2"/>
    <d v="2016-04-30T00:00:00"/>
    <x v="1"/>
    <s v="Solidarities"/>
    <s v="Kachin"/>
    <s v="Momauk"/>
    <s v="Loi Je Catholic Church"/>
    <m/>
    <m/>
    <m/>
    <m/>
    <m/>
    <m/>
    <m/>
    <m/>
    <m/>
    <m/>
    <m/>
    <m/>
    <m/>
    <m/>
    <m/>
    <n v="6"/>
    <m/>
    <n v="0"/>
    <n v="0"/>
    <n v="0"/>
    <n v="0"/>
    <n v="0"/>
    <n v="0"/>
    <n v="0"/>
    <n v="0"/>
    <n v="0"/>
    <n v="0"/>
    <n v="0"/>
    <n v="0"/>
    <n v="0"/>
    <n v="0"/>
    <n v="0"/>
    <n v="0"/>
    <n v="0"/>
    <n v="0"/>
    <s v="MMR001CMP069"/>
    <x v="0"/>
    <x v="0"/>
    <s v="P3"/>
    <n v="0"/>
    <m/>
  </r>
  <r>
    <n v="12.2"/>
    <d v="2016-04-30T00:00:00"/>
    <x v="1"/>
    <s v="Solidarities"/>
    <s v="Kachin"/>
    <s v="Momauk"/>
    <s v="Loi Je Lisu Camp"/>
    <m/>
    <m/>
    <m/>
    <m/>
    <m/>
    <m/>
    <m/>
    <m/>
    <m/>
    <m/>
    <m/>
    <m/>
    <m/>
    <m/>
    <m/>
    <n v="14"/>
    <m/>
    <n v="0"/>
    <n v="0"/>
    <n v="0"/>
    <n v="0"/>
    <n v="0"/>
    <n v="0"/>
    <n v="0"/>
    <n v="0"/>
    <n v="0"/>
    <n v="0"/>
    <n v="0"/>
    <n v="0"/>
    <n v="0"/>
    <n v="0"/>
    <n v="0"/>
    <n v="0"/>
    <n v="0"/>
    <n v="0"/>
    <s v="MMR001CMP070"/>
    <x v="0"/>
    <x v="0"/>
    <s v="P3"/>
    <n v="0"/>
    <m/>
  </r>
  <r>
    <n v="12.833333333333334"/>
    <d v="2016-04-11T00:00:00"/>
    <x v="0"/>
    <s v="KBC"/>
    <s v="Shan_North"/>
    <s v="Namhkan"/>
    <s v="Mine Wee (Man Jan)"/>
    <m/>
    <m/>
    <m/>
    <n v="126"/>
    <m/>
    <n v="126"/>
    <n v="64"/>
    <m/>
    <m/>
    <n v="122"/>
    <m/>
    <m/>
    <m/>
    <m/>
    <n v="64"/>
    <m/>
    <m/>
    <n v="0"/>
    <n v="0"/>
    <n v="0"/>
    <n v="0"/>
    <n v="0"/>
    <n v="0"/>
    <n v="0"/>
    <n v="0"/>
    <n v="0"/>
    <n v="0"/>
    <n v="0"/>
    <n v="0"/>
    <n v="0"/>
    <n v="0"/>
    <n v="0"/>
    <n v="0"/>
    <n v="0"/>
    <n v="0"/>
    <s v=""/>
    <x v="1"/>
    <x v="2"/>
    <s v=""/>
    <s v=""/>
    <m/>
  </r>
  <r>
    <n v="12.233333333333333"/>
    <d v="2016-04-29T00:00:00"/>
    <x v="1"/>
    <s v="Solidarities"/>
    <s v="Kachin"/>
    <s v="Momauk"/>
    <s v="Edin"/>
    <m/>
    <m/>
    <m/>
    <m/>
    <m/>
    <m/>
    <m/>
    <m/>
    <m/>
    <m/>
    <m/>
    <m/>
    <m/>
    <m/>
    <m/>
    <n v="26"/>
    <m/>
    <n v="0"/>
    <n v="0"/>
    <n v="0"/>
    <n v="0"/>
    <n v="0"/>
    <n v="0"/>
    <n v="0"/>
    <n v="0"/>
    <n v="0"/>
    <n v="0"/>
    <n v="0"/>
    <n v="0"/>
    <n v="0"/>
    <n v="0"/>
    <n v="0"/>
    <n v="0"/>
    <n v="0"/>
    <n v="0"/>
    <s v=""/>
    <x v="1"/>
    <x v="2"/>
    <s v=""/>
    <s v=""/>
    <m/>
  </r>
  <r>
    <n v="12.233333333333333"/>
    <d v="2016-04-29T00:00:00"/>
    <x v="1"/>
    <s v="Solidarities"/>
    <s v="Kachin"/>
    <s v="Momauk"/>
    <s v="Ni Thaw Ka Monestry"/>
    <m/>
    <m/>
    <m/>
    <m/>
    <m/>
    <m/>
    <m/>
    <m/>
    <m/>
    <m/>
    <m/>
    <m/>
    <m/>
    <m/>
    <m/>
    <n v="10"/>
    <m/>
    <n v="0"/>
    <n v="0"/>
    <n v="0"/>
    <n v="0"/>
    <n v="0"/>
    <n v="0"/>
    <n v="0"/>
    <n v="0"/>
    <n v="0"/>
    <n v="0"/>
    <n v="0"/>
    <n v="0"/>
    <n v="0"/>
    <n v="0"/>
    <n v="0"/>
    <n v="0"/>
    <n v="0"/>
    <n v="0"/>
    <s v="MMR001CMP059"/>
    <x v="0"/>
    <x v="1"/>
    <s v="P4"/>
    <n v="0"/>
    <m/>
  </r>
  <r>
    <n v="12.2"/>
    <d v="2016-04-30T00:00:00"/>
    <x v="1"/>
    <s v="Solidarities"/>
    <s v="Kachin"/>
    <s v="Momauk"/>
    <s v="Nyaung Na Pin "/>
    <m/>
    <m/>
    <m/>
    <m/>
    <m/>
    <m/>
    <m/>
    <m/>
    <m/>
    <m/>
    <m/>
    <m/>
    <m/>
    <m/>
    <m/>
    <n v="5"/>
    <m/>
    <n v="0"/>
    <n v="0"/>
    <n v="0"/>
    <n v="0"/>
    <n v="0"/>
    <n v="0"/>
    <n v="0"/>
    <n v="0"/>
    <n v="0"/>
    <n v="0"/>
    <n v="0"/>
    <n v="0"/>
    <n v="0"/>
    <n v="0"/>
    <n v="0"/>
    <n v="0"/>
    <n v="0"/>
    <n v="0"/>
    <s v="MMR001CMP072"/>
    <x v="0"/>
    <x v="0"/>
    <s v="P3"/>
    <n v="0"/>
    <m/>
  </r>
  <r>
    <n v="12.2"/>
    <d v="2016-04-30T00:00:00"/>
    <x v="1"/>
    <s v="Solidarities"/>
    <s v="Kachin"/>
    <s v="Momauk"/>
    <s v="Seng Ja "/>
    <m/>
    <m/>
    <m/>
    <m/>
    <m/>
    <m/>
    <m/>
    <m/>
    <m/>
    <m/>
    <m/>
    <m/>
    <m/>
    <m/>
    <m/>
    <n v="4"/>
    <m/>
    <n v="0"/>
    <n v="0"/>
    <n v="0"/>
    <n v="0"/>
    <n v="0"/>
    <n v="0"/>
    <n v="0"/>
    <n v="0"/>
    <n v="0"/>
    <n v="0"/>
    <n v="0"/>
    <n v="0"/>
    <n v="0"/>
    <n v="0"/>
    <n v="0"/>
    <n v="0"/>
    <n v="0"/>
    <n v="0"/>
    <s v="MMR001CMP073"/>
    <x v="0"/>
    <x v="0"/>
    <s v="P3"/>
    <n v="0"/>
    <m/>
  </r>
  <r>
    <n v="12.033333333333333"/>
    <d v="2016-05-05T00:00:00"/>
    <x v="0"/>
    <s v="KMSS_Myitkyina"/>
    <s v="Kachin"/>
    <s v="Mogaung"/>
    <s v="Ma Hawng RC "/>
    <m/>
    <n v="7"/>
    <n v="7"/>
    <n v="13"/>
    <n v="7"/>
    <n v="13"/>
    <n v="7"/>
    <n v="7"/>
    <n v="7"/>
    <n v="13"/>
    <m/>
    <m/>
    <m/>
    <m/>
    <n v="7"/>
    <m/>
    <m/>
    <n v="0"/>
    <n v="0"/>
    <n v="0"/>
    <n v="0"/>
    <n v="0"/>
    <n v="0"/>
    <n v="0"/>
    <n v="0"/>
    <n v="0"/>
    <n v="0"/>
    <n v="0"/>
    <n v="0"/>
    <n v="0"/>
    <n v="0"/>
    <n v="0"/>
    <n v="0"/>
    <n v="0"/>
    <n v="0"/>
    <s v="MMR001CMP237"/>
    <x v="2"/>
    <x v="0"/>
    <n v="0"/>
    <n v="1.6617210682492583E-4"/>
    <m/>
  </r>
  <r>
    <n v="11.166666666666666"/>
    <d v="2016-05-31T00:00:00"/>
    <x v="1"/>
    <s v="Solidarities"/>
    <s v="Kachin"/>
    <s v="Mansi"/>
    <s v="Maing Khaung"/>
    <n v="25"/>
    <n v="25"/>
    <m/>
    <m/>
    <n v="25"/>
    <m/>
    <m/>
    <m/>
    <m/>
    <m/>
    <m/>
    <m/>
    <m/>
    <m/>
    <m/>
    <m/>
    <m/>
    <n v="25"/>
    <n v="25"/>
    <n v="0"/>
    <n v="0"/>
    <n v="25"/>
    <n v="0"/>
    <n v="0"/>
    <n v="0"/>
    <n v="0"/>
    <n v="0"/>
    <n v="0"/>
    <n v="0"/>
    <n v="0"/>
    <n v="0"/>
    <n v="0"/>
    <n v="0"/>
    <n v="0"/>
    <n v="0"/>
    <s v="MMR001CMP218"/>
    <x v="0"/>
    <x v="0"/>
    <s v="P4"/>
    <n v="0"/>
    <m/>
  </r>
  <r>
    <n v="10.766666666666667"/>
    <d v="2016-06-12T00:00:00"/>
    <x v="12"/>
    <s v="Relief International"/>
    <s v="Shan_North"/>
    <s v="Namtu"/>
    <s v="Namtu KBC 1"/>
    <m/>
    <m/>
    <m/>
    <m/>
    <n v="41"/>
    <m/>
    <m/>
    <m/>
    <m/>
    <m/>
    <m/>
    <m/>
    <m/>
    <m/>
    <m/>
    <m/>
    <m/>
    <n v="0"/>
    <n v="0"/>
    <n v="0"/>
    <n v="0"/>
    <n v="41"/>
    <n v="0"/>
    <n v="0"/>
    <n v="0"/>
    <n v="0"/>
    <n v="0"/>
    <n v="0"/>
    <n v="0"/>
    <n v="0"/>
    <n v="0"/>
    <n v="0"/>
    <n v="0"/>
    <n v="0"/>
    <n v="0"/>
    <s v="MMR015CMP230"/>
    <x v="0"/>
    <x v="1"/>
    <n v="0"/>
    <s v=""/>
    <m/>
  </r>
  <r>
    <n v="10.766666666666667"/>
    <d v="2016-06-12T00:00:00"/>
    <x v="12"/>
    <s v="Relief International"/>
    <s v="Shan_North"/>
    <s v="Namtu"/>
    <s v="Namtu RC"/>
    <m/>
    <m/>
    <m/>
    <m/>
    <n v="23"/>
    <m/>
    <m/>
    <m/>
    <m/>
    <m/>
    <m/>
    <m/>
    <m/>
    <m/>
    <m/>
    <m/>
    <m/>
    <n v="0"/>
    <n v="0"/>
    <n v="0"/>
    <n v="0"/>
    <n v="23"/>
    <n v="0"/>
    <n v="0"/>
    <n v="0"/>
    <n v="0"/>
    <n v="0"/>
    <n v="0"/>
    <n v="0"/>
    <n v="0"/>
    <n v="0"/>
    <n v="0"/>
    <n v="0"/>
    <n v="0"/>
    <n v="0"/>
    <s v="MMR015CMP229"/>
    <x v="0"/>
    <x v="0"/>
    <n v="0"/>
    <s v=""/>
    <m/>
  </r>
  <r>
    <n v="10.166666666666666"/>
    <d v="2016-06-30T00:00:00"/>
    <x v="1"/>
    <s v="Solidarities"/>
    <s v="Kachin"/>
    <s v="Bhamo"/>
    <s v="AD-2000 Tharthana Compound"/>
    <m/>
    <m/>
    <m/>
    <m/>
    <m/>
    <m/>
    <m/>
    <m/>
    <m/>
    <m/>
    <m/>
    <m/>
    <m/>
    <m/>
    <n v="2"/>
    <m/>
    <m/>
    <n v="0"/>
    <n v="0"/>
    <n v="0"/>
    <n v="0"/>
    <n v="0"/>
    <n v="0"/>
    <n v="0"/>
    <n v="0"/>
    <n v="0"/>
    <n v="0"/>
    <n v="0"/>
    <n v="0"/>
    <n v="0"/>
    <n v="0"/>
    <n v="0"/>
    <n v="2"/>
    <n v="0"/>
    <n v="0"/>
    <s v="MMR001CMP050"/>
    <x v="0"/>
    <x v="0"/>
    <s v="P4"/>
    <n v="0"/>
    <m/>
  </r>
  <r>
    <n v="10.166666666666666"/>
    <d v="2016-06-30T00:00:00"/>
    <x v="1"/>
    <s v="Solidarities"/>
    <s v="Kachin"/>
    <s v="Momauk"/>
    <s v="Loi Je Baptist Church"/>
    <m/>
    <m/>
    <m/>
    <m/>
    <m/>
    <m/>
    <m/>
    <m/>
    <m/>
    <m/>
    <m/>
    <m/>
    <m/>
    <m/>
    <n v="2"/>
    <m/>
    <m/>
    <n v="0"/>
    <n v="0"/>
    <n v="0"/>
    <n v="0"/>
    <n v="0"/>
    <n v="0"/>
    <n v="0"/>
    <n v="0"/>
    <n v="0"/>
    <n v="0"/>
    <n v="0"/>
    <n v="0"/>
    <n v="0"/>
    <n v="0"/>
    <n v="0"/>
    <n v="2"/>
    <n v="0"/>
    <n v="0"/>
    <s v="MMR001CMP071"/>
    <x v="0"/>
    <x v="0"/>
    <s v="P3"/>
    <n v="0"/>
    <m/>
  </r>
  <r>
    <n v="10.166666666666666"/>
    <d v="2016-06-30T00:00:00"/>
    <x v="1"/>
    <s v="Solidarities"/>
    <s v="Kachin"/>
    <s v="Momauk"/>
    <s v="Loi Je Lisu Camp"/>
    <m/>
    <m/>
    <m/>
    <m/>
    <m/>
    <m/>
    <m/>
    <m/>
    <m/>
    <m/>
    <m/>
    <m/>
    <m/>
    <m/>
    <n v="1"/>
    <m/>
    <m/>
    <n v="0"/>
    <n v="0"/>
    <n v="0"/>
    <n v="0"/>
    <n v="0"/>
    <n v="0"/>
    <n v="0"/>
    <n v="0"/>
    <n v="0"/>
    <n v="0"/>
    <n v="0"/>
    <n v="0"/>
    <n v="0"/>
    <n v="0"/>
    <n v="0"/>
    <n v="1"/>
    <n v="0"/>
    <n v="0"/>
    <s v="MMR001CMP070"/>
    <x v="0"/>
    <x v="0"/>
    <s v="P3"/>
    <n v="0"/>
    <m/>
  </r>
  <r>
    <n v="10.166666666666666"/>
    <d v="2016-06-30T00:00:00"/>
    <x v="1"/>
    <s v="Solidarities"/>
    <s v="Kachin"/>
    <s v="Momauk"/>
    <s v="Nyaung Na Pin "/>
    <m/>
    <m/>
    <m/>
    <m/>
    <m/>
    <m/>
    <m/>
    <m/>
    <m/>
    <m/>
    <m/>
    <m/>
    <m/>
    <m/>
    <n v="1"/>
    <m/>
    <m/>
    <n v="0"/>
    <n v="0"/>
    <n v="0"/>
    <n v="0"/>
    <n v="0"/>
    <n v="0"/>
    <n v="0"/>
    <n v="0"/>
    <n v="0"/>
    <n v="0"/>
    <n v="0"/>
    <n v="0"/>
    <n v="0"/>
    <n v="0"/>
    <n v="0"/>
    <n v="1"/>
    <n v="0"/>
    <n v="0"/>
    <s v="MMR001CMP072"/>
    <x v="0"/>
    <x v="0"/>
    <s v="P3"/>
    <n v="0"/>
    <m/>
  </r>
  <r>
    <n v="10.166666666666666"/>
    <d v="2016-06-30T00:00:00"/>
    <x v="1"/>
    <s v="Solidarities"/>
    <s v="Kachin"/>
    <s v="Bhamo"/>
    <s v="Phan Khar Kone"/>
    <m/>
    <m/>
    <m/>
    <m/>
    <m/>
    <m/>
    <m/>
    <m/>
    <m/>
    <m/>
    <m/>
    <m/>
    <m/>
    <m/>
    <n v="4"/>
    <m/>
    <m/>
    <n v="0"/>
    <n v="0"/>
    <n v="0"/>
    <n v="0"/>
    <n v="0"/>
    <n v="0"/>
    <n v="0"/>
    <n v="0"/>
    <n v="0"/>
    <n v="0"/>
    <n v="0"/>
    <n v="0"/>
    <n v="0"/>
    <n v="0"/>
    <n v="0"/>
    <n v="4"/>
    <n v="0"/>
    <n v="0"/>
    <s v="MMR001CMP193"/>
    <x v="0"/>
    <x v="0"/>
    <s v="P4"/>
    <n v="0"/>
    <m/>
  </r>
  <r>
    <n v="10.166666666666666"/>
    <d v="2016-06-30T00:00:00"/>
    <x v="1"/>
    <s v="Solidarities"/>
    <s v="Kachin"/>
    <s v="Momauk"/>
    <s v="Seng Ja "/>
    <m/>
    <m/>
    <m/>
    <m/>
    <m/>
    <m/>
    <m/>
    <m/>
    <m/>
    <m/>
    <m/>
    <m/>
    <m/>
    <m/>
    <n v="1"/>
    <m/>
    <m/>
    <n v="0"/>
    <n v="0"/>
    <n v="0"/>
    <n v="0"/>
    <n v="0"/>
    <n v="0"/>
    <n v="0"/>
    <n v="0"/>
    <n v="0"/>
    <n v="0"/>
    <n v="0"/>
    <n v="0"/>
    <n v="0"/>
    <n v="0"/>
    <n v="0"/>
    <n v="1"/>
    <n v="0"/>
    <n v="0"/>
    <s v="MMR001CMP073"/>
    <x v="0"/>
    <x v="0"/>
    <s v="P3"/>
    <n v="0"/>
    <m/>
  </r>
  <r>
    <n v="10.833333333333334"/>
    <d v="2016-06-10T00:00:00"/>
    <x v="0"/>
    <s v="UNHCR"/>
    <s v="Kachin"/>
    <s v="Sumprabum"/>
    <s v="Lisu Manau Park"/>
    <m/>
    <m/>
    <m/>
    <n v="25"/>
    <n v="8"/>
    <n v="66"/>
    <n v="34"/>
    <m/>
    <n v="6"/>
    <n v="104"/>
    <m/>
    <m/>
    <m/>
    <m/>
    <m/>
    <m/>
    <m/>
    <n v="0"/>
    <n v="0"/>
    <n v="0"/>
    <n v="25"/>
    <n v="8"/>
    <n v="66"/>
    <n v="34"/>
    <n v="0"/>
    <n v="6"/>
    <n v="260"/>
    <n v="0"/>
    <n v="0"/>
    <n v="0"/>
    <n v="0"/>
    <n v="0"/>
    <n v="0"/>
    <n v="0"/>
    <n v="0"/>
    <s v=""/>
    <x v="1"/>
    <x v="2"/>
    <s v=""/>
    <s v=""/>
    <s v="No"/>
  </r>
  <r>
    <n v="10.166666666666666"/>
    <d v="2016-06-30T00:00:00"/>
    <x v="1"/>
    <s v="Solidarities"/>
    <s v="Kachin"/>
    <s v="Bhamo"/>
    <s v="Ta Gun Taing Monastery (Shwe Kyi Na)"/>
    <m/>
    <m/>
    <m/>
    <m/>
    <m/>
    <m/>
    <m/>
    <m/>
    <m/>
    <m/>
    <m/>
    <m/>
    <m/>
    <m/>
    <n v="2"/>
    <m/>
    <m/>
    <n v="0"/>
    <n v="0"/>
    <n v="0"/>
    <n v="0"/>
    <n v="0"/>
    <n v="0"/>
    <n v="0"/>
    <n v="0"/>
    <n v="0"/>
    <n v="0"/>
    <n v="0"/>
    <n v="0"/>
    <n v="0"/>
    <n v="0"/>
    <n v="0"/>
    <n v="2"/>
    <n v="0"/>
    <n v="0"/>
    <s v="MMR001CMP055"/>
    <x v="0"/>
    <x v="0"/>
    <s v="P4"/>
    <n v="0"/>
    <m/>
  </r>
  <r>
    <n v="9.6333333333333329"/>
    <d v="2016-07-16T00:00:00"/>
    <x v="12"/>
    <s v="Relief International"/>
    <s v="Shan_North"/>
    <s v="Namtu"/>
    <s v="Nam Tu Baptist"/>
    <n v="40"/>
    <m/>
    <m/>
    <m/>
    <n v="40"/>
    <m/>
    <m/>
    <m/>
    <m/>
    <m/>
    <m/>
    <m/>
    <m/>
    <m/>
    <m/>
    <m/>
    <m/>
    <n v="40"/>
    <n v="0"/>
    <n v="0"/>
    <n v="0"/>
    <n v="40"/>
    <n v="0"/>
    <n v="0"/>
    <n v="0"/>
    <n v="0"/>
    <n v="0"/>
    <n v="0"/>
    <n v="0"/>
    <n v="0"/>
    <n v="0"/>
    <n v="0"/>
    <n v="0"/>
    <n v="0"/>
    <n v="0"/>
    <s v="MMR015CMP014"/>
    <x v="0"/>
    <x v="0"/>
    <s v="P3"/>
    <n v="0"/>
    <m/>
  </r>
  <r>
    <n v="8.9666666666666668"/>
    <d v="2016-08-05T00:00:00"/>
    <x v="0"/>
    <s v="KMSS_Myitkyina"/>
    <s v="Kachin"/>
    <s v="Hpakant"/>
    <s v="Mandung - RC"/>
    <m/>
    <n v="53"/>
    <n v="53"/>
    <n v="131"/>
    <n v="53"/>
    <n v="131"/>
    <n v="53"/>
    <m/>
    <n v="53"/>
    <n v="131"/>
    <m/>
    <m/>
    <m/>
    <m/>
    <n v="53"/>
    <m/>
    <m/>
    <n v="0"/>
    <n v="53"/>
    <n v="53"/>
    <n v="131"/>
    <n v="53"/>
    <n v="131"/>
    <n v="53"/>
    <n v="0"/>
    <n v="53"/>
    <n v="327.5"/>
    <n v="0"/>
    <n v="0"/>
    <n v="0"/>
    <n v="0"/>
    <n v="0"/>
    <n v="53"/>
    <n v="0"/>
    <n v="0"/>
    <s v="MMR015CMP209"/>
    <x v="0"/>
    <x v="0"/>
    <s v="P3"/>
    <n v="1.2917377528637581E-3"/>
    <m/>
  </r>
  <r>
    <n v="8.9666666666666668"/>
    <d v="2016-08-05T00:00:00"/>
    <x v="0"/>
    <s v="KBC"/>
    <s v="Kachin"/>
    <s v="Hpakant"/>
    <s v="Wara Zup KBC Church"/>
    <m/>
    <n v="23"/>
    <m/>
    <n v="38"/>
    <n v="23"/>
    <n v="38"/>
    <n v="23"/>
    <m/>
    <n v="23"/>
    <n v="55"/>
    <m/>
    <m/>
    <m/>
    <m/>
    <n v="23"/>
    <m/>
    <n v="9"/>
    <n v="0"/>
    <n v="23"/>
    <n v="0"/>
    <n v="38"/>
    <n v="23"/>
    <n v="38"/>
    <n v="23"/>
    <n v="0"/>
    <n v="23"/>
    <n v="137.5"/>
    <n v="0"/>
    <n v="0"/>
    <n v="0"/>
    <n v="0"/>
    <n v="0"/>
    <n v="23"/>
    <n v="0"/>
    <n v="9"/>
    <s v="MMR001CMP242"/>
    <x v="2"/>
    <x v="0"/>
    <n v="0"/>
    <n v="5.4283691291007793E-4"/>
    <m/>
  </r>
  <r>
    <n v="8.9333333333333336"/>
    <d v="2016-08-06T00:00:00"/>
    <x v="0"/>
    <s v="KMSS"/>
    <s v="Kachin"/>
    <s v="Hpakant"/>
    <s v="Muyin church (Aung Yar pre-school compound)"/>
    <m/>
    <n v="25"/>
    <n v="25"/>
    <n v="38"/>
    <n v="25"/>
    <n v="49"/>
    <n v="25"/>
    <m/>
    <n v="25"/>
    <n v="47"/>
    <m/>
    <m/>
    <m/>
    <m/>
    <n v="25"/>
    <m/>
    <m/>
    <m/>
    <m/>
    <m/>
    <m/>
    <m/>
    <m/>
    <m/>
    <m/>
    <m/>
    <m/>
    <m/>
    <m/>
    <m/>
    <m/>
    <m/>
    <m/>
    <n v="0"/>
    <n v="0"/>
    <s v="MMR001CMP247"/>
    <x v="2"/>
    <x v="0"/>
    <n v="0"/>
    <n v="5.8707495773060309E-4"/>
    <s v="No"/>
  </r>
  <r>
    <n v="8.9333333333333336"/>
    <d v="2016-08-06T00:00:00"/>
    <x v="0"/>
    <s v="KMSS"/>
    <s v="Kachin"/>
    <s v="Hpakant"/>
    <s v="Shar Du Zut RC church"/>
    <m/>
    <n v="7"/>
    <n v="7"/>
    <n v="7"/>
    <n v="7"/>
    <n v="9"/>
    <n v="7"/>
    <m/>
    <n v="7"/>
    <n v="11"/>
    <m/>
    <m/>
    <m/>
    <m/>
    <n v="7"/>
    <m/>
    <m/>
    <n v="0"/>
    <n v="7"/>
    <n v="7"/>
    <n v="7"/>
    <n v="7"/>
    <n v="9"/>
    <n v="7"/>
    <n v="0"/>
    <n v="7"/>
    <n v="27.5"/>
    <n v="0"/>
    <n v="0"/>
    <n v="0"/>
    <n v="0"/>
    <n v="0"/>
    <n v="7"/>
    <n v="0"/>
    <n v="0"/>
    <s v="MMR001CMP246"/>
    <x v="2"/>
    <x v="0"/>
    <n v="0"/>
    <n v="1.6438098816456886E-4"/>
    <s v="No"/>
  </r>
  <r>
    <n v="8.8000000000000007"/>
    <d v="2016-08-10T00:00:00"/>
    <x v="0"/>
    <s v="KBC"/>
    <s v="Kachin"/>
    <s v="Hpakant"/>
    <s v="Njang Dung Baptist Church "/>
    <m/>
    <n v="4"/>
    <n v="4"/>
    <n v="10"/>
    <n v="117"/>
    <n v="10"/>
    <n v="4"/>
    <m/>
    <n v="8"/>
    <n v="16"/>
    <m/>
    <m/>
    <m/>
    <m/>
    <n v="4"/>
    <m/>
    <m/>
    <m/>
    <m/>
    <m/>
    <m/>
    <m/>
    <m/>
    <m/>
    <m/>
    <m/>
    <m/>
    <m/>
    <m/>
    <m/>
    <m/>
    <m/>
    <m/>
    <n v="0"/>
    <n v="0"/>
    <s v="MMR001CMP002"/>
    <x v="0"/>
    <x v="0"/>
    <m/>
    <m/>
    <m/>
  </r>
  <r>
    <n v="8.7333333333333325"/>
    <d v="2016-08-12T00:00:00"/>
    <x v="12"/>
    <s v="Relief International"/>
    <s v="Shan_North"/>
    <s v="Hsipaw"/>
    <s v="Man Kaung/Naung Ti Kyar Village"/>
    <m/>
    <m/>
    <m/>
    <m/>
    <n v="38"/>
    <m/>
    <m/>
    <m/>
    <m/>
    <m/>
    <m/>
    <m/>
    <m/>
    <m/>
    <m/>
    <m/>
    <m/>
    <n v="0"/>
    <n v="0"/>
    <n v="0"/>
    <n v="0"/>
    <n v="38"/>
    <n v="0"/>
    <n v="0"/>
    <n v="0"/>
    <n v="0"/>
    <n v="0"/>
    <n v="0"/>
    <n v="0"/>
    <n v="0"/>
    <n v="0"/>
    <n v="0"/>
    <n v="0"/>
    <n v="0"/>
    <n v="0"/>
    <s v="MMR015CMP244"/>
    <x v="0"/>
    <x v="0"/>
    <n v="0"/>
    <s v=""/>
    <m/>
  </r>
  <r>
    <n v="8.5333333333333332"/>
    <d v="2016-08-18T00:00:00"/>
    <x v="13"/>
    <s v="KBC"/>
    <s v="Kachin"/>
    <s v="Myitkyina"/>
    <s v="Man Hkring Baptist Church"/>
    <m/>
    <m/>
    <m/>
    <m/>
    <n v="29"/>
    <m/>
    <m/>
    <m/>
    <m/>
    <m/>
    <m/>
    <m/>
    <m/>
    <m/>
    <m/>
    <m/>
    <m/>
    <n v="0"/>
    <n v="0"/>
    <n v="0"/>
    <n v="0"/>
    <n v="29"/>
    <n v="0"/>
    <n v="0"/>
    <n v="0"/>
    <n v="0"/>
    <n v="0"/>
    <n v="0"/>
    <n v="0"/>
    <n v="0"/>
    <n v="0"/>
    <n v="0"/>
    <n v="0"/>
    <n v="0"/>
    <n v="0"/>
    <s v="MMR001CMP008"/>
    <x v="0"/>
    <x v="0"/>
    <s v="P4"/>
    <n v="0"/>
    <m/>
  </r>
  <r>
    <n v="8.1"/>
    <d v="2016-08-31T00:00:00"/>
    <x v="1"/>
    <s v="Solidarities"/>
    <s v="Kachin"/>
    <s v="Bhamo"/>
    <s v="AD-2000 Tharthana Compound"/>
    <m/>
    <m/>
    <m/>
    <m/>
    <m/>
    <m/>
    <m/>
    <m/>
    <m/>
    <m/>
    <m/>
    <m/>
    <m/>
    <m/>
    <n v="1"/>
    <m/>
    <m/>
    <n v="0"/>
    <n v="0"/>
    <n v="0"/>
    <n v="0"/>
    <n v="0"/>
    <n v="0"/>
    <n v="0"/>
    <n v="0"/>
    <n v="0"/>
    <n v="0"/>
    <n v="0"/>
    <n v="0"/>
    <n v="0"/>
    <n v="0"/>
    <n v="0"/>
    <n v="1"/>
    <n v="0"/>
    <n v="0"/>
    <s v="MMR001CMP050"/>
    <x v="0"/>
    <x v="0"/>
    <s v="P4"/>
    <n v="0"/>
    <m/>
  </r>
  <r>
    <n v="9.6333333333333329"/>
    <d v="2016-07-16T00:00:00"/>
    <x v="12"/>
    <s v="Relief International"/>
    <s v="Shan_North"/>
    <s v="Namtu"/>
    <s v="Shwe Myint Thar Monastry "/>
    <n v="59"/>
    <m/>
    <m/>
    <m/>
    <n v="59"/>
    <m/>
    <m/>
    <m/>
    <m/>
    <m/>
    <m/>
    <m/>
    <m/>
    <m/>
    <m/>
    <m/>
    <m/>
    <n v="59"/>
    <n v="0"/>
    <n v="0"/>
    <n v="0"/>
    <n v="59"/>
    <n v="0"/>
    <n v="0"/>
    <n v="0"/>
    <n v="0"/>
    <n v="0"/>
    <n v="0"/>
    <n v="0"/>
    <n v="0"/>
    <n v="0"/>
    <n v="0"/>
    <n v="0"/>
    <n v="0"/>
    <n v="0"/>
    <s v="MMR015CMP228"/>
    <x v="0"/>
    <x v="1"/>
    <n v="0"/>
    <s v=""/>
    <m/>
  </r>
  <r>
    <n v="8.1"/>
    <d v="2016-08-31T00:00:00"/>
    <x v="1"/>
    <s v="Solidarities"/>
    <s v="Kachin"/>
    <s v="Bhamo"/>
    <s v="Robert Church"/>
    <m/>
    <m/>
    <m/>
    <m/>
    <m/>
    <m/>
    <m/>
    <m/>
    <m/>
    <m/>
    <m/>
    <m/>
    <m/>
    <m/>
    <n v="1"/>
    <m/>
    <m/>
    <n v="0"/>
    <n v="0"/>
    <n v="0"/>
    <n v="0"/>
    <n v="0"/>
    <n v="0"/>
    <n v="0"/>
    <n v="0"/>
    <n v="0"/>
    <n v="0"/>
    <n v="0"/>
    <n v="0"/>
    <n v="0"/>
    <n v="0"/>
    <n v="0"/>
    <n v="1"/>
    <n v="0"/>
    <n v="0"/>
    <s v="MMR001CMP047"/>
    <x v="0"/>
    <x v="0"/>
    <s v="P4"/>
    <n v="0"/>
    <m/>
  </r>
  <r>
    <n v="8.1"/>
    <d v="2016-08-31T00:00:00"/>
    <x v="1"/>
    <s v="Solidarities"/>
    <s v="Kachin"/>
    <s v="Hpakant"/>
    <s v="Shar Du Zut KBC church "/>
    <n v="165"/>
    <n v="139"/>
    <m/>
    <m/>
    <m/>
    <m/>
    <m/>
    <m/>
    <m/>
    <m/>
    <m/>
    <m/>
    <m/>
    <m/>
    <n v="8"/>
    <m/>
    <m/>
    <n v="165"/>
    <n v="139"/>
    <n v="0"/>
    <n v="0"/>
    <n v="0"/>
    <n v="0"/>
    <n v="0"/>
    <n v="0"/>
    <n v="0"/>
    <n v="0"/>
    <n v="0"/>
    <n v="0"/>
    <n v="0"/>
    <n v="0"/>
    <n v="0"/>
    <n v="8"/>
    <n v="0"/>
    <n v="0"/>
    <s v="MMR001CMP244"/>
    <x v="2"/>
    <x v="0"/>
    <n v="0"/>
    <n v="0"/>
    <m/>
  </r>
  <r>
    <n v="8.9333333333333336"/>
    <d v="2016-08-06T00:00:00"/>
    <x v="0"/>
    <s v="KMSS"/>
    <s v="Kachin"/>
    <s v="Hpakant"/>
    <s v="A Lo Taw Pyae monastery"/>
    <m/>
    <n v="21"/>
    <n v="21"/>
    <n v="27"/>
    <n v="21"/>
    <n v="30"/>
    <n v="21"/>
    <m/>
    <n v="21"/>
    <n v="33"/>
    <m/>
    <m/>
    <m/>
    <m/>
    <n v="21"/>
    <m/>
    <m/>
    <n v="0"/>
    <n v="21"/>
    <n v="21"/>
    <n v="27"/>
    <n v="21"/>
    <n v="30"/>
    <n v="21"/>
    <n v="0"/>
    <n v="21"/>
    <n v="82.5"/>
    <n v="0"/>
    <n v="0"/>
    <n v="0"/>
    <n v="0"/>
    <n v="0"/>
    <n v="21"/>
    <n v="0"/>
    <n v="0"/>
    <s v="MMR001CMP243"/>
    <x v="2"/>
    <x v="1"/>
    <n v="0"/>
    <n v="4.931429644937066E-4"/>
    <m/>
  </r>
  <r>
    <n v="8.9333333333333336"/>
    <d v="2016-08-06T00:00:00"/>
    <x v="0"/>
    <s v="KMSS_Myitkyina"/>
    <s v="Kachin"/>
    <s v="Hpakant"/>
    <s v="A Lo Taw Pyae monastery"/>
    <m/>
    <n v="21"/>
    <n v="21"/>
    <n v="27"/>
    <n v="21"/>
    <n v="30"/>
    <n v="21"/>
    <m/>
    <n v="21"/>
    <n v="33"/>
    <m/>
    <m/>
    <m/>
    <m/>
    <n v="21"/>
    <m/>
    <m/>
    <m/>
    <m/>
    <m/>
    <m/>
    <m/>
    <m/>
    <m/>
    <m/>
    <m/>
    <m/>
    <m/>
    <m/>
    <m/>
    <m/>
    <m/>
    <m/>
    <m/>
    <m/>
    <m/>
    <x v="1"/>
    <x v="1"/>
    <m/>
    <m/>
    <m/>
  </r>
  <r>
    <n v="7.7"/>
    <d v="2016-09-12T00:00:00"/>
    <x v="12"/>
    <s v="Relief International"/>
    <s v="Shan_North"/>
    <s v="Namtu"/>
    <s v="Namtu KBC 2"/>
    <m/>
    <m/>
    <m/>
    <m/>
    <n v="18"/>
    <m/>
    <m/>
    <m/>
    <m/>
    <m/>
    <m/>
    <m/>
    <m/>
    <m/>
    <m/>
    <m/>
    <m/>
    <n v="0"/>
    <n v="0"/>
    <n v="0"/>
    <n v="0"/>
    <n v="18"/>
    <n v="0"/>
    <n v="0"/>
    <n v="0"/>
    <n v="0"/>
    <n v="0"/>
    <n v="0"/>
    <n v="0"/>
    <n v="0"/>
    <n v="0"/>
    <n v="0"/>
    <n v="0"/>
    <n v="0"/>
    <n v="0"/>
    <s v="MMR015CMP231"/>
    <x v="0"/>
    <x v="1"/>
    <n v="0"/>
    <s v=""/>
    <m/>
  </r>
  <r>
    <n v="7.1"/>
    <d v="2016-09-30T00:00:00"/>
    <x v="1"/>
    <s v="Solidarities"/>
    <s v="Kachin"/>
    <s v="Momauk"/>
    <s v="Momauk Baptist Church"/>
    <m/>
    <m/>
    <m/>
    <m/>
    <m/>
    <m/>
    <m/>
    <m/>
    <m/>
    <m/>
    <m/>
    <m/>
    <m/>
    <m/>
    <n v="1"/>
    <m/>
    <m/>
    <n v="0"/>
    <n v="0"/>
    <n v="0"/>
    <n v="0"/>
    <n v="0"/>
    <n v="0"/>
    <n v="0"/>
    <n v="0"/>
    <n v="0"/>
    <n v="0"/>
    <n v="0"/>
    <n v="0"/>
    <n v="0"/>
    <n v="0"/>
    <n v="0"/>
    <n v="1"/>
    <n v="0"/>
    <n v="0"/>
    <s v="MMR001CMP056"/>
    <x v="0"/>
    <x v="0"/>
    <s v="P4"/>
    <n v="0"/>
    <m/>
  </r>
  <r>
    <n v="7.1"/>
    <d v="2016-09-30T00:00:00"/>
    <x v="12"/>
    <s v="Relief International"/>
    <s v="Shan_North"/>
    <s v="Namtu"/>
    <s v="Nam Tu Baptist"/>
    <n v="11"/>
    <m/>
    <m/>
    <m/>
    <n v="11"/>
    <m/>
    <m/>
    <m/>
    <m/>
    <m/>
    <m/>
    <m/>
    <m/>
    <m/>
    <m/>
    <m/>
    <m/>
    <n v="11"/>
    <n v="0"/>
    <n v="0"/>
    <n v="0"/>
    <n v="11"/>
    <n v="0"/>
    <n v="0"/>
    <n v="0"/>
    <n v="0"/>
    <n v="0"/>
    <n v="0"/>
    <n v="0"/>
    <n v="0"/>
    <n v="0"/>
    <n v="0"/>
    <n v="0"/>
    <n v="0"/>
    <n v="0"/>
    <s v="MMR015CMP014"/>
    <x v="0"/>
    <x v="0"/>
    <s v="P3"/>
    <n v="0"/>
    <m/>
  </r>
  <r>
    <n v="7.1"/>
    <d v="2016-09-30T00:00:00"/>
    <x v="1"/>
    <s v="Solidarities"/>
    <s v="Kachin"/>
    <s v="Bhamo"/>
    <s v="Phan Khar Kone"/>
    <m/>
    <m/>
    <m/>
    <m/>
    <m/>
    <m/>
    <m/>
    <m/>
    <m/>
    <m/>
    <m/>
    <m/>
    <m/>
    <m/>
    <n v="1"/>
    <m/>
    <m/>
    <n v="0"/>
    <n v="0"/>
    <n v="0"/>
    <n v="0"/>
    <n v="0"/>
    <n v="0"/>
    <n v="0"/>
    <n v="0"/>
    <n v="0"/>
    <n v="0"/>
    <n v="0"/>
    <n v="0"/>
    <n v="0"/>
    <n v="0"/>
    <n v="0"/>
    <n v="1"/>
    <n v="0"/>
    <n v="0"/>
    <s v="MMR001CMP193"/>
    <x v="0"/>
    <x v="0"/>
    <s v="P4"/>
    <n v="0"/>
    <m/>
  </r>
  <r>
    <n v="6.0666666666666664"/>
    <d v="2016-10-31T00:00:00"/>
    <x v="1"/>
    <s v="Solidarities"/>
    <s v="Kachin"/>
    <s v="Momauk"/>
    <s v="Loi Je Catholic Church"/>
    <m/>
    <m/>
    <m/>
    <m/>
    <m/>
    <m/>
    <m/>
    <m/>
    <m/>
    <m/>
    <m/>
    <m/>
    <m/>
    <m/>
    <n v="1"/>
    <m/>
    <m/>
    <n v="0"/>
    <n v="0"/>
    <n v="0"/>
    <n v="0"/>
    <n v="0"/>
    <n v="0"/>
    <n v="0"/>
    <n v="0"/>
    <n v="0"/>
    <n v="0"/>
    <n v="0"/>
    <n v="0"/>
    <n v="0"/>
    <n v="0"/>
    <n v="0"/>
    <n v="1"/>
    <n v="0"/>
    <n v="0"/>
    <s v="MMR001CMP069"/>
    <x v="0"/>
    <x v="0"/>
    <s v="P3"/>
    <n v="0"/>
    <m/>
  </r>
  <r>
    <n v="6.0666666666666664"/>
    <d v="2016-10-31T00:00:00"/>
    <x v="1"/>
    <s v="Solidarities"/>
    <s v="Kachin"/>
    <s v="Momauk"/>
    <s v="Seng Ja "/>
    <m/>
    <m/>
    <m/>
    <m/>
    <m/>
    <m/>
    <m/>
    <m/>
    <m/>
    <m/>
    <m/>
    <m/>
    <m/>
    <m/>
    <n v="2"/>
    <m/>
    <m/>
    <n v="0"/>
    <n v="0"/>
    <n v="0"/>
    <n v="0"/>
    <n v="0"/>
    <n v="0"/>
    <n v="0"/>
    <n v="0"/>
    <n v="0"/>
    <n v="0"/>
    <n v="0"/>
    <n v="0"/>
    <n v="0"/>
    <n v="0"/>
    <n v="0"/>
    <n v="2"/>
    <n v="0"/>
    <n v="0"/>
    <s v="MMR001CMP073"/>
    <x v="0"/>
    <x v="0"/>
    <s v="P3"/>
    <n v="0"/>
    <m/>
  </r>
  <r>
    <n v="5.1333333333333337"/>
    <d v="2016-11-28T00:00:00"/>
    <x v="0"/>
    <s v="KBC"/>
    <s v="Shan_North"/>
    <s v="Muse"/>
    <s v="Muse Baptist Church"/>
    <m/>
    <m/>
    <m/>
    <n v="76"/>
    <n v="38"/>
    <n v="76"/>
    <m/>
    <m/>
    <n v="38"/>
    <n v="114"/>
    <m/>
    <m/>
    <m/>
    <m/>
    <m/>
    <m/>
    <m/>
    <n v="0"/>
    <n v="0"/>
    <n v="0"/>
    <n v="76"/>
    <n v="38"/>
    <n v="76"/>
    <n v="0"/>
    <n v="0"/>
    <n v="38"/>
    <n v="285"/>
    <n v="0"/>
    <n v="0"/>
    <n v="0"/>
    <n v="0"/>
    <n v="0"/>
    <n v="0"/>
    <n v="0"/>
    <n v="0"/>
    <s v="MMR015CMP213"/>
    <x v="2"/>
    <x v="0"/>
    <s v="P4"/>
    <n v="0"/>
    <m/>
  </r>
  <r>
    <n v="5.0666666666666664"/>
    <d v="2016-11-30T00:00:00"/>
    <x v="1"/>
    <s v="Solidarities"/>
    <s v="Kachin"/>
    <s v="Bhamo"/>
    <s v="Phan Khar Kone"/>
    <m/>
    <m/>
    <m/>
    <m/>
    <m/>
    <m/>
    <m/>
    <m/>
    <m/>
    <m/>
    <m/>
    <m/>
    <m/>
    <m/>
    <n v="2"/>
    <m/>
    <m/>
    <n v="0"/>
    <n v="0"/>
    <n v="0"/>
    <n v="0"/>
    <n v="0"/>
    <n v="0"/>
    <n v="0"/>
    <n v="0"/>
    <n v="0"/>
    <n v="0"/>
    <n v="0"/>
    <n v="0"/>
    <n v="0"/>
    <n v="0"/>
    <n v="0"/>
    <n v="2"/>
    <n v="0"/>
    <n v="0"/>
    <s v="MMR001CMP193"/>
    <x v="0"/>
    <x v="0"/>
    <s v="P4"/>
    <n v="0"/>
    <m/>
  </r>
  <r>
    <n v="5.0666666666666664"/>
    <d v="2016-11-30T00:00:00"/>
    <x v="1"/>
    <s v="Solidarities"/>
    <s v="Kachin"/>
    <s v="Bhamo"/>
    <s v="Robert Church"/>
    <m/>
    <m/>
    <m/>
    <m/>
    <m/>
    <m/>
    <m/>
    <m/>
    <m/>
    <m/>
    <m/>
    <m/>
    <m/>
    <m/>
    <n v="5"/>
    <m/>
    <m/>
    <n v="0"/>
    <n v="0"/>
    <n v="0"/>
    <n v="0"/>
    <n v="0"/>
    <n v="0"/>
    <n v="0"/>
    <n v="0"/>
    <n v="0"/>
    <n v="0"/>
    <n v="0"/>
    <n v="0"/>
    <n v="0"/>
    <n v="0"/>
    <n v="0"/>
    <n v="5"/>
    <n v="0"/>
    <n v="0"/>
    <s v="MMR001CMP047"/>
    <x v="0"/>
    <x v="0"/>
    <s v="P4"/>
    <n v="0"/>
    <m/>
  </r>
  <r>
    <n v="3.9666666666666668"/>
    <d v="2017-01-02T00:00:00"/>
    <x v="0"/>
    <s v="KBC"/>
    <s v="Kachin"/>
    <s v="Waingmaw"/>
    <s v="Maina KBC (Bawng Ring)"/>
    <m/>
    <m/>
    <m/>
    <m/>
    <m/>
    <m/>
    <m/>
    <m/>
    <m/>
    <m/>
    <m/>
    <m/>
    <m/>
    <m/>
    <m/>
    <m/>
    <n v="17"/>
    <n v="0"/>
    <n v="0"/>
    <n v="0"/>
    <n v="0"/>
    <n v="0"/>
    <n v="0"/>
    <n v="0"/>
    <n v="0"/>
    <n v="0"/>
    <n v="0"/>
    <n v="0"/>
    <n v="0"/>
    <n v="0"/>
    <n v="0"/>
    <n v="0"/>
    <n v="0"/>
    <n v="0"/>
    <n v="17"/>
    <s v="MMR001CMP040"/>
    <x v="3"/>
    <x v="0"/>
    <s v="P4"/>
    <n v="0"/>
    <m/>
  </r>
  <r>
    <n v="3.7"/>
    <d v="2017-01-10T00:00:00"/>
    <x v="0"/>
    <s v="KMSS_Myitkyina"/>
    <s v="Kachin"/>
    <s v="Myitkyina"/>
    <s v="Jan Mai Kawng Catholic Church"/>
    <m/>
    <n v="1"/>
    <n v="1"/>
    <n v="4"/>
    <n v="1"/>
    <n v="4"/>
    <n v="1"/>
    <m/>
    <n v="1"/>
    <n v="4"/>
    <m/>
    <m/>
    <m/>
    <m/>
    <n v="1"/>
    <m/>
    <m/>
    <m/>
    <m/>
    <m/>
    <m/>
    <m/>
    <m/>
    <m/>
    <m/>
    <m/>
    <m/>
    <m/>
    <m/>
    <m/>
    <m/>
    <m/>
    <m/>
    <m/>
    <m/>
    <s v="MMR001CMP019"/>
    <x v="4"/>
    <x v="0"/>
    <s v="P4"/>
    <n v="2.4554941682013504E-5"/>
    <m/>
  </r>
  <r>
    <n v="3.7"/>
    <d v="2017-01-10T00:00:00"/>
    <x v="0"/>
    <s v="KMSS_Myitkyina"/>
    <s v="Kachin"/>
    <s v="Waingmaw"/>
    <s v="Maina Catholic Church (St. Joseph)"/>
    <m/>
    <n v="6"/>
    <n v="6"/>
    <n v="10"/>
    <n v="6"/>
    <n v="18"/>
    <n v="6"/>
    <m/>
    <n v="6"/>
    <n v="17"/>
    <m/>
    <m/>
    <m/>
    <m/>
    <n v="6"/>
    <m/>
    <m/>
    <m/>
    <m/>
    <m/>
    <m/>
    <m/>
    <m/>
    <m/>
    <m/>
    <m/>
    <m/>
    <m/>
    <m/>
    <m/>
    <m/>
    <m/>
    <m/>
    <m/>
    <m/>
    <s v="MMR001CMP029"/>
    <x v="4"/>
    <x v="0"/>
    <s v="P4"/>
    <n v="1.4483657606334185E-4"/>
    <m/>
  </r>
  <r>
    <n v="7.1"/>
    <d v="2016-09-30T00:00:00"/>
    <x v="12"/>
    <s v="Relief International"/>
    <s v="Shan_North"/>
    <s v="Namtu"/>
    <s v="Shwe Myint Thar Monastry "/>
    <n v="11"/>
    <m/>
    <m/>
    <m/>
    <n v="11"/>
    <m/>
    <m/>
    <m/>
    <m/>
    <m/>
    <m/>
    <m/>
    <m/>
    <m/>
    <m/>
    <m/>
    <m/>
    <n v="11"/>
    <n v="0"/>
    <n v="0"/>
    <n v="0"/>
    <n v="11"/>
    <n v="0"/>
    <n v="0"/>
    <n v="0"/>
    <n v="0"/>
    <n v="0"/>
    <n v="0"/>
    <n v="0"/>
    <n v="0"/>
    <n v="0"/>
    <n v="0"/>
    <n v="0"/>
    <n v="0"/>
    <n v="0"/>
    <s v="MMR015CMP228"/>
    <x v="0"/>
    <x v="1"/>
    <n v="0"/>
    <s v=""/>
    <m/>
  </r>
  <r>
    <n v="3.5333333333333332"/>
    <d v="2017-01-15T00:00:00"/>
    <x v="1"/>
    <s v="Solidarities"/>
    <s v="Kachin"/>
    <s v="Mansi"/>
    <s v="Maing Khaung"/>
    <n v="15"/>
    <m/>
    <n v="135"/>
    <m/>
    <m/>
    <m/>
    <m/>
    <m/>
    <n v="15"/>
    <m/>
    <m/>
    <m/>
    <m/>
    <m/>
    <n v="15"/>
    <m/>
    <m/>
    <n v="15"/>
    <n v="0"/>
    <n v="135"/>
    <n v="0"/>
    <n v="0"/>
    <n v="0"/>
    <n v="0"/>
    <n v="0"/>
    <n v="15"/>
    <n v="0"/>
    <n v="0"/>
    <n v="0"/>
    <n v="0"/>
    <n v="0"/>
    <n v="0"/>
    <n v="15"/>
    <n v="0"/>
    <n v="0"/>
    <s v="MMR001CMP218"/>
    <x v="3"/>
    <x v="0"/>
    <s v="P4"/>
    <n v="0"/>
    <m/>
  </r>
  <r>
    <n v="3.4333333333333331"/>
    <d v="2017-01-18T00:00:00"/>
    <x v="1"/>
    <s v="Solidarities"/>
    <s v="Kachin"/>
    <s v="Momauk"/>
    <s v="Hpun Lum Yang "/>
    <n v="73"/>
    <n v="73"/>
    <n v="657"/>
    <n v="146"/>
    <m/>
    <n v="146"/>
    <m/>
    <m/>
    <n v="73"/>
    <n v="146"/>
    <m/>
    <m/>
    <m/>
    <m/>
    <n v="73"/>
    <m/>
    <m/>
    <n v="73"/>
    <n v="73"/>
    <n v="657"/>
    <n v="146"/>
    <n v="0"/>
    <n v="146"/>
    <n v="0"/>
    <n v="0"/>
    <n v="73"/>
    <n v="365"/>
    <n v="0"/>
    <n v="0"/>
    <n v="0"/>
    <n v="0"/>
    <n v="0"/>
    <n v="73"/>
    <n v="0"/>
    <n v="0"/>
    <s v="MMR001CMP122"/>
    <x v="3"/>
    <x v="0"/>
    <s v="P2"/>
    <n v="0"/>
    <m/>
  </r>
  <r>
    <n v="3.4333333333333331"/>
    <d v="2017-01-18T00:00:00"/>
    <x v="1"/>
    <s v="Solidarities"/>
    <s v="Kachin"/>
    <s v="Waingmaw"/>
    <s v="Woi Chyai "/>
    <n v="10"/>
    <n v="10"/>
    <n v="90"/>
    <n v="20"/>
    <m/>
    <n v="20"/>
    <m/>
    <m/>
    <n v="10"/>
    <n v="20"/>
    <m/>
    <m/>
    <m/>
    <m/>
    <n v="10"/>
    <m/>
    <m/>
    <n v="10"/>
    <n v="10"/>
    <n v="90"/>
    <n v="20"/>
    <n v="0"/>
    <n v="20"/>
    <n v="0"/>
    <n v="0"/>
    <n v="10"/>
    <n v="50"/>
    <n v="0"/>
    <n v="0"/>
    <n v="0"/>
    <n v="0"/>
    <n v="0"/>
    <n v="10"/>
    <n v="0"/>
    <n v="0"/>
    <s v="MMR001CMP116"/>
    <x v="3"/>
    <x v="0"/>
    <s v="P4"/>
    <n v="0"/>
    <m/>
  </r>
  <r>
    <n v="3.4"/>
    <d v="2017-01-19T00:00:00"/>
    <x v="0"/>
    <s v="KMSS_Myitkyina"/>
    <s v="Kachin"/>
    <s v="Waingmaw"/>
    <s v="Maina Catholic Church (St. Joseph)"/>
    <m/>
    <n v="9"/>
    <n v="9"/>
    <n v="35"/>
    <n v="9"/>
    <n v="35"/>
    <n v="9"/>
    <m/>
    <n v="9"/>
    <n v="35"/>
    <m/>
    <m/>
    <m/>
    <m/>
    <n v="9"/>
    <m/>
    <n v="9"/>
    <n v="0"/>
    <n v="9"/>
    <n v="9"/>
    <n v="35"/>
    <n v="9"/>
    <n v="35"/>
    <n v="9"/>
    <n v="0"/>
    <n v="9"/>
    <n v="87.5"/>
    <n v="0"/>
    <n v="0"/>
    <n v="0"/>
    <n v="0"/>
    <n v="0"/>
    <n v="9"/>
    <n v="0"/>
    <n v="9"/>
    <s v="MMR001CMP029"/>
    <x v="0"/>
    <x v="0"/>
    <s v="P4"/>
    <n v="2.172548640950128E-4"/>
    <m/>
  </r>
  <r>
    <n v="3.3666666666666667"/>
    <d v="2017-01-20T00:00:00"/>
    <x v="0"/>
    <s v="Shalom"/>
    <s v="Kachin"/>
    <s v="Waingmaw"/>
    <s v="Maina AG Church"/>
    <m/>
    <n v="5"/>
    <n v="5"/>
    <n v="21"/>
    <n v="5"/>
    <n v="21"/>
    <n v="5"/>
    <m/>
    <n v="5"/>
    <n v="21"/>
    <m/>
    <m/>
    <m/>
    <m/>
    <n v="5"/>
    <m/>
    <m/>
    <n v="0"/>
    <n v="5"/>
    <n v="5"/>
    <n v="21"/>
    <n v="5"/>
    <n v="21"/>
    <n v="5"/>
    <n v="0"/>
    <n v="5"/>
    <n v="52.5"/>
    <n v="0"/>
    <n v="0"/>
    <n v="0"/>
    <n v="0"/>
    <n v="0"/>
    <n v="5"/>
    <n v="0"/>
    <n v="0"/>
    <s v="MMR001CMP031"/>
    <x v="3"/>
    <x v="0"/>
    <s v="P4"/>
    <n v="1.2060980316480124E-4"/>
    <m/>
  </r>
  <r>
    <n v="3.3666666666666667"/>
    <d v="2017-01-20T00:00:00"/>
    <x v="0"/>
    <s v="Shalom"/>
    <s v="Kachin"/>
    <s v="Waingmaw"/>
    <s v="Qtr. 4 Monestry (Thargaya Thayett Taw)"/>
    <m/>
    <n v="6"/>
    <n v="6"/>
    <n v="13"/>
    <n v="6"/>
    <n v="13"/>
    <n v="6"/>
    <m/>
    <n v="6"/>
    <n v="13"/>
    <m/>
    <m/>
    <m/>
    <m/>
    <n v="6"/>
    <m/>
    <m/>
    <n v="0"/>
    <n v="6"/>
    <n v="6"/>
    <n v="13"/>
    <n v="6"/>
    <n v="13"/>
    <n v="6"/>
    <n v="0"/>
    <n v="6"/>
    <n v="32.5"/>
    <n v="0"/>
    <n v="0"/>
    <n v="0"/>
    <n v="0"/>
    <n v="0"/>
    <n v="6"/>
    <n v="0"/>
    <n v="0"/>
    <s v="MMR001CMP026"/>
    <x v="3"/>
    <x v="0"/>
    <s v="P4"/>
    <n v="1.4655593551538836E-4"/>
    <m/>
  </r>
  <r>
    <n v="3.3666666666666667"/>
    <d v="2017-01-20T00:00:00"/>
    <x v="0"/>
    <s v="Shalom"/>
    <s v="Kachin"/>
    <s v="Waingmaw"/>
    <s v="Qtr. 2 Lhaovo Baptist Church"/>
    <m/>
    <n v="9"/>
    <n v="9"/>
    <n v="19"/>
    <n v="9"/>
    <n v="19"/>
    <n v="9"/>
    <m/>
    <n v="9"/>
    <n v="19"/>
    <m/>
    <m/>
    <m/>
    <m/>
    <n v="9"/>
    <m/>
    <n v="10"/>
    <n v="0"/>
    <n v="9"/>
    <n v="9"/>
    <n v="19"/>
    <n v="9"/>
    <n v="19"/>
    <n v="9"/>
    <n v="0"/>
    <n v="9"/>
    <n v="47.5"/>
    <n v="0"/>
    <n v="0"/>
    <n v="0"/>
    <n v="0"/>
    <n v="0"/>
    <n v="9"/>
    <n v="0"/>
    <n v="10"/>
    <s v="MMR001CMP032"/>
    <x v="3"/>
    <x v="0"/>
    <s v="P4"/>
    <n v="2.2099447513812155E-4"/>
    <m/>
  </r>
  <r>
    <n v="3.3666666666666667"/>
    <d v="2017-01-20T00:00:00"/>
    <x v="0"/>
    <s v="Shalom"/>
    <s v="Kachin"/>
    <s v="Waingmaw"/>
    <s v="Waingmaw AG Church"/>
    <m/>
    <n v="6"/>
    <n v="6"/>
    <n v="17"/>
    <n v="6"/>
    <n v="17"/>
    <n v="6"/>
    <m/>
    <n v="6"/>
    <n v="17"/>
    <m/>
    <m/>
    <m/>
    <m/>
    <n v="6"/>
    <m/>
    <m/>
    <n v="0"/>
    <n v="6"/>
    <n v="6"/>
    <n v="17"/>
    <n v="6"/>
    <n v="17"/>
    <n v="6"/>
    <n v="0"/>
    <n v="6"/>
    <n v="42.5"/>
    <n v="0"/>
    <n v="0"/>
    <n v="0"/>
    <n v="0"/>
    <n v="0"/>
    <n v="6"/>
    <n v="0"/>
    <n v="0"/>
    <s v="MMR001CMP038"/>
    <x v="3"/>
    <x v="0"/>
    <s v="P4"/>
    <n v="1.4688601645123384E-4"/>
    <m/>
  </r>
  <r>
    <n v="3.3666666666666667"/>
    <d v="2017-01-20T00:00:00"/>
    <x v="0"/>
    <s v="Shalom"/>
    <s v="Kachin"/>
    <s v="Waingmaw"/>
    <s v="Thargaya Lisu Baptist Church"/>
    <m/>
    <n v="1"/>
    <n v="1"/>
    <n v="4"/>
    <n v="1"/>
    <n v="4"/>
    <n v="1"/>
    <m/>
    <n v="1"/>
    <n v="4"/>
    <m/>
    <m/>
    <m/>
    <m/>
    <n v="1"/>
    <m/>
    <m/>
    <n v="0"/>
    <n v="1"/>
    <n v="1"/>
    <n v="4"/>
    <n v="1"/>
    <n v="4"/>
    <n v="1"/>
    <n v="0"/>
    <n v="1"/>
    <n v="10"/>
    <n v="0"/>
    <n v="0"/>
    <n v="0"/>
    <n v="0"/>
    <n v="0"/>
    <n v="1"/>
    <n v="0"/>
    <n v="0"/>
    <s v="MMR001CMP037"/>
    <x v="3"/>
    <x v="0"/>
    <s v="P4"/>
    <n v="2.4481002741872306E-5"/>
    <m/>
  </r>
  <r>
    <n v="3.2666666666666666"/>
    <d v="2017-01-23T00:00:00"/>
    <x v="1"/>
    <s v="Solidarities"/>
    <s v="Kachin"/>
    <s v="Waingmaw"/>
    <s v="Je Yang Hka "/>
    <n v="38"/>
    <n v="38"/>
    <n v="342"/>
    <n v="76"/>
    <m/>
    <n v="76"/>
    <m/>
    <m/>
    <n v="38"/>
    <n v="76"/>
    <m/>
    <m/>
    <m/>
    <m/>
    <n v="38"/>
    <m/>
    <m/>
    <n v="38"/>
    <n v="38"/>
    <n v="342"/>
    <n v="76"/>
    <n v="0"/>
    <n v="76"/>
    <n v="0"/>
    <n v="0"/>
    <n v="38"/>
    <n v="190"/>
    <n v="0"/>
    <n v="0"/>
    <n v="0"/>
    <n v="0"/>
    <n v="0"/>
    <n v="38"/>
    <n v="0"/>
    <n v="0"/>
    <s v="MMR001CMP121"/>
    <x v="3"/>
    <x v="0"/>
    <s v="P2"/>
    <n v="0"/>
    <m/>
  </r>
  <r>
    <n v="3.1666666666666665"/>
    <d v="2017-01-26T00:00:00"/>
    <x v="0"/>
    <s v="KBC"/>
    <s v="Kachin"/>
    <s v="Waingmaw"/>
    <s v="Maina KBC (Bawng Ring)"/>
    <m/>
    <n v="6"/>
    <n v="6"/>
    <n v="18"/>
    <n v="6"/>
    <n v="24"/>
    <n v="6"/>
    <m/>
    <n v="6"/>
    <n v="24"/>
    <m/>
    <m/>
    <m/>
    <m/>
    <n v="6"/>
    <m/>
    <n v="6"/>
    <n v="0"/>
    <n v="6"/>
    <n v="6"/>
    <n v="18"/>
    <n v="6"/>
    <n v="24"/>
    <n v="6"/>
    <n v="0"/>
    <n v="6"/>
    <n v="60"/>
    <n v="0"/>
    <n v="0"/>
    <n v="0"/>
    <n v="0"/>
    <n v="0"/>
    <n v="6"/>
    <n v="0"/>
    <n v="6"/>
    <s v="MMR001CMP040"/>
    <x v="3"/>
    <x v="0"/>
    <s v="P4"/>
    <n v="1.4612405932636809E-4"/>
    <m/>
  </r>
  <r>
    <n v="3.3666666666666667"/>
    <d v="2017-01-20T00:00:00"/>
    <x v="0"/>
    <s v="KBC"/>
    <s v="Kachin"/>
    <s v="Mansi"/>
    <s v="Man Kawng Baptist Church"/>
    <m/>
    <n v="11"/>
    <n v="11"/>
    <n v="32"/>
    <n v="11"/>
    <n v="32"/>
    <n v="11"/>
    <m/>
    <n v="11"/>
    <n v="52"/>
    <m/>
    <m/>
    <m/>
    <m/>
    <n v="11"/>
    <m/>
    <n v="11"/>
    <n v="0"/>
    <n v="11"/>
    <n v="11"/>
    <n v="32"/>
    <n v="11"/>
    <n v="32"/>
    <n v="11"/>
    <n v="0"/>
    <n v="11"/>
    <n v="130"/>
    <n v="0"/>
    <n v="0"/>
    <n v="0"/>
    <n v="0"/>
    <n v="0"/>
    <n v="11"/>
    <n v="0"/>
    <n v="11"/>
    <s v="MMR001CMP212"/>
    <x v="3"/>
    <x v="1"/>
    <s v=""/>
    <s v=""/>
    <m/>
  </r>
  <r>
    <n v="3.2666666666666666"/>
    <d v="2017-01-23T00:00:00"/>
    <x v="0"/>
    <s v="KMSS_Bhamo"/>
    <s v="Kachin"/>
    <s v="Mansi"/>
    <s v="Man Kawng Catholic Church"/>
    <m/>
    <n v="24"/>
    <n v="25"/>
    <n v="45"/>
    <n v="25"/>
    <n v="45"/>
    <n v="25"/>
    <m/>
    <n v="25"/>
    <n v="83"/>
    <m/>
    <m/>
    <m/>
    <m/>
    <n v="25"/>
    <m/>
    <m/>
    <n v="0"/>
    <n v="24"/>
    <n v="25"/>
    <n v="45"/>
    <n v="25"/>
    <n v="45"/>
    <n v="25"/>
    <n v="0"/>
    <n v="25"/>
    <n v="207.5"/>
    <n v="0"/>
    <n v="0"/>
    <n v="0"/>
    <n v="0"/>
    <n v="0"/>
    <n v="25"/>
    <n v="0"/>
    <n v="0"/>
    <s v="MMR001CMP213"/>
    <x v="0"/>
    <x v="1"/>
    <s v=""/>
    <s v=""/>
    <m/>
  </r>
  <r>
    <n v="3.2666666666666666"/>
    <d v="2017-01-23T00:00:00"/>
    <x v="0"/>
    <s v="KMSS_Bhamo"/>
    <s v="Kachin"/>
    <s v="Mansi"/>
    <s v="Man Kawng Catholic Church"/>
    <m/>
    <n v="24"/>
    <n v="25"/>
    <n v="45"/>
    <n v="25"/>
    <n v="45"/>
    <n v="25"/>
    <m/>
    <n v="25"/>
    <n v="83"/>
    <m/>
    <m/>
    <m/>
    <m/>
    <m/>
    <m/>
    <m/>
    <n v="0"/>
    <n v="24"/>
    <n v="25"/>
    <n v="45"/>
    <n v="25"/>
    <n v="45"/>
    <n v="25"/>
    <n v="0"/>
    <n v="25"/>
    <n v="207.5"/>
    <n v="0"/>
    <n v="0"/>
    <n v="0"/>
    <n v="0"/>
    <n v="0"/>
    <n v="0"/>
    <n v="0"/>
    <n v="0"/>
    <s v="MMR001CMP213"/>
    <x v="0"/>
    <x v="1"/>
    <s v=""/>
    <s v=""/>
    <m/>
  </r>
  <r>
    <n v="3.1"/>
    <d v="2017-01-28T00:00:00"/>
    <x v="0"/>
    <s v="KMSS_Myitkyina"/>
    <s v="Kachin"/>
    <s v="Waingmaw"/>
    <s v="Maina Catholic Church (St. Joseph)"/>
    <m/>
    <m/>
    <m/>
    <m/>
    <m/>
    <m/>
    <m/>
    <m/>
    <m/>
    <m/>
    <m/>
    <m/>
    <m/>
    <m/>
    <m/>
    <m/>
    <n v="10"/>
    <n v="0"/>
    <n v="0"/>
    <n v="0"/>
    <n v="0"/>
    <n v="0"/>
    <n v="0"/>
    <n v="0"/>
    <n v="0"/>
    <n v="0"/>
    <n v="0"/>
    <n v="0"/>
    <n v="0"/>
    <n v="0"/>
    <n v="0"/>
    <n v="0"/>
    <n v="0"/>
    <n v="0"/>
    <n v="10"/>
    <s v="MMR001CMP029"/>
    <x v="3"/>
    <x v="0"/>
    <s v="P4"/>
    <n v="0"/>
    <m/>
  </r>
  <r>
    <n v="3"/>
    <d v="2017-01-31T00:00:00"/>
    <x v="0"/>
    <s v="KMSS_Myitkyina"/>
    <s v="Kachin"/>
    <s v="Myitkyina"/>
    <s v="Pa Dauk Myaing(Pa La Na)"/>
    <m/>
    <n v="1"/>
    <n v="1"/>
    <n v="3"/>
    <n v="1"/>
    <n v="3"/>
    <n v="1"/>
    <m/>
    <n v="1"/>
    <n v="3"/>
    <m/>
    <m/>
    <m/>
    <m/>
    <n v="1"/>
    <m/>
    <m/>
    <n v="0"/>
    <n v="1"/>
    <n v="1"/>
    <n v="3"/>
    <n v="1"/>
    <n v="3"/>
    <n v="1"/>
    <n v="0"/>
    <n v="1"/>
    <n v="7.5"/>
    <n v="0"/>
    <n v="0"/>
    <n v="0"/>
    <n v="0"/>
    <n v="0"/>
    <n v="1"/>
    <n v="0"/>
    <n v="0"/>
    <s v="MMR001CMP162"/>
    <x v="0"/>
    <x v="0"/>
    <s v="P4"/>
    <n v="2.4245950926195326E-5"/>
    <m/>
  </r>
  <r>
    <n v="3"/>
    <d v="2017-01-31T00:00:00"/>
    <x v="0"/>
    <s v="KMSS_Myitkyina"/>
    <s v="Kachin"/>
    <s v="Waingmaw"/>
    <s v="Maina Catholic Church (St. Joseph)"/>
    <m/>
    <n v="22"/>
    <n v="22"/>
    <n v="76"/>
    <n v="22"/>
    <n v="76"/>
    <n v="22"/>
    <m/>
    <n v="22"/>
    <n v="76"/>
    <m/>
    <m/>
    <m/>
    <m/>
    <n v="22"/>
    <m/>
    <m/>
    <n v="0"/>
    <n v="22"/>
    <n v="22"/>
    <n v="76"/>
    <n v="22"/>
    <n v="76"/>
    <n v="22"/>
    <n v="0"/>
    <n v="22"/>
    <n v="190"/>
    <n v="0"/>
    <n v="0"/>
    <n v="0"/>
    <n v="0"/>
    <n v="0"/>
    <n v="22"/>
    <n v="0"/>
    <n v="0"/>
    <s v="MMR001CMP029"/>
    <x v="0"/>
    <x v="0"/>
    <s v="P4"/>
    <n v="5.3106744556558679E-4"/>
    <m/>
  </r>
  <r>
    <n v="2.9666666666666668"/>
    <d v="2017-02-01T00:00:00"/>
    <x v="0"/>
    <s v="KBC"/>
    <s v="Kachin"/>
    <s v="Shwegu"/>
    <s v="Shwe Gu Baptist Church"/>
    <m/>
    <m/>
    <n v="50"/>
    <m/>
    <m/>
    <m/>
    <m/>
    <m/>
    <m/>
    <m/>
    <m/>
    <m/>
    <m/>
    <m/>
    <m/>
    <m/>
    <m/>
    <n v="0"/>
    <n v="0"/>
    <n v="50"/>
    <n v="0"/>
    <n v="0"/>
    <n v="0"/>
    <n v="0"/>
    <n v="0"/>
    <n v="0"/>
    <n v="0"/>
    <n v="0"/>
    <n v="0"/>
    <n v="0"/>
    <n v="0"/>
    <n v="0"/>
    <n v="0"/>
    <n v="0"/>
    <n v="0"/>
    <s v="MMR001CMP067"/>
    <x v="0"/>
    <x v="0"/>
    <s v="P4"/>
    <n v="0"/>
    <m/>
  </r>
  <r>
    <n v="2.9333333333333331"/>
    <d v="2017-02-02T00:00:00"/>
    <x v="0"/>
    <s v="KMSS_Bhamo"/>
    <s v="Kachin"/>
    <s v="Mansi"/>
    <s v="Maing Khaung Catholic Church"/>
    <m/>
    <n v="25"/>
    <n v="25"/>
    <n v="25"/>
    <n v="25"/>
    <n v="45"/>
    <n v="25"/>
    <m/>
    <n v="25"/>
    <n v="83"/>
    <m/>
    <m/>
    <m/>
    <m/>
    <n v="25"/>
    <m/>
    <m/>
    <n v="0"/>
    <n v="25"/>
    <n v="25"/>
    <n v="25"/>
    <n v="25"/>
    <n v="45"/>
    <n v="25"/>
    <n v="0"/>
    <n v="25"/>
    <n v="207.5"/>
    <n v="0"/>
    <n v="0"/>
    <n v="0"/>
    <n v="0"/>
    <n v="0"/>
    <n v="25"/>
    <n v="0"/>
    <n v="0"/>
    <s v="MMR001CMP223"/>
    <x v="0"/>
    <x v="0"/>
    <s v="P4"/>
    <n v="6.0171368056224125E-4"/>
    <m/>
  </r>
  <r>
    <n v="2.7"/>
    <d v="2017-02-09T00:00:00"/>
    <x v="0"/>
    <s v="KBC"/>
    <s v="Kachin"/>
    <s v="Waingmaw"/>
    <s v="Maina KBC (Bawng Ring)"/>
    <m/>
    <n v="17"/>
    <n v="17"/>
    <n v="114"/>
    <n v="17"/>
    <n v="174"/>
    <n v="17"/>
    <m/>
    <n v="17"/>
    <n v="188"/>
    <m/>
    <m/>
    <m/>
    <m/>
    <n v="17"/>
    <m/>
    <n v="49"/>
    <n v="0"/>
    <n v="17"/>
    <n v="17"/>
    <n v="114"/>
    <n v="17"/>
    <n v="174"/>
    <n v="17"/>
    <n v="0"/>
    <n v="17"/>
    <n v="470"/>
    <n v="0"/>
    <n v="0"/>
    <n v="0"/>
    <n v="0"/>
    <n v="0"/>
    <n v="17"/>
    <n v="0"/>
    <n v="49"/>
    <s v="MMR001CMP040"/>
    <x v="0"/>
    <x v="0"/>
    <s v="P4"/>
    <n v="4.1401816809137626E-4"/>
    <m/>
  </r>
  <r>
    <n v="2.6666666666666665"/>
    <d v="2017-02-10T00:00:00"/>
    <x v="0"/>
    <s v="KBC"/>
    <s v="Kachin"/>
    <s v="Myitkyina"/>
    <s v="Shatapru Thida Aye Baptist Church"/>
    <m/>
    <n v="4"/>
    <n v="4"/>
    <n v="10"/>
    <n v="4"/>
    <n v="14"/>
    <n v="4"/>
    <m/>
    <n v="4"/>
    <n v="14"/>
    <m/>
    <m/>
    <m/>
    <m/>
    <n v="4"/>
    <m/>
    <m/>
    <n v="0"/>
    <n v="4"/>
    <n v="4"/>
    <n v="10"/>
    <n v="4"/>
    <n v="14"/>
    <n v="4"/>
    <n v="0"/>
    <n v="4"/>
    <n v="35"/>
    <n v="0"/>
    <n v="0"/>
    <n v="0"/>
    <n v="0"/>
    <n v="0"/>
    <n v="4"/>
    <n v="0"/>
    <n v="0"/>
    <s v="MMR001CMP007"/>
    <x v="0"/>
    <x v="0"/>
    <s v="P4"/>
    <n v="9.7777995062211254E-5"/>
    <m/>
  </r>
  <r>
    <n v="2.6666666666666665"/>
    <d v="2017-02-10T00:00:00"/>
    <x v="0"/>
    <s v="KBC"/>
    <s v="Kachin"/>
    <s v="Myitkyina"/>
    <s v="Njang Dung Baptist Church "/>
    <m/>
    <n v="4"/>
    <n v="4"/>
    <n v="8"/>
    <n v="4"/>
    <n v="11"/>
    <n v="4"/>
    <m/>
    <n v="4"/>
    <n v="11"/>
    <m/>
    <m/>
    <m/>
    <m/>
    <n v="4"/>
    <m/>
    <m/>
    <n v="0"/>
    <n v="4"/>
    <n v="4"/>
    <n v="8"/>
    <n v="4"/>
    <n v="11"/>
    <n v="4"/>
    <n v="0"/>
    <n v="4"/>
    <n v="27.5"/>
    <n v="0"/>
    <n v="0"/>
    <n v="0"/>
    <n v="0"/>
    <n v="0"/>
    <n v="4"/>
    <n v="0"/>
    <n v="0"/>
    <s v="MMR001CMP002"/>
    <x v="0"/>
    <x v="0"/>
    <s v="P4"/>
    <n v="9.8292173485686198E-5"/>
    <m/>
  </r>
  <r>
    <n v="2.6666666666666665"/>
    <d v="2017-02-10T00:00:00"/>
    <x v="0"/>
    <s v="KBC"/>
    <s v="Kachin"/>
    <s v="Myitkyina"/>
    <s v="Tat Kone Galile Baptist Church"/>
    <m/>
    <n v="1"/>
    <n v="1"/>
    <n v="2"/>
    <n v="1"/>
    <n v="3"/>
    <n v="1"/>
    <m/>
    <n v="1"/>
    <n v="3"/>
    <m/>
    <m/>
    <m/>
    <m/>
    <n v="1"/>
    <m/>
    <m/>
    <n v="0"/>
    <n v="1"/>
    <n v="1"/>
    <n v="2"/>
    <n v="1"/>
    <n v="3"/>
    <n v="1"/>
    <n v="0"/>
    <n v="1"/>
    <n v="7.5"/>
    <n v="0"/>
    <n v="0"/>
    <n v="0"/>
    <n v="0"/>
    <n v="0"/>
    <n v="1"/>
    <n v="0"/>
    <n v="0"/>
    <s v="MMR001CMP003"/>
    <x v="0"/>
    <x v="0"/>
    <s v="P4"/>
    <n v="2.4554941682013504E-5"/>
    <m/>
  </r>
  <r>
    <n v="2.6666666666666665"/>
    <d v="2017-02-10T00:00:00"/>
    <x v="0"/>
    <s v="KBC"/>
    <s v="Kachin"/>
    <s v="Myitkyina"/>
    <s v="Tat Kone San Pya Baptist Church"/>
    <m/>
    <n v="1"/>
    <n v="1"/>
    <n v="3"/>
    <n v="1"/>
    <n v="4"/>
    <n v="1"/>
    <m/>
    <n v="1"/>
    <n v="4"/>
    <m/>
    <m/>
    <m/>
    <m/>
    <n v="1"/>
    <m/>
    <m/>
    <n v="0"/>
    <n v="1"/>
    <n v="1"/>
    <n v="3"/>
    <n v="1"/>
    <n v="4"/>
    <n v="1"/>
    <n v="0"/>
    <n v="1"/>
    <n v="10"/>
    <n v="0"/>
    <n v="0"/>
    <n v="0"/>
    <n v="0"/>
    <n v="0"/>
    <n v="1"/>
    <n v="0"/>
    <n v="0"/>
    <s v="MMR001CMP005"/>
    <x v="0"/>
    <x v="0"/>
    <s v="P4"/>
    <n v="2.4499595756670014E-5"/>
    <m/>
  </r>
  <r>
    <n v="2.6666666666666665"/>
    <d v="2017-02-10T00:00:00"/>
    <x v="0"/>
    <s v="Shalom"/>
    <s v="Kachin"/>
    <s v="Bhamo"/>
    <s v="Mu-yin Baptist Church"/>
    <m/>
    <m/>
    <m/>
    <m/>
    <n v="8"/>
    <m/>
    <m/>
    <m/>
    <m/>
    <m/>
    <m/>
    <m/>
    <m/>
    <m/>
    <m/>
    <m/>
    <m/>
    <n v="0"/>
    <n v="0"/>
    <n v="0"/>
    <n v="0"/>
    <n v="8"/>
    <n v="0"/>
    <n v="0"/>
    <n v="0"/>
    <n v="0"/>
    <n v="0"/>
    <n v="0"/>
    <n v="0"/>
    <n v="0"/>
    <n v="0"/>
    <n v="0"/>
    <n v="0"/>
    <n v="0"/>
    <n v="0"/>
    <s v="MMR001CMP051"/>
    <x v="0"/>
    <x v="0"/>
    <s v="P4"/>
    <n v="0"/>
    <m/>
  </r>
  <r>
    <n v="2.5666666666666669"/>
    <d v="2017-02-13T00:00:00"/>
    <x v="0"/>
    <s v="KBC"/>
    <s v="Kachin"/>
    <s v="Myitkyina"/>
    <s v="Le Kone Bethlehem Church"/>
    <m/>
    <n v="3"/>
    <n v="3"/>
    <n v="5"/>
    <n v="3"/>
    <n v="8"/>
    <n v="3"/>
    <m/>
    <n v="3"/>
    <n v="8"/>
    <m/>
    <m/>
    <m/>
    <m/>
    <n v="3"/>
    <m/>
    <m/>
    <n v="0"/>
    <n v="3"/>
    <n v="3"/>
    <n v="5"/>
    <n v="3"/>
    <n v="8"/>
    <n v="3"/>
    <n v="0"/>
    <n v="3"/>
    <n v="20"/>
    <n v="0"/>
    <n v="0"/>
    <n v="0"/>
    <n v="0"/>
    <n v="0"/>
    <n v="3"/>
    <n v="0"/>
    <n v="0"/>
    <s v="MMR001CMP015"/>
    <x v="0"/>
    <x v="0"/>
    <s v="P4"/>
    <n v="7.3886166046843827E-5"/>
    <m/>
  </r>
  <r>
    <n v="2.5666666666666669"/>
    <d v="2017-02-13T00:00:00"/>
    <x v="0"/>
    <s v="KBC"/>
    <s v="Kachin"/>
    <s v="Myitkyina"/>
    <s v="Jan Mai Kawng Baptist Church"/>
    <m/>
    <n v="1"/>
    <n v="1"/>
    <n v="2"/>
    <n v="1"/>
    <n v="3"/>
    <n v="1"/>
    <m/>
    <n v="1"/>
    <n v="3"/>
    <m/>
    <m/>
    <m/>
    <m/>
    <n v="1"/>
    <m/>
    <m/>
    <n v="0"/>
    <n v="1"/>
    <n v="1"/>
    <n v="2"/>
    <n v="1"/>
    <n v="3"/>
    <n v="1"/>
    <n v="0"/>
    <n v="1"/>
    <n v="7.5"/>
    <n v="0"/>
    <n v="0"/>
    <n v="0"/>
    <n v="0"/>
    <n v="0"/>
    <n v="1"/>
    <n v="0"/>
    <n v="0"/>
    <s v="MMR001CMP018"/>
    <x v="0"/>
    <x v="0"/>
    <s v="P4"/>
    <n v="2.4554941682013504E-5"/>
    <m/>
  </r>
  <r>
    <n v="2.5666666666666669"/>
    <d v="2017-02-13T00:00:00"/>
    <x v="0"/>
    <s v="KBC"/>
    <s v="Kachin"/>
    <s v="Myitkyina"/>
    <s v="Kyun Pin Thar Baptist Church"/>
    <m/>
    <n v="3"/>
    <n v="3"/>
    <n v="9"/>
    <n v="3"/>
    <n v="17"/>
    <n v="3"/>
    <m/>
    <n v="3"/>
    <n v="17"/>
    <m/>
    <m/>
    <m/>
    <m/>
    <n v="3"/>
    <m/>
    <m/>
    <n v="0"/>
    <n v="3"/>
    <n v="3"/>
    <n v="9"/>
    <n v="3"/>
    <n v="17"/>
    <n v="3"/>
    <n v="0"/>
    <n v="3"/>
    <n v="42.5"/>
    <n v="0"/>
    <n v="0"/>
    <n v="0"/>
    <n v="0"/>
    <n v="0"/>
    <n v="3"/>
    <n v="0"/>
    <n v="0"/>
    <s v="MMR001CMP013"/>
    <x v="0"/>
    <x v="0"/>
    <s v="P4"/>
    <n v="7.333349629665843E-5"/>
    <m/>
  </r>
  <r>
    <n v="2.5666666666666669"/>
    <d v="2017-02-13T00:00:00"/>
    <x v="0"/>
    <s v="KBC"/>
    <s v="Kachin"/>
    <s v="Myitkyina"/>
    <s v="Man Hkring Baptist Church"/>
    <m/>
    <n v="1"/>
    <n v="1"/>
    <n v="2"/>
    <n v="1"/>
    <n v="3"/>
    <n v="1"/>
    <m/>
    <n v="1"/>
    <n v="3"/>
    <m/>
    <m/>
    <m/>
    <m/>
    <n v="1"/>
    <m/>
    <m/>
    <n v="0"/>
    <n v="1"/>
    <n v="1"/>
    <n v="2"/>
    <n v="1"/>
    <n v="3"/>
    <n v="1"/>
    <n v="0"/>
    <n v="1"/>
    <n v="7.5"/>
    <n v="0"/>
    <n v="0"/>
    <n v="0"/>
    <n v="0"/>
    <n v="0"/>
    <n v="1"/>
    <n v="0"/>
    <n v="0"/>
    <s v="MMR001CMP008"/>
    <x v="0"/>
    <x v="0"/>
    <s v="P4"/>
    <n v="2.4554941682013504E-5"/>
    <m/>
  </r>
  <r>
    <n v="2.5666666666666669"/>
    <d v="2017-02-13T00:00:00"/>
    <x v="0"/>
    <s v="KBC"/>
    <s v="Kachin"/>
    <s v="Myitkyina"/>
    <s v="Maliyang Baptist Church"/>
    <m/>
    <n v="1"/>
    <n v="1"/>
    <n v="2"/>
    <n v="1"/>
    <n v="3"/>
    <n v="1"/>
    <m/>
    <n v="1"/>
    <n v="3"/>
    <m/>
    <m/>
    <m/>
    <m/>
    <n v="1"/>
    <m/>
    <m/>
    <n v="0"/>
    <n v="1"/>
    <n v="1"/>
    <n v="2"/>
    <n v="1"/>
    <n v="3"/>
    <n v="1"/>
    <n v="0"/>
    <n v="1"/>
    <n v="7.5"/>
    <n v="0"/>
    <n v="0"/>
    <n v="0"/>
    <n v="0"/>
    <n v="0"/>
    <n v="1"/>
    <n v="0"/>
    <n v="0"/>
    <s v="MMR001CMP016"/>
    <x v="0"/>
    <x v="0"/>
    <s v="P4"/>
    <n v="2.4536264599077437E-5"/>
    <m/>
  </r>
  <r>
    <n v="2.5333333333333332"/>
    <d v="2017-02-14T00:00:00"/>
    <x v="0"/>
    <s v="KBC"/>
    <s v="Kachin"/>
    <s v="Mansi"/>
    <s v="Maing Khaung"/>
    <m/>
    <n v="4"/>
    <n v="4"/>
    <n v="7"/>
    <n v="4"/>
    <n v="7"/>
    <n v="4"/>
    <m/>
    <n v="4"/>
    <n v="14"/>
    <m/>
    <m/>
    <m/>
    <m/>
    <n v="4"/>
    <m/>
    <m/>
    <n v="0"/>
    <n v="4"/>
    <n v="4"/>
    <n v="7"/>
    <n v="4"/>
    <n v="7"/>
    <n v="4"/>
    <n v="0"/>
    <n v="4"/>
    <n v="35"/>
    <n v="0"/>
    <n v="0"/>
    <n v="0"/>
    <n v="0"/>
    <n v="0"/>
    <n v="4"/>
    <n v="0"/>
    <n v="0"/>
    <s v="MMR001CMP218"/>
    <x v="0"/>
    <x v="0"/>
    <s v="P4"/>
    <n v="9.6274188889958599E-5"/>
    <m/>
  </r>
  <r>
    <n v="2.5333333333333332"/>
    <d v="2017-02-14T00:00:00"/>
    <x v="1"/>
    <s v="Solidarities"/>
    <s v="Kachin"/>
    <s v="Mansi"/>
    <s v="Maing Khaung"/>
    <n v="2"/>
    <m/>
    <n v="18"/>
    <m/>
    <m/>
    <m/>
    <m/>
    <m/>
    <n v="2"/>
    <m/>
    <m/>
    <m/>
    <m/>
    <m/>
    <n v="2"/>
    <m/>
    <m/>
    <n v="2"/>
    <n v="0"/>
    <n v="18"/>
    <n v="0"/>
    <n v="0"/>
    <n v="0"/>
    <n v="0"/>
    <n v="0"/>
    <n v="2"/>
    <n v="0"/>
    <n v="0"/>
    <n v="0"/>
    <n v="0"/>
    <n v="0"/>
    <n v="0"/>
    <n v="2"/>
    <n v="0"/>
    <n v="0"/>
    <s v="MMR001CMP218"/>
    <x v="3"/>
    <x v="0"/>
    <s v="P4"/>
    <n v="0"/>
    <m/>
  </r>
  <r>
    <n v="2.5333333333333332"/>
    <d v="2017-02-14T00:00:00"/>
    <x v="0"/>
    <s v="KMSS_Bhamo"/>
    <s v="Kachin"/>
    <s v="Mansi"/>
    <s v="Maing Khaung Catholic Church"/>
    <m/>
    <n v="1"/>
    <n v="1"/>
    <n v="2"/>
    <n v="1"/>
    <n v="2"/>
    <n v="1"/>
    <m/>
    <n v="1"/>
    <n v="3"/>
    <m/>
    <m/>
    <m/>
    <m/>
    <n v="1"/>
    <m/>
    <m/>
    <n v="0"/>
    <n v="1"/>
    <n v="1"/>
    <n v="2"/>
    <n v="1"/>
    <n v="2"/>
    <n v="1"/>
    <n v="0"/>
    <n v="1"/>
    <n v="7.5"/>
    <n v="0"/>
    <n v="0"/>
    <n v="0"/>
    <n v="0"/>
    <n v="0"/>
    <n v="1"/>
    <n v="0"/>
    <n v="0"/>
    <s v="MMR001CMP223"/>
    <x v="0"/>
    <x v="0"/>
    <s v="P4"/>
    <n v="2.406854722248965E-5"/>
    <m/>
  </r>
  <r>
    <n v="2.4666666666666668"/>
    <d v="2017-02-16T00:00:00"/>
    <x v="0"/>
    <s v="KBC"/>
    <s v="Kachin"/>
    <s v="Hpakant"/>
    <s v="Shar Du Zut KBC church "/>
    <m/>
    <m/>
    <m/>
    <m/>
    <m/>
    <m/>
    <m/>
    <m/>
    <m/>
    <m/>
    <n v="62"/>
    <n v="33"/>
    <m/>
    <m/>
    <m/>
    <m/>
    <m/>
    <n v="0"/>
    <n v="0"/>
    <n v="0"/>
    <n v="0"/>
    <n v="0"/>
    <n v="0"/>
    <n v="0"/>
    <n v="0"/>
    <n v="0"/>
    <n v="0"/>
    <n v="62"/>
    <n v="33"/>
    <n v="0"/>
    <n v="0"/>
    <n v="1"/>
    <n v="0"/>
    <n v="0"/>
    <n v="0"/>
    <s v="MMR001CMP244"/>
    <x v="2"/>
    <x v="0"/>
    <n v="0"/>
    <n v="0"/>
    <m/>
  </r>
  <r>
    <n v="2.0333333333333332"/>
    <d v="2017-03-01T00:00:00"/>
    <x v="1"/>
    <s v="Solidarities"/>
    <s v="Kachin"/>
    <s v="Waingmaw"/>
    <s v="Hka Shi"/>
    <n v="55"/>
    <m/>
    <n v="495"/>
    <m/>
    <m/>
    <m/>
    <m/>
    <m/>
    <n v="55"/>
    <m/>
    <m/>
    <m/>
    <m/>
    <m/>
    <n v="55"/>
    <m/>
    <m/>
    <n v="55"/>
    <n v="0"/>
    <n v="495"/>
    <n v="0"/>
    <n v="0"/>
    <n v="0"/>
    <n v="0"/>
    <n v="0"/>
    <n v="55"/>
    <n v="0"/>
    <n v="0"/>
    <n v="0"/>
    <n v="0"/>
    <n v="0"/>
    <n v="0"/>
    <n v="55"/>
    <n v="0"/>
    <n v="0"/>
    <s v="MMR001CMP248"/>
    <x v="3"/>
    <x v="0"/>
    <n v="0"/>
    <s v=""/>
    <m/>
  </r>
  <r>
    <n v="1.6"/>
    <d v="2017-03-14T00:00:00"/>
    <x v="1"/>
    <s v="Solidarities"/>
    <s v="Kachin"/>
    <s v="Momauk"/>
    <s v="Hpun Lum Yang "/>
    <m/>
    <n v="8"/>
    <m/>
    <n v="16"/>
    <m/>
    <n v="16"/>
    <m/>
    <m/>
    <m/>
    <n v="16"/>
    <m/>
    <m/>
    <m/>
    <m/>
    <m/>
    <m/>
    <m/>
    <n v="0"/>
    <n v="8"/>
    <n v="0"/>
    <n v="16"/>
    <n v="0"/>
    <n v="16"/>
    <n v="0"/>
    <n v="0"/>
    <n v="0"/>
    <n v="40"/>
    <n v="0"/>
    <n v="0"/>
    <n v="0"/>
    <n v="0"/>
    <n v="0"/>
    <n v="0"/>
    <n v="0"/>
    <n v="0"/>
    <s v="MMR001CMP122"/>
    <x v="3"/>
    <x v="0"/>
    <s v="P2"/>
    <n v="0"/>
    <m/>
  </r>
  <r>
    <n v="1.6"/>
    <d v="2017-03-14T00:00:00"/>
    <x v="1"/>
    <s v="Solidarities"/>
    <s v="Kachin"/>
    <s v="Waingmaw"/>
    <s v="Je Yang Hka "/>
    <m/>
    <n v="6"/>
    <m/>
    <n v="12"/>
    <m/>
    <n v="12"/>
    <m/>
    <m/>
    <m/>
    <n v="12"/>
    <m/>
    <m/>
    <m/>
    <m/>
    <m/>
    <m/>
    <m/>
    <n v="0"/>
    <n v="6"/>
    <n v="0"/>
    <n v="12"/>
    <n v="0"/>
    <n v="12"/>
    <n v="0"/>
    <n v="0"/>
    <n v="0"/>
    <n v="30"/>
    <n v="0"/>
    <n v="0"/>
    <n v="0"/>
    <n v="0"/>
    <n v="0"/>
    <n v="0"/>
    <n v="0"/>
    <n v="0"/>
    <s v="MMR001CMP121"/>
    <x v="3"/>
    <x v="0"/>
    <s v="P2"/>
    <n v="0"/>
    <m/>
  </r>
  <r>
    <n v="1.5666666666666667"/>
    <d v="2017-03-15T00:00:00"/>
    <x v="0"/>
    <s v="Shalom"/>
    <s v="Kachin"/>
    <s v="Chipwi"/>
    <s v="Chipwi KBC camp"/>
    <m/>
    <m/>
    <m/>
    <m/>
    <m/>
    <m/>
    <m/>
    <m/>
    <m/>
    <m/>
    <n v="79"/>
    <n v="152"/>
    <m/>
    <m/>
    <m/>
    <m/>
    <m/>
    <n v="0"/>
    <n v="0"/>
    <n v="0"/>
    <n v="0"/>
    <n v="0"/>
    <n v="0"/>
    <n v="0"/>
    <n v="0"/>
    <n v="0"/>
    <n v="0"/>
    <n v="79"/>
    <n v="152"/>
    <n v="0"/>
    <n v="0"/>
    <n v="1"/>
    <n v="0"/>
    <n v="0"/>
    <n v="0"/>
    <s v="MMR001CMP042"/>
    <x v="3"/>
    <x v="0"/>
    <s v="P1"/>
    <n v="0"/>
    <m/>
  </r>
  <r>
    <n v="1.5666666666666667"/>
    <d v="2017-03-15T00:00:00"/>
    <x v="1"/>
    <s v="Solidarities"/>
    <s v="Kachin"/>
    <s v="Waingmaw"/>
    <s v="Woi Chyai "/>
    <m/>
    <n v="6"/>
    <m/>
    <n v="12"/>
    <m/>
    <n v="12"/>
    <m/>
    <m/>
    <m/>
    <n v="12"/>
    <m/>
    <m/>
    <m/>
    <m/>
    <m/>
    <m/>
    <m/>
    <n v="0"/>
    <n v="6"/>
    <n v="0"/>
    <n v="12"/>
    <n v="0"/>
    <n v="12"/>
    <n v="0"/>
    <n v="0"/>
    <n v="0"/>
    <n v="30"/>
    <n v="0"/>
    <n v="0"/>
    <n v="0"/>
    <n v="0"/>
    <n v="0"/>
    <n v="0"/>
    <n v="0"/>
    <n v="0"/>
    <s v="MMR001CMP116"/>
    <x v="3"/>
    <x v="0"/>
    <s v="P4"/>
    <n v="0"/>
    <m/>
  </r>
  <r>
    <n v="1.5333333333333334"/>
    <d v="2017-03-16T00:00:00"/>
    <x v="0"/>
    <s v="Shalom"/>
    <s v="Kachin"/>
    <s v="Chipwi"/>
    <s v="Lhaovao Baptist Church (LBC)"/>
    <m/>
    <m/>
    <m/>
    <m/>
    <m/>
    <m/>
    <m/>
    <m/>
    <m/>
    <m/>
    <n v="97"/>
    <n v="203"/>
    <m/>
    <m/>
    <m/>
    <m/>
    <m/>
    <n v="0"/>
    <n v="0"/>
    <n v="0"/>
    <n v="0"/>
    <n v="0"/>
    <n v="0"/>
    <n v="0"/>
    <n v="0"/>
    <n v="0"/>
    <n v="0"/>
    <n v="97"/>
    <n v="203"/>
    <n v="0"/>
    <n v="0"/>
    <n v="1"/>
    <n v="0"/>
    <n v="0"/>
    <n v="0"/>
    <s v="MMR001CMP195"/>
    <x v="3"/>
    <x v="0"/>
    <s v="P1"/>
    <n v="0"/>
    <m/>
  </r>
  <r>
    <n v="1.4333333333333333"/>
    <d v="2017-03-19T00:00:00"/>
    <x v="0"/>
    <s v="KBC"/>
    <s v="Kachin"/>
    <s v="Sumprabum"/>
    <s v="Ndup Yang"/>
    <m/>
    <m/>
    <m/>
    <m/>
    <m/>
    <n v="292"/>
    <m/>
    <m/>
    <m/>
    <m/>
    <m/>
    <m/>
    <m/>
    <m/>
    <m/>
    <m/>
    <m/>
    <n v="0"/>
    <n v="0"/>
    <n v="0"/>
    <n v="0"/>
    <n v="0"/>
    <n v="292"/>
    <n v="0"/>
    <n v="0"/>
    <n v="0"/>
    <n v="0"/>
    <n v="0"/>
    <n v="0"/>
    <n v="0"/>
    <n v="0"/>
    <n v="0"/>
    <n v="0"/>
    <n v="0"/>
    <n v="0"/>
    <s v="MMR001CMP238"/>
    <x v="2"/>
    <x v="0"/>
    <n v="0"/>
    <n v="0"/>
    <m/>
  </r>
  <r>
    <n v="1.4"/>
    <d v="2017-03-20T00:00:00"/>
    <x v="0"/>
    <s v="KBC"/>
    <s v="Kachin"/>
    <s v="Sumprabum"/>
    <s v="Salang Yang"/>
    <m/>
    <m/>
    <m/>
    <m/>
    <m/>
    <n v="134"/>
    <m/>
    <m/>
    <m/>
    <m/>
    <m/>
    <m/>
    <m/>
    <m/>
    <m/>
    <m/>
    <m/>
    <n v="0"/>
    <n v="0"/>
    <n v="0"/>
    <n v="0"/>
    <n v="0"/>
    <n v="134"/>
    <n v="0"/>
    <n v="0"/>
    <n v="0"/>
    <n v="0"/>
    <n v="0"/>
    <n v="0"/>
    <n v="0"/>
    <n v="0"/>
    <n v="0"/>
    <n v="0"/>
    <n v="0"/>
    <n v="0"/>
    <s v="MMR001CMP239"/>
    <x v="2"/>
    <x v="0"/>
    <n v="0"/>
    <n v="0"/>
    <m/>
  </r>
  <r>
    <n v="1.1000000000000001"/>
    <d v="2017-03-29T00:00:00"/>
    <x v="0"/>
    <s v="Shalom"/>
    <s v="Kachin"/>
    <s v="Waingmaw"/>
    <s v="Nawng Hee Village"/>
    <m/>
    <n v="5"/>
    <n v="5"/>
    <n v="10"/>
    <n v="5"/>
    <n v="10"/>
    <n v="5"/>
    <m/>
    <n v="5"/>
    <n v="28"/>
    <m/>
    <m/>
    <m/>
    <m/>
    <n v="5"/>
    <m/>
    <m/>
    <n v="0"/>
    <n v="5"/>
    <n v="5"/>
    <n v="10"/>
    <n v="5"/>
    <n v="10"/>
    <n v="5"/>
    <n v="0"/>
    <n v="5"/>
    <n v="70"/>
    <n v="0"/>
    <n v="0"/>
    <n v="0"/>
    <n v="0"/>
    <n v="0"/>
    <n v="5"/>
    <n v="0"/>
    <n v="0"/>
    <s v="MMR001CMP033"/>
    <x v="3"/>
    <x v="0"/>
    <s v="P4"/>
    <n v="1.2186205215695832E-4"/>
    <m/>
  </r>
  <r>
    <n v="1.0333333333333334"/>
    <d v="2017-03-31T00:00:00"/>
    <x v="14"/>
    <s v="NRC"/>
    <s v="Shan_North"/>
    <s v="Kutkai"/>
    <s v="Kutkai downtown (RC Church)"/>
    <m/>
    <m/>
    <m/>
    <m/>
    <m/>
    <m/>
    <m/>
    <m/>
    <m/>
    <m/>
    <n v="540"/>
    <m/>
    <m/>
    <n v="135"/>
    <m/>
    <m/>
    <m/>
    <n v="0"/>
    <n v="0"/>
    <n v="0"/>
    <n v="0"/>
    <n v="0"/>
    <n v="0"/>
    <n v="0"/>
    <n v="0"/>
    <n v="0"/>
    <n v="0"/>
    <n v="540"/>
    <n v="0"/>
    <n v="0"/>
    <n v="135"/>
    <n v="1"/>
    <n v="0"/>
    <n v="0"/>
    <n v="0"/>
    <s v="MMR015CMP017"/>
    <x v="3"/>
    <x v="0"/>
    <s v="P3"/>
    <n v="0"/>
    <m/>
  </r>
  <r>
    <n v="0.9"/>
    <d v="2017-04-04T00:00:00"/>
    <x v="14"/>
    <s v="NRC"/>
    <s v="Kachin"/>
    <s v="Mansi"/>
    <s v="Maing Khaung Catholic Church"/>
    <m/>
    <m/>
    <m/>
    <m/>
    <m/>
    <m/>
    <m/>
    <m/>
    <m/>
    <m/>
    <n v="144"/>
    <m/>
    <m/>
    <n v="36"/>
    <m/>
    <m/>
    <m/>
    <m/>
    <n v="0"/>
    <n v="0"/>
    <n v="0"/>
    <n v="0"/>
    <n v="0"/>
    <n v="0"/>
    <n v="0"/>
    <n v="0"/>
    <n v="0"/>
    <n v="144"/>
    <n v="0"/>
    <n v="0"/>
    <n v="36"/>
    <n v="1"/>
    <n v="0"/>
    <n v="0"/>
    <n v="0"/>
    <s v="MMR001CMP223"/>
    <x v="3"/>
    <x v="0"/>
    <s v="P4"/>
    <n v="0"/>
    <m/>
  </r>
  <r>
    <n v="2.0333333333333332"/>
    <d v="2017-03-01T00:00:00"/>
    <x v="1"/>
    <s v="Solidarities"/>
    <s v="Kachin"/>
    <s v="Waingmaw"/>
    <s v="Sadung"/>
    <n v="91"/>
    <n v="92"/>
    <n v="546"/>
    <n v="184"/>
    <n v="170"/>
    <n v="184"/>
    <m/>
    <m/>
    <n v="91"/>
    <n v="184"/>
    <m/>
    <m/>
    <m/>
    <m/>
    <n v="91"/>
    <n v="85"/>
    <m/>
    <n v="91"/>
    <n v="92"/>
    <n v="546"/>
    <n v="184"/>
    <n v="170"/>
    <n v="184"/>
    <n v="0"/>
    <n v="0"/>
    <n v="91"/>
    <n v="460"/>
    <n v="0"/>
    <n v="0"/>
    <n v="0"/>
    <n v="0"/>
    <n v="0"/>
    <n v="91"/>
    <n v="85"/>
    <n v="0"/>
    <s v=""/>
    <x v="1"/>
    <x v="2"/>
    <s v=""/>
    <s v=""/>
    <m/>
  </r>
  <r>
    <n v="0.6"/>
    <d v="2017-04-13T00:00:00"/>
    <x v="0"/>
    <s v="Shalom"/>
    <s v="Kachin"/>
    <s v="Waingmaw"/>
    <s v="Qtr. 2 Lhaovo Baptist Church"/>
    <m/>
    <n v="17"/>
    <n v="17"/>
    <n v="58"/>
    <n v="17"/>
    <n v="58"/>
    <n v="17"/>
    <m/>
    <n v="17"/>
    <n v="76"/>
    <m/>
    <m/>
    <m/>
    <m/>
    <n v="17"/>
    <m/>
    <n v="15"/>
    <n v="0"/>
    <n v="17"/>
    <n v="17"/>
    <n v="58"/>
    <n v="17"/>
    <n v="58"/>
    <n v="17"/>
    <n v="0"/>
    <n v="17"/>
    <n v="190"/>
    <n v="0"/>
    <n v="0"/>
    <n v="0"/>
    <n v="0"/>
    <n v="0"/>
    <n v="17"/>
    <n v="0"/>
    <n v="15"/>
    <s v="MMR001CMP032"/>
    <x v="3"/>
    <x v="0"/>
    <s v="P4"/>
    <n v="4.174340085942296E-4"/>
    <m/>
  </r>
  <r>
    <n v="0.13333333333333333"/>
    <d v="2017-04-27T00:00:00"/>
    <x v="1"/>
    <s v="Solidarities"/>
    <s v="Kachin"/>
    <s v="Waingmaw"/>
    <s v="Qtr. 2 Lhaovo Baptist Church"/>
    <n v="10"/>
    <m/>
    <n v="90"/>
    <m/>
    <m/>
    <m/>
    <m/>
    <m/>
    <n v="10"/>
    <m/>
    <m/>
    <m/>
    <m/>
    <m/>
    <n v="10"/>
    <m/>
    <m/>
    <m/>
    <n v="0"/>
    <n v="90"/>
    <n v="0"/>
    <n v="0"/>
    <n v="0"/>
    <n v="0"/>
    <n v="0"/>
    <n v="10"/>
    <n v="0"/>
    <n v="0"/>
    <n v="0"/>
    <n v="0"/>
    <n v="0"/>
    <n v="0"/>
    <n v="10"/>
    <n v="0"/>
    <n v="0"/>
    <s v="MMR001CMP032"/>
    <x v="3"/>
    <x v="0"/>
    <s v="P4"/>
    <n v="0"/>
    <m/>
  </r>
  <r>
    <n v="-0.23333333333333334"/>
    <d v="2017-05-08T00:00:00"/>
    <x v="0"/>
    <s v="KBC"/>
    <s v="Kachin"/>
    <s v="Waingmaw"/>
    <s v="Shing Jai"/>
    <m/>
    <m/>
    <m/>
    <m/>
    <m/>
    <n v="358"/>
    <m/>
    <m/>
    <m/>
    <m/>
    <m/>
    <m/>
    <m/>
    <m/>
    <m/>
    <m/>
    <m/>
    <n v="0"/>
    <n v="0"/>
    <n v="0"/>
    <n v="0"/>
    <n v="0"/>
    <n v="358"/>
    <n v="0"/>
    <n v="0"/>
    <n v="0"/>
    <n v="0"/>
    <n v="0"/>
    <n v="0"/>
    <n v="0"/>
    <n v="0"/>
    <n v="0"/>
    <n v="0"/>
    <n v="0"/>
    <n v="0"/>
    <s v="MMR001CMP041"/>
    <x v="3"/>
    <x v="0"/>
    <s v="P1"/>
    <n v="0"/>
    <m/>
  </r>
  <r>
    <n v="-0.8"/>
    <d v="2017-05-25T00:00:00"/>
    <x v="14"/>
    <s v="NRC"/>
    <s v="Shan_North"/>
    <s v="Hseni"/>
    <s v="Nam Sa Larp"/>
    <m/>
    <m/>
    <m/>
    <n v="57"/>
    <m/>
    <m/>
    <n v="57"/>
    <m/>
    <m/>
    <n v="57"/>
    <m/>
    <m/>
    <m/>
    <m/>
    <m/>
    <m/>
    <m/>
    <n v="0"/>
    <n v="0"/>
    <n v="0"/>
    <n v="57"/>
    <n v="0"/>
    <n v="0"/>
    <n v="57"/>
    <n v="0"/>
    <n v="0"/>
    <n v="142.5"/>
    <n v="0"/>
    <n v="0"/>
    <n v="0"/>
    <n v="0"/>
    <n v="0"/>
    <n v="0"/>
    <n v="0"/>
    <n v="0"/>
    <s v="MMR015CMP218"/>
    <x v="2"/>
    <x v="0"/>
    <n v="0"/>
    <n v="1.3559805880673707E-3"/>
    <m/>
  </r>
  <r>
    <n v="-0.83333333333333337"/>
    <d v="2017-05-26T00:00:00"/>
    <x v="14"/>
    <s v="NRC"/>
    <s v="Shan_North"/>
    <s v="Kutkai"/>
    <s v="Kutkai downtown (KBC Church-2)"/>
    <m/>
    <m/>
    <m/>
    <n v="46"/>
    <n v="12"/>
    <n v="92"/>
    <n v="46"/>
    <m/>
    <m/>
    <n v="46"/>
    <m/>
    <m/>
    <m/>
    <m/>
    <m/>
    <m/>
    <m/>
    <n v="0"/>
    <n v="0"/>
    <n v="0"/>
    <n v="46"/>
    <n v="12"/>
    <n v="92"/>
    <n v="46"/>
    <n v="0"/>
    <n v="0"/>
    <n v="115"/>
    <n v="0"/>
    <n v="0"/>
    <n v="0"/>
    <n v="0"/>
    <n v="0"/>
    <n v="0"/>
    <n v="0"/>
    <n v="0"/>
    <s v="MMR015CMP245"/>
    <x v="2"/>
    <x v="0"/>
    <n v="0"/>
    <n v="1.0766782136504072E-3"/>
    <m/>
  </r>
  <r>
    <n v="-0.3"/>
    <d v="2017-05-10T00:00:00"/>
    <x v="14"/>
    <s v="NRC"/>
    <s v="Kachin"/>
    <s v="Bhamo"/>
    <s v="Pang Hkawng Yang"/>
    <m/>
    <m/>
    <m/>
    <n v="54"/>
    <n v="6"/>
    <n v="108"/>
    <n v="54"/>
    <m/>
    <m/>
    <n v="54"/>
    <m/>
    <m/>
    <m/>
    <m/>
    <m/>
    <m/>
    <m/>
    <n v="0"/>
    <n v="0"/>
    <n v="0"/>
    <n v="54"/>
    <n v="6"/>
    <n v="108"/>
    <n v="54"/>
    <n v="0"/>
    <n v="0"/>
    <n v="135"/>
    <n v="0"/>
    <n v="0"/>
    <n v="0"/>
    <n v="0"/>
    <n v="0"/>
    <n v="0"/>
    <n v="0"/>
    <n v="0"/>
    <s v=""/>
    <x v="1"/>
    <x v="2"/>
    <s v=""/>
    <s v=""/>
    <m/>
  </r>
  <r>
    <n v="-0.8666666666666667"/>
    <d v="2017-05-27T00:00:00"/>
    <x v="14"/>
    <s v="NRC"/>
    <s v="Shan_North"/>
    <s v="Kutkai"/>
    <s v="Man Loi"/>
    <m/>
    <m/>
    <m/>
    <n v="24"/>
    <n v="9"/>
    <n v="48"/>
    <n v="24"/>
    <m/>
    <m/>
    <n v="24"/>
    <m/>
    <m/>
    <m/>
    <m/>
    <m/>
    <m/>
    <m/>
    <n v="0"/>
    <n v="0"/>
    <n v="0"/>
    <n v="24"/>
    <n v="9"/>
    <n v="48"/>
    <n v="24"/>
    <n v="0"/>
    <n v="0"/>
    <n v="60"/>
    <n v="0"/>
    <n v="0"/>
    <n v="0"/>
    <n v="0"/>
    <n v="0"/>
    <n v="0"/>
    <n v="0"/>
    <n v="0"/>
    <s v="MMR015CMP246"/>
    <x v="0"/>
    <x v="0"/>
    <n v="0"/>
    <s v=""/>
    <m/>
  </r>
  <r>
    <n v="-0.9"/>
    <d v="2017-05-28T00:00:00"/>
    <x v="14"/>
    <s v="NRC"/>
    <s v="Shan_North"/>
    <s v="Kutkai"/>
    <s v="Mai Yu Lay Ta'ang"/>
    <m/>
    <m/>
    <m/>
    <n v="143"/>
    <n v="62"/>
    <n v="286"/>
    <n v="143"/>
    <m/>
    <m/>
    <n v="143"/>
    <m/>
    <m/>
    <m/>
    <m/>
    <m/>
    <m/>
    <m/>
    <n v="0"/>
    <n v="0"/>
    <n v="0"/>
    <n v="143"/>
    <n v="62"/>
    <n v="286"/>
    <n v="143"/>
    <n v="0"/>
    <n v="0"/>
    <n v="357.5"/>
    <n v="0"/>
    <n v="0"/>
    <n v="0"/>
    <n v="0"/>
    <n v="0"/>
    <n v="0"/>
    <n v="0"/>
    <n v="0"/>
    <s v="MMR015CMP220"/>
    <x v="2"/>
    <x v="0"/>
    <n v="0"/>
    <n v="3.3698597855543774E-3"/>
    <m/>
  </r>
  <r>
    <n v="-0.96666666666666667"/>
    <d v="2017-05-30T00:00:00"/>
    <x v="14"/>
    <s v="NRC"/>
    <s v="Shan_North"/>
    <s v="Namtu"/>
    <s v="Nam Tu Baptist"/>
    <m/>
    <m/>
    <m/>
    <n v="46"/>
    <n v="9"/>
    <n v="46"/>
    <n v="46"/>
    <m/>
    <m/>
    <n v="46"/>
    <m/>
    <m/>
    <m/>
    <m/>
    <m/>
    <m/>
    <m/>
    <n v="0"/>
    <n v="0"/>
    <n v="0"/>
    <n v="46"/>
    <n v="9"/>
    <n v="46"/>
    <n v="46"/>
    <n v="0"/>
    <n v="0"/>
    <n v="115"/>
    <n v="0"/>
    <n v="0"/>
    <n v="0"/>
    <n v="0"/>
    <n v="0"/>
    <n v="0"/>
    <n v="0"/>
    <n v="0"/>
    <s v="MMR015CMP014"/>
    <x v="0"/>
    <x v="0"/>
    <s v="P3"/>
    <n v="1.121951219512195E-3"/>
    <m/>
  </r>
  <r>
    <n v="-0.96666666666666667"/>
    <d v="2017-05-30T00:00:00"/>
    <x v="14"/>
    <s v="NRC"/>
    <s v="Shan_North"/>
    <s v="Namtu"/>
    <s v="Lisu Church Namtu"/>
    <m/>
    <m/>
    <m/>
    <n v="25"/>
    <n v="5"/>
    <n v="25"/>
    <n v="25"/>
    <m/>
    <m/>
    <n v="25"/>
    <m/>
    <m/>
    <m/>
    <m/>
    <m/>
    <m/>
    <m/>
    <n v="0"/>
    <n v="0"/>
    <n v="0"/>
    <n v="25"/>
    <n v="5"/>
    <n v="25"/>
    <n v="25"/>
    <n v="0"/>
    <n v="0"/>
    <n v="62.5"/>
    <n v="0"/>
    <n v="0"/>
    <n v="0"/>
    <n v="0"/>
    <n v="0"/>
    <n v="0"/>
    <n v="0"/>
    <n v="0"/>
    <s v="MMR015CMP232"/>
    <x v="0"/>
    <x v="0"/>
    <n v="0"/>
    <s v=""/>
    <m/>
  </r>
  <r>
    <n v="-0.96666666666666667"/>
    <d v="2017-05-30T00:00:00"/>
    <x v="14"/>
    <s v="NRC"/>
    <s v="Shan_North"/>
    <s v="Namtu"/>
    <s v="Pan Ta Pyae"/>
    <m/>
    <m/>
    <m/>
    <n v="16"/>
    <n v="3"/>
    <n v="16"/>
    <n v="16"/>
    <m/>
    <m/>
    <n v="16"/>
    <m/>
    <m/>
    <m/>
    <m/>
    <m/>
    <m/>
    <m/>
    <n v="0"/>
    <n v="0"/>
    <n v="0"/>
    <n v="16"/>
    <n v="3"/>
    <n v="16"/>
    <n v="16"/>
    <n v="0"/>
    <n v="0"/>
    <n v="40"/>
    <n v="0"/>
    <n v="0"/>
    <n v="0"/>
    <n v="0"/>
    <n v="0"/>
    <n v="0"/>
    <n v="0"/>
    <n v="0"/>
    <s v="MMR015CMP221"/>
    <x v="2"/>
    <x v="0"/>
    <n v="0"/>
    <n v="3.7762567854614113E-4"/>
    <m/>
  </r>
  <r>
    <n v="-0.96666666666666667"/>
    <d v="2017-05-30T00:00:00"/>
    <x v="14"/>
    <s v="NRC"/>
    <s v="Shan_North"/>
    <s v="Namtu"/>
    <s v="Kyu Sot"/>
    <m/>
    <m/>
    <m/>
    <n v="60"/>
    <m/>
    <n v="60"/>
    <n v="60"/>
    <m/>
    <m/>
    <n v="60"/>
    <m/>
    <m/>
    <m/>
    <m/>
    <m/>
    <m/>
    <m/>
    <n v="0"/>
    <n v="0"/>
    <n v="0"/>
    <n v="60"/>
    <n v="0"/>
    <n v="60"/>
    <n v="60"/>
    <n v="0"/>
    <n v="0"/>
    <n v="150"/>
    <n v="0"/>
    <n v="0"/>
    <n v="0"/>
    <n v="0"/>
    <n v="0"/>
    <n v="0"/>
    <n v="0"/>
    <n v="0"/>
    <s v="MMR015CMP248"/>
    <x v="2"/>
    <x v="0"/>
    <n v="0"/>
    <n v="1.402491760360908E-3"/>
    <m/>
  </r>
</pivotCacheRecords>
</file>

<file path=xl/pivotCache/pivotCacheRecords2.xml><?xml version="1.0" encoding="utf-8"?>
<pivotCacheRecords xmlns="http://schemas.openxmlformats.org/spreadsheetml/2006/main" xmlns:r="http://schemas.openxmlformats.org/officeDocument/2006/relationships" count="381">
  <r>
    <d v="2017-07-03T00:00:00"/>
    <x v="0"/>
    <s v="KMSS_MKN"/>
    <x v="0"/>
    <x v="0"/>
    <x v="0"/>
    <n v="1"/>
    <m/>
    <m/>
    <n v="5"/>
    <m/>
    <n v="5"/>
    <m/>
    <m/>
    <m/>
    <n v="5"/>
    <n v="5"/>
    <m/>
    <m/>
    <x v="0"/>
    <x v="0"/>
    <n v="1.7730496453900711E-2"/>
    <s v="NO"/>
    <s v="3/July/2017: Updated DRC Shelters"/>
  </r>
  <r>
    <d v="2017-07-03T00:00:00"/>
    <x v="1"/>
    <s v="KMSS_MKN"/>
    <x v="0"/>
    <x v="0"/>
    <x v="1"/>
    <n v="1"/>
    <m/>
    <m/>
    <n v="4"/>
    <m/>
    <n v="4"/>
    <m/>
    <m/>
    <m/>
    <n v="4"/>
    <n v="4"/>
    <m/>
    <m/>
    <x v="1"/>
    <x v="0"/>
    <n v="0.13333333333333333"/>
    <s v="NO"/>
    <s v="3/Jul/2017: Updated MHF shelters"/>
  </r>
  <r>
    <d v="2017-07-03T00:00:00"/>
    <x v="1"/>
    <s v="KMSS_MKN"/>
    <x v="0"/>
    <x v="1"/>
    <x v="2"/>
    <n v="1"/>
    <m/>
    <m/>
    <n v="4"/>
    <m/>
    <n v="4"/>
    <m/>
    <m/>
    <m/>
    <n v="4"/>
    <n v="4"/>
    <m/>
    <m/>
    <x v="2"/>
    <x v="0"/>
    <n v="8.1632653061224483E-2"/>
    <s v="NO"/>
    <s v="3/July/2017: Updated MHF Shelters"/>
  </r>
  <r>
    <d v="2017-07-03T00:00:00"/>
    <x v="1"/>
    <s v="KMSS_MKN"/>
    <x v="0"/>
    <x v="0"/>
    <x v="3"/>
    <n v="1"/>
    <m/>
    <m/>
    <n v="87"/>
    <m/>
    <n v="87"/>
    <m/>
    <m/>
    <m/>
    <n v="87"/>
    <n v="87"/>
    <m/>
    <m/>
    <x v="3"/>
    <x v="0"/>
    <n v="0.1746987951807229"/>
    <s v="NO"/>
    <s v="3/July/2017: Updated MHF Shelters"/>
  </r>
  <r>
    <d v="2017-07-03T00:00:00"/>
    <x v="2"/>
    <s v="KBC"/>
    <x v="0"/>
    <x v="2"/>
    <x v="4"/>
    <n v="1"/>
    <m/>
    <m/>
    <n v="16"/>
    <n v="16"/>
    <m/>
    <m/>
    <m/>
    <m/>
    <n v="16"/>
    <n v="16"/>
    <m/>
    <m/>
    <x v="4"/>
    <x v="0"/>
    <n v="0.53333333333333333"/>
    <s v="NO"/>
    <s v="3/Jul/2017: Updated constructed shelter. Data source: KBC (CAR_March)_x000a_2/June/2017: Updated under costruction shelter. Data source: KBC (CAR_April). _x000a_4/May/2017:Update data shelter. Data source: KBC (CAR_March)"/>
  </r>
  <r>
    <d v="2017-07-03T00:00:00"/>
    <x v="2"/>
    <s v="KBC"/>
    <x v="1"/>
    <x v="3"/>
    <x v="5"/>
    <n v="1"/>
    <m/>
    <m/>
    <n v="30"/>
    <n v="30"/>
    <m/>
    <m/>
    <m/>
    <m/>
    <n v="30"/>
    <n v="30"/>
    <m/>
    <m/>
    <x v="5"/>
    <x v="0"/>
    <n v="0.8571428571428571"/>
    <s v="NO"/>
    <s v="3/Jul/2017: Updated constructed shelter_x000a_2/June/2017: Updated under costruction shelter. Data source: KBC (CAR_April). The same with CAR_March._x000a_4/May/2017:Update data shelter. Data source: KBC (CAR_March)"/>
  </r>
  <r>
    <d v="2017-07-03T00:00:00"/>
    <x v="2"/>
    <s v="KBC"/>
    <x v="0"/>
    <x v="1"/>
    <x v="6"/>
    <n v="1"/>
    <m/>
    <m/>
    <n v="6"/>
    <n v="6"/>
    <m/>
    <m/>
    <m/>
    <m/>
    <n v="0"/>
    <n v="0"/>
    <m/>
    <m/>
    <x v="6"/>
    <x v="0"/>
    <n v="0"/>
    <s v="YES"/>
    <s v="3/Jul/2017: Updated shelter unit"/>
  </r>
  <r>
    <d v="2017-06-02T00:00:00"/>
    <x v="2"/>
    <s v="KBC"/>
    <x v="0"/>
    <x v="1"/>
    <x v="6"/>
    <n v="1"/>
    <m/>
    <m/>
    <n v="6"/>
    <m/>
    <n v="6"/>
    <m/>
    <m/>
    <m/>
    <n v="0"/>
    <n v="0"/>
    <m/>
    <m/>
    <x v="6"/>
    <x v="0"/>
    <n v="0"/>
    <s v="YES"/>
    <s v="2/June/2017: Updated under costruction shelter. Data source: KBC (CAR_April)_x000a_4/May/2017:Update data shelter. Data source: KBC (CAR_March)"/>
  </r>
  <r>
    <d v="2017-06-02T00:00:00"/>
    <x v="2"/>
    <s v="KBC"/>
    <x v="0"/>
    <x v="1"/>
    <x v="7"/>
    <n v="1"/>
    <m/>
    <m/>
    <n v="25"/>
    <m/>
    <n v="25"/>
    <m/>
    <m/>
    <m/>
    <n v="25"/>
    <n v="25"/>
    <m/>
    <m/>
    <x v="7"/>
    <x v="0"/>
    <n v="0.38461538461538464"/>
    <s v="NO"/>
    <s v="2/June/2017: Updated under costruction shelter. Data source: KBC (CAR_April)_x000a_4/May/2017:Updated planned shelter. Data source: KBC (CAR_March)"/>
  </r>
  <r>
    <d v="2017-06-02T00:00:00"/>
    <x v="2"/>
    <s v="KMSS"/>
    <x v="0"/>
    <x v="0"/>
    <x v="0"/>
    <n v="1"/>
    <n v="19"/>
    <n v="19"/>
    <n v="40"/>
    <m/>
    <n v="40"/>
    <m/>
    <m/>
    <m/>
    <n v="40"/>
    <n v="40"/>
    <m/>
    <m/>
    <x v="0"/>
    <x v="0"/>
    <n v="0.14184397163120568"/>
    <s v="NO"/>
    <s v="2/June/2017: Updated tent and under construction shelters data. Data source: KMSS_Myitkyina"/>
  </r>
  <r>
    <d v="2017-06-02T00:00:00"/>
    <x v="3"/>
    <s v="KBC"/>
    <x v="0"/>
    <x v="4"/>
    <x v="8"/>
    <n v="1"/>
    <m/>
    <m/>
    <n v="20"/>
    <m/>
    <n v="20"/>
    <m/>
    <m/>
    <m/>
    <n v="0"/>
    <n v="0"/>
    <m/>
    <m/>
    <x v="8"/>
    <x v="0"/>
    <n v="0"/>
    <s v="YES"/>
    <s v="2/June/2017: Updated under costruction shelter. Data source: KBC (CAR_April). The same with CAR_March._x000a_4/May/2017:Update data shelter. Data source: KBC (CAR_March)"/>
  </r>
  <r>
    <d v="2017-06-02T00:00:00"/>
    <x v="3"/>
    <s v="KBC"/>
    <x v="0"/>
    <x v="5"/>
    <x v="9"/>
    <n v="1"/>
    <m/>
    <m/>
    <n v="140"/>
    <m/>
    <n v="140"/>
    <m/>
    <m/>
    <m/>
    <n v="0"/>
    <n v="0"/>
    <m/>
    <m/>
    <x v="9"/>
    <x v="0"/>
    <n v="0"/>
    <s v="YES"/>
    <s v="2/June/2017: Updated under costruction shelter. Data source: KBC (CAR_April). The same with (CAR_March)_x000a_4/May/2017:Update data shelter. Data source: KBC (CAR_March)"/>
  </r>
  <r>
    <d v="2017-04-28T00:00:00"/>
    <x v="2"/>
    <s v="Shalom"/>
    <x v="0"/>
    <x v="2"/>
    <x v="10"/>
    <n v="1"/>
    <m/>
    <m/>
    <m/>
    <m/>
    <m/>
    <m/>
    <m/>
    <m/>
    <n v="0"/>
    <n v="0"/>
    <n v="10"/>
    <n v="10"/>
    <x v="10"/>
    <x v="0"/>
    <n v="0"/>
    <s v="NO"/>
    <m/>
  </r>
  <r>
    <d v="2017-04-28T00:00:00"/>
    <x v="2"/>
    <s v="KBC"/>
    <x v="0"/>
    <x v="2"/>
    <x v="11"/>
    <n v="1"/>
    <m/>
    <m/>
    <n v="27"/>
    <n v="27"/>
    <m/>
    <m/>
    <m/>
    <m/>
    <n v="0"/>
    <n v="0"/>
    <m/>
    <m/>
    <x v="11"/>
    <x v="1"/>
    <s v=""/>
    <s v="NO"/>
    <m/>
  </r>
  <r>
    <d v="2017-04-28T00:00:00"/>
    <x v="2"/>
    <s v="Shalom"/>
    <x v="0"/>
    <x v="0"/>
    <x v="12"/>
    <n v="1"/>
    <m/>
    <m/>
    <n v="13"/>
    <n v="13"/>
    <m/>
    <m/>
    <m/>
    <m/>
    <n v="0"/>
    <n v="0"/>
    <m/>
    <m/>
    <x v="12"/>
    <x v="0"/>
    <n v="0"/>
    <s v="YES"/>
    <m/>
  </r>
  <r>
    <d v="2017-02-24T00:00:00"/>
    <x v="2"/>
    <s v="KBC"/>
    <x v="0"/>
    <x v="2"/>
    <x v="13"/>
    <n v="1"/>
    <m/>
    <m/>
    <n v="41"/>
    <m/>
    <m/>
    <m/>
    <m/>
    <m/>
    <n v="0"/>
    <n v="0"/>
    <m/>
    <m/>
    <x v="13"/>
    <x v="0"/>
    <n v="0"/>
    <s v="NO"/>
    <m/>
  </r>
  <r>
    <d v="2017-02-14T00:00:00"/>
    <x v="2"/>
    <s v="KMSS_Lashio"/>
    <x v="1"/>
    <x v="6"/>
    <x v="14"/>
    <n v="1"/>
    <m/>
    <m/>
    <m/>
    <m/>
    <m/>
    <m/>
    <m/>
    <m/>
    <n v="0"/>
    <n v="0"/>
    <n v="30"/>
    <n v="30"/>
    <x v="14"/>
    <x v="0"/>
    <n v="0"/>
    <m/>
    <m/>
  </r>
  <r>
    <d v="2017-02-14T00:00:00"/>
    <x v="2"/>
    <s v="KMSS_Bhamo"/>
    <x v="0"/>
    <x v="5"/>
    <x v="15"/>
    <n v="1"/>
    <m/>
    <m/>
    <n v="42"/>
    <m/>
    <m/>
    <m/>
    <m/>
    <m/>
    <n v="0"/>
    <n v="0"/>
    <m/>
    <m/>
    <x v="15"/>
    <x v="0"/>
    <n v="0"/>
    <s v="YES"/>
    <m/>
  </r>
  <r>
    <d v="2017-02-14T00:00:00"/>
    <x v="2"/>
    <s v="KMSS_Bhamo"/>
    <x v="0"/>
    <x v="7"/>
    <x v="16"/>
    <n v="1"/>
    <m/>
    <m/>
    <n v="50"/>
    <m/>
    <m/>
    <m/>
    <m/>
    <m/>
    <n v="0"/>
    <n v="0"/>
    <m/>
    <m/>
    <x v="16"/>
    <x v="0"/>
    <n v="0"/>
    <s v="YES"/>
    <m/>
  </r>
  <r>
    <d v="2017-01-10T00:00:00"/>
    <x v="2"/>
    <s v="KMSS_MKN"/>
    <x v="0"/>
    <x v="8"/>
    <x v="17"/>
    <n v="1"/>
    <m/>
    <m/>
    <m/>
    <m/>
    <m/>
    <m/>
    <m/>
    <m/>
    <n v="0"/>
    <n v="0"/>
    <n v="31"/>
    <m/>
    <x v="17"/>
    <x v="0"/>
    <n v="0"/>
    <s v="NO"/>
    <m/>
  </r>
  <r>
    <d v="2017-01-10T00:00:00"/>
    <x v="2"/>
    <s v="KMSS_MKN"/>
    <x v="0"/>
    <x v="1"/>
    <x v="18"/>
    <n v="1"/>
    <m/>
    <m/>
    <m/>
    <m/>
    <m/>
    <m/>
    <m/>
    <m/>
    <n v="0"/>
    <n v="0"/>
    <n v="30"/>
    <m/>
    <x v="18"/>
    <x v="0"/>
    <n v="0"/>
    <s v="NO"/>
    <m/>
  </r>
  <r>
    <d v="2017-01-10T00:00:00"/>
    <x v="2"/>
    <s v="KMSS_MKN"/>
    <x v="0"/>
    <x v="8"/>
    <x v="19"/>
    <n v="1"/>
    <m/>
    <m/>
    <m/>
    <m/>
    <m/>
    <m/>
    <m/>
    <m/>
    <n v="0"/>
    <n v="0"/>
    <n v="10"/>
    <m/>
    <x v="19"/>
    <x v="0"/>
    <n v="0"/>
    <s v="NO"/>
    <m/>
  </r>
  <r>
    <d v="2017-01-10T00:00:00"/>
    <x v="2"/>
    <s v="KMSS_MKN"/>
    <x v="0"/>
    <x v="0"/>
    <x v="20"/>
    <n v="1"/>
    <m/>
    <m/>
    <n v="130"/>
    <n v="70"/>
    <m/>
    <m/>
    <m/>
    <m/>
    <n v="0"/>
    <n v="0"/>
    <m/>
    <m/>
    <x v="20"/>
    <x v="0"/>
    <n v="0"/>
    <s v="YES"/>
    <m/>
  </r>
  <r>
    <d v="2017-01-10T00:00:00"/>
    <x v="3"/>
    <s v="Shalom"/>
    <x v="0"/>
    <x v="1"/>
    <x v="21"/>
    <n v="1"/>
    <m/>
    <m/>
    <m/>
    <m/>
    <m/>
    <m/>
    <m/>
    <m/>
    <n v="0"/>
    <n v="0"/>
    <n v="10"/>
    <m/>
    <x v="21"/>
    <x v="0"/>
    <n v="0"/>
    <s v="NO"/>
    <m/>
  </r>
  <r>
    <d v="2017-01-10T00:00:00"/>
    <x v="3"/>
    <s v="Shalom"/>
    <x v="0"/>
    <x v="2"/>
    <x v="22"/>
    <n v="1"/>
    <m/>
    <m/>
    <m/>
    <m/>
    <m/>
    <m/>
    <m/>
    <m/>
    <n v="0"/>
    <n v="0"/>
    <n v="20"/>
    <m/>
    <x v="22"/>
    <x v="0"/>
    <n v="0"/>
    <s v="YES"/>
    <m/>
  </r>
  <r>
    <d v="2017-01-10T00:00:00"/>
    <x v="3"/>
    <s v="Shalom"/>
    <x v="0"/>
    <x v="2"/>
    <x v="23"/>
    <n v="1"/>
    <m/>
    <m/>
    <m/>
    <m/>
    <m/>
    <m/>
    <m/>
    <m/>
    <n v="0"/>
    <n v="0"/>
    <n v="5"/>
    <m/>
    <x v="23"/>
    <x v="0"/>
    <n v="0"/>
    <s v="YES"/>
    <m/>
  </r>
  <r>
    <d v="2017-01-10T00:00:00"/>
    <x v="3"/>
    <s v="Shalom"/>
    <x v="0"/>
    <x v="2"/>
    <x v="24"/>
    <n v="1"/>
    <m/>
    <m/>
    <m/>
    <m/>
    <m/>
    <m/>
    <m/>
    <m/>
    <n v="0"/>
    <n v="0"/>
    <n v="20"/>
    <m/>
    <x v="24"/>
    <x v="0"/>
    <n v="0"/>
    <s v="YES"/>
    <m/>
  </r>
  <r>
    <d v="2017-01-10T00:00:00"/>
    <x v="3"/>
    <s v="Shalom"/>
    <x v="0"/>
    <x v="0"/>
    <x v="25"/>
    <n v="1"/>
    <m/>
    <m/>
    <n v="10"/>
    <m/>
    <m/>
    <m/>
    <m/>
    <m/>
    <n v="0"/>
    <n v="0"/>
    <n v="20"/>
    <m/>
    <x v="25"/>
    <x v="0"/>
    <n v="0"/>
    <s v="YES"/>
    <m/>
  </r>
  <r>
    <d v="2017-01-10T00:00:00"/>
    <x v="3"/>
    <s v="Shalom"/>
    <x v="0"/>
    <x v="8"/>
    <x v="26"/>
    <n v="1"/>
    <m/>
    <m/>
    <n v="20"/>
    <n v="10"/>
    <m/>
    <m/>
    <m/>
    <m/>
    <n v="0"/>
    <n v="0"/>
    <n v="20"/>
    <m/>
    <x v="26"/>
    <x v="0"/>
    <n v="0"/>
    <s v="YES"/>
    <s v="2/June/2017: Updated Shelter built. Data source: Shalom"/>
  </r>
  <r>
    <d v="2017-01-10T00:00:00"/>
    <x v="3"/>
    <s v="Shalom"/>
    <x v="0"/>
    <x v="8"/>
    <x v="27"/>
    <n v="1"/>
    <m/>
    <m/>
    <n v="5"/>
    <m/>
    <m/>
    <m/>
    <m/>
    <m/>
    <n v="0"/>
    <n v="0"/>
    <n v="30"/>
    <m/>
    <x v="27"/>
    <x v="0"/>
    <n v="0"/>
    <s v="YES"/>
    <m/>
  </r>
  <r>
    <d v="2017-01-10T00:00:00"/>
    <x v="3"/>
    <s v="Shalom"/>
    <x v="0"/>
    <x v="2"/>
    <x v="10"/>
    <n v="1"/>
    <m/>
    <m/>
    <n v="4"/>
    <m/>
    <m/>
    <m/>
    <m/>
    <m/>
    <n v="0"/>
    <n v="0"/>
    <m/>
    <m/>
    <x v="10"/>
    <x v="0"/>
    <n v="0"/>
    <s v="NO"/>
    <m/>
  </r>
  <r>
    <d v="2017-01-10T00:00:00"/>
    <x v="3"/>
    <s v="Shalom"/>
    <x v="0"/>
    <x v="2"/>
    <x v="28"/>
    <n v="1"/>
    <m/>
    <m/>
    <n v="5"/>
    <m/>
    <m/>
    <m/>
    <m/>
    <m/>
    <n v="0"/>
    <n v="0"/>
    <m/>
    <m/>
    <x v="28"/>
    <x v="0"/>
    <n v="0"/>
    <s v="NO"/>
    <m/>
  </r>
  <r>
    <d v="2017-01-10T00:00:00"/>
    <x v="3"/>
    <s v="Shalom"/>
    <x v="0"/>
    <x v="5"/>
    <x v="29"/>
    <n v="1"/>
    <m/>
    <m/>
    <n v="5"/>
    <m/>
    <m/>
    <m/>
    <m/>
    <m/>
    <n v="0"/>
    <n v="0"/>
    <m/>
    <m/>
    <x v="29"/>
    <x v="0"/>
    <n v="0"/>
    <s v="YES"/>
    <m/>
  </r>
  <r>
    <d v="2016-10-21T00:00:00"/>
    <x v="2"/>
    <s v="KMSS_Bhamo"/>
    <x v="0"/>
    <x v="4"/>
    <x v="30"/>
    <n v="1"/>
    <m/>
    <m/>
    <m/>
    <m/>
    <m/>
    <m/>
    <m/>
    <m/>
    <n v="0"/>
    <n v="0"/>
    <n v="30"/>
    <m/>
    <x v="30"/>
    <x v="0"/>
    <n v="0"/>
    <s v="NO"/>
    <m/>
  </r>
  <r>
    <d v="2016-10-21T00:00:00"/>
    <x v="2"/>
    <s v="Shalom"/>
    <x v="0"/>
    <x v="8"/>
    <x v="26"/>
    <m/>
    <m/>
    <m/>
    <m/>
    <m/>
    <m/>
    <m/>
    <m/>
    <m/>
    <n v="0"/>
    <n v="0"/>
    <n v="30"/>
    <m/>
    <x v="26"/>
    <x v="0"/>
    <n v="0"/>
    <s v="NO"/>
    <m/>
  </r>
  <r>
    <d v="2016-10-21T00:00:00"/>
    <x v="2"/>
    <s v="Shalom"/>
    <x v="0"/>
    <x v="1"/>
    <x v="31"/>
    <m/>
    <m/>
    <m/>
    <m/>
    <m/>
    <m/>
    <m/>
    <m/>
    <m/>
    <n v="0"/>
    <n v="0"/>
    <n v="10"/>
    <m/>
    <x v="31"/>
    <x v="0"/>
    <n v="0"/>
    <s v="NO"/>
    <m/>
  </r>
  <r>
    <d v="2016-10-21T00:00:00"/>
    <x v="2"/>
    <s v="Shalom"/>
    <x v="0"/>
    <x v="8"/>
    <x v="27"/>
    <n v="1"/>
    <m/>
    <m/>
    <m/>
    <m/>
    <m/>
    <m/>
    <m/>
    <m/>
    <n v="0"/>
    <n v="0"/>
    <n v="10"/>
    <m/>
    <x v="27"/>
    <x v="0"/>
    <n v="0"/>
    <s v="NO"/>
    <m/>
  </r>
  <r>
    <d v="2016-10-21T00:00:00"/>
    <x v="2"/>
    <s v="KMSS_Bhamo"/>
    <x v="0"/>
    <x v="4"/>
    <x v="32"/>
    <n v="1"/>
    <m/>
    <m/>
    <n v="40"/>
    <n v="40"/>
    <m/>
    <m/>
    <m/>
    <m/>
    <n v="40"/>
    <n v="40"/>
    <m/>
    <m/>
    <x v="32"/>
    <x v="0"/>
    <n v="7.3126142595978064E-2"/>
    <s v="NO"/>
    <m/>
  </r>
  <r>
    <d v="2016-09-09T00:00:00"/>
    <x v="2"/>
    <s v="KBC"/>
    <x v="0"/>
    <x v="7"/>
    <x v="33"/>
    <n v="1"/>
    <m/>
    <m/>
    <m/>
    <m/>
    <m/>
    <m/>
    <m/>
    <m/>
    <n v="0"/>
    <n v="0"/>
    <n v="45"/>
    <n v="0"/>
    <x v="33"/>
    <x v="0"/>
    <n v="0"/>
    <s v="YES"/>
    <m/>
  </r>
  <r>
    <d v="2016-09-09T00:00:00"/>
    <x v="2"/>
    <s v="KBC"/>
    <x v="0"/>
    <x v="7"/>
    <x v="34"/>
    <n v="1"/>
    <m/>
    <m/>
    <n v="10"/>
    <m/>
    <m/>
    <m/>
    <m/>
    <m/>
    <n v="0"/>
    <n v="0"/>
    <m/>
    <m/>
    <x v="34"/>
    <x v="0"/>
    <n v="0"/>
    <s v="YES"/>
    <m/>
  </r>
  <r>
    <d v="2016-09-09T00:00:00"/>
    <x v="2"/>
    <s v="KBC"/>
    <x v="0"/>
    <x v="5"/>
    <x v="9"/>
    <n v="1"/>
    <m/>
    <m/>
    <n v="5"/>
    <n v="0"/>
    <m/>
    <m/>
    <m/>
    <m/>
    <n v="0"/>
    <n v="0"/>
    <m/>
    <m/>
    <x v="9"/>
    <x v="0"/>
    <n v="0"/>
    <s v="YES"/>
    <m/>
  </r>
  <r>
    <d v="2016-09-09T00:00:00"/>
    <x v="0"/>
    <s v="KBC"/>
    <x v="0"/>
    <x v="7"/>
    <x v="35"/>
    <n v="1"/>
    <m/>
    <m/>
    <n v="41"/>
    <m/>
    <m/>
    <m/>
    <m/>
    <m/>
    <n v="0"/>
    <n v="0"/>
    <m/>
    <m/>
    <x v="35"/>
    <x v="0"/>
    <n v="0"/>
    <s v="YES"/>
    <s v="Implementing with DRC"/>
  </r>
  <r>
    <d v="2016-09-01T00:00:00"/>
    <x v="2"/>
    <s v="KMSS-LSO"/>
    <x v="1"/>
    <x v="6"/>
    <x v="14"/>
    <n v="1"/>
    <n v="30"/>
    <m/>
    <m/>
    <m/>
    <m/>
    <m/>
    <m/>
    <m/>
    <n v="0"/>
    <n v="0"/>
    <m/>
    <m/>
    <x v="14"/>
    <x v="0"/>
    <n v="0"/>
    <s v="NO"/>
    <m/>
  </r>
  <r>
    <d v="2016-09-01T00:00:00"/>
    <x v="2"/>
    <s v="KMSS-LSO"/>
    <x v="1"/>
    <x v="9"/>
    <x v="36"/>
    <n v="1"/>
    <n v="20"/>
    <m/>
    <m/>
    <m/>
    <m/>
    <m/>
    <m/>
    <m/>
    <n v="0"/>
    <n v="0"/>
    <m/>
    <m/>
    <x v="36"/>
    <x v="0"/>
    <n v="0"/>
    <s v="NO"/>
    <m/>
  </r>
  <r>
    <d v="2016-07-20T00:00:00"/>
    <x v="2"/>
    <s v="Shalom"/>
    <x v="0"/>
    <x v="8"/>
    <x v="27"/>
    <m/>
    <m/>
    <m/>
    <m/>
    <m/>
    <m/>
    <m/>
    <m/>
    <m/>
    <n v="0"/>
    <n v="0"/>
    <n v="10"/>
    <m/>
    <x v="27"/>
    <x v="0"/>
    <n v="0"/>
    <s v="NO"/>
    <m/>
  </r>
  <r>
    <d v="2016-07-18T00:00:00"/>
    <x v="4"/>
    <s v="KBC"/>
    <x v="0"/>
    <x v="0"/>
    <x v="37"/>
    <n v="1"/>
    <m/>
    <m/>
    <m/>
    <m/>
    <m/>
    <m/>
    <m/>
    <m/>
    <n v="0"/>
    <n v="0"/>
    <n v="18"/>
    <n v="18"/>
    <x v="37"/>
    <x v="0"/>
    <n v="0"/>
    <s v="NO"/>
    <m/>
  </r>
  <r>
    <d v="2016-07-18T00:00:00"/>
    <x v="4"/>
    <s v="KBC"/>
    <x v="0"/>
    <x v="8"/>
    <x v="38"/>
    <n v="1"/>
    <m/>
    <m/>
    <m/>
    <m/>
    <m/>
    <m/>
    <m/>
    <m/>
    <n v="0"/>
    <n v="0"/>
    <n v="51"/>
    <n v="51"/>
    <x v="38"/>
    <x v="0"/>
    <n v="0"/>
    <s v="NO"/>
    <m/>
  </r>
  <r>
    <d v="2016-07-18T00:00:00"/>
    <x v="4"/>
    <s v="KBC"/>
    <x v="0"/>
    <x v="0"/>
    <x v="39"/>
    <n v="1"/>
    <m/>
    <m/>
    <m/>
    <m/>
    <m/>
    <m/>
    <m/>
    <m/>
    <n v="0"/>
    <n v="0"/>
    <n v="32"/>
    <n v="32"/>
    <x v="39"/>
    <x v="0"/>
    <n v="0"/>
    <s v="NO"/>
    <m/>
  </r>
  <r>
    <d v="2016-07-18T00:00:00"/>
    <x v="2"/>
    <s v="KBC"/>
    <x v="0"/>
    <x v="5"/>
    <x v="9"/>
    <n v="1"/>
    <m/>
    <m/>
    <m/>
    <m/>
    <m/>
    <m/>
    <m/>
    <m/>
    <n v="0"/>
    <n v="0"/>
    <n v="20"/>
    <n v="30"/>
    <x v="9"/>
    <x v="0"/>
    <n v="0"/>
    <s v="NO"/>
    <m/>
  </r>
  <r>
    <d v="2016-07-18T00:00:00"/>
    <x v="4"/>
    <s v="KBC"/>
    <x v="0"/>
    <x v="0"/>
    <x v="40"/>
    <n v="1"/>
    <m/>
    <m/>
    <m/>
    <m/>
    <m/>
    <m/>
    <m/>
    <m/>
    <n v="0"/>
    <n v="0"/>
    <n v="5"/>
    <n v="5"/>
    <x v="40"/>
    <x v="0"/>
    <n v="0"/>
    <s v="NO"/>
    <m/>
  </r>
  <r>
    <d v="2016-07-18T00:00:00"/>
    <x v="4"/>
    <s v="KBC"/>
    <x v="0"/>
    <x v="0"/>
    <x v="41"/>
    <n v="1"/>
    <m/>
    <m/>
    <m/>
    <m/>
    <m/>
    <m/>
    <m/>
    <m/>
    <n v="0"/>
    <n v="0"/>
    <n v="40"/>
    <n v="40"/>
    <x v="41"/>
    <x v="1"/>
    <s v=""/>
    <s v="NO"/>
    <m/>
  </r>
  <r>
    <d v="2016-07-14T00:00:00"/>
    <x v="2"/>
    <s v="KMSS"/>
    <x v="0"/>
    <x v="7"/>
    <x v="42"/>
    <n v="1"/>
    <m/>
    <m/>
    <n v="42"/>
    <n v="42"/>
    <m/>
    <m/>
    <m/>
    <m/>
    <n v="0"/>
    <n v="0"/>
    <m/>
    <m/>
    <x v="42"/>
    <x v="0"/>
    <n v="0"/>
    <s v="YES"/>
    <s v="21 twin shelters = 42 units"/>
  </r>
  <r>
    <d v="2016-05-12T00:00:00"/>
    <x v="2"/>
    <s v="KBC"/>
    <x v="0"/>
    <x v="1"/>
    <x v="43"/>
    <n v="1"/>
    <m/>
    <m/>
    <m/>
    <m/>
    <m/>
    <m/>
    <m/>
    <m/>
    <n v="0"/>
    <n v="0"/>
    <n v="10"/>
    <m/>
    <x v="43"/>
    <x v="0"/>
    <n v="0"/>
    <s v="NO"/>
    <m/>
  </r>
  <r>
    <d v="2016-05-12T00:00:00"/>
    <x v="2"/>
    <s v="KBC"/>
    <x v="0"/>
    <x v="10"/>
    <x v="44"/>
    <n v="1"/>
    <m/>
    <m/>
    <m/>
    <m/>
    <m/>
    <m/>
    <m/>
    <m/>
    <n v="0"/>
    <n v="0"/>
    <n v="2"/>
    <m/>
    <x v="44"/>
    <x v="0"/>
    <n v="0"/>
    <s v="NO"/>
    <m/>
  </r>
  <r>
    <d v="2016-05-12T00:00:00"/>
    <x v="2"/>
    <s v="KBC"/>
    <x v="0"/>
    <x v="0"/>
    <x v="45"/>
    <n v="1"/>
    <m/>
    <m/>
    <m/>
    <m/>
    <m/>
    <m/>
    <m/>
    <m/>
    <n v="0"/>
    <n v="0"/>
    <n v="30"/>
    <m/>
    <x v="45"/>
    <x v="0"/>
    <n v="0"/>
    <s v="NO"/>
    <m/>
  </r>
  <r>
    <d v="2016-05-12T00:00:00"/>
    <x v="2"/>
    <s v="KBC"/>
    <x v="0"/>
    <x v="0"/>
    <x v="46"/>
    <n v="1"/>
    <m/>
    <m/>
    <m/>
    <m/>
    <m/>
    <m/>
    <m/>
    <m/>
    <n v="0"/>
    <n v="0"/>
    <n v="20"/>
    <m/>
    <x v="46"/>
    <x v="0"/>
    <n v="0"/>
    <s v="NO"/>
    <m/>
  </r>
  <r>
    <d v="2016-05-12T00:00:00"/>
    <x v="2"/>
    <s v="KBC"/>
    <x v="0"/>
    <x v="1"/>
    <x v="47"/>
    <n v="1"/>
    <m/>
    <m/>
    <m/>
    <m/>
    <m/>
    <m/>
    <m/>
    <m/>
    <n v="0"/>
    <n v="0"/>
    <n v="10"/>
    <m/>
    <x v="47"/>
    <x v="0"/>
    <n v="0"/>
    <s v="NO"/>
    <m/>
  </r>
  <r>
    <d v="2016-05-12T00:00:00"/>
    <x v="2"/>
    <s v="KBC"/>
    <x v="0"/>
    <x v="1"/>
    <x v="48"/>
    <n v="1"/>
    <m/>
    <m/>
    <m/>
    <m/>
    <m/>
    <m/>
    <m/>
    <m/>
    <n v="0"/>
    <n v="0"/>
    <n v="5"/>
    <m/>
    <x v="48"/>
    <x v="0"/>
    <n v="0"/>
    <s v="NO"/>
    <m/>
  </r>
  <r>
    <d v="2016-05-12T00:00:00"/>
    <x v="2"/>
    <s v="KBC"/>
    <x v="0"/>
    <x v="1"/>
    <x v="49"/>
    <n v="1"/>
    <m/>
    <m/>
    <m/>
    <m/>
    <m/>
    <m/>
    <m/>
    <m/>
    <n v="0"/>
    <n v="0"/>
    <n v="3"/>
    <m/>
    <x v="49"/>
    <x v="0"/>
    <n v="0"/>
    <s v="NO"/>
    <m/>
  </r>
  <r>
    <d v="2016-05-12T00:00:00"/>
    <x v="2"/>
    <s v="KBC"/>
    <x v="0"/>
    <x v="0"/>
    <x v="41"/>
    <n v="1"/>
    <m/>
    <m/>
    <m/>
    <m/>
    <m/>
    <m/>
    <m/>
    <m/>
    <n v="0"/>
    <n v="0"/>
    <n v="40"/>
    <m/>
    <x v="41"/>
    <x v="1"/>
    <s v=""/>
    <s v="NO"/>
    <m/>
  </r>
  <r>
    <d v="2016-05-12T00:00:00"/>
    <x v="2"/>
    <s v="KBC"/>
    <x v="0"/>
    <x v="4"/>
    <x v="50"/>
    <n v="1"/>
    <m/>
    <m/>
    <n v="85"/>
    <n v="85"/>
    <m/>
    <m/>
    <m/>
    <m/>
    <n v="85"/>
    <n v="85"/>
    <m/>
    <m/>
    <x v="50"/>
    <x v="0"/>
    <n v="0.21091811414392059"/>
    <s v="NO"/>
    <m/>
  </r>
  <r>
    <d v="2016-05-10T00:00:00"/>
    <x v="0"/>
    <s v="DRC"/>
    <x v="0"/>
    <x v="7"/>
    <x v="51"/>
    <n v="1"/>
    <m/>
    <m/>
    <n v="170"/>
    <n v="170"/>
    <m/>
    <m/>
    <m/>
    <m/>
    <n v="170"/>
    <n v="170"/>
    <m/>
    <m/>
    <x v="51"/>
    <x v="0"/>
    <n v="0.47486033519553073"/>
    <s v="NO"/>
    <m/>
  </r>
  <r>
    <d v="2016-05-10T00:00:00"/>
    <x v="0"/>
    <s v="KMSS"/>
    <x v="0"/>
    <x v="0"/>
    <x v="52"/>
    <n v="1"/>
    <m/>
    <m/>
    <n v="60"/>
    <n v="65"/>
    <m/>
    <m/>
    <m/>
    <m/>
    <n v="65"/>
    <n v="65"/>
    <m/>
    <m/>
    <x v="52"/>
    <x v="0"/>
    <n v="0.65"/>
    <s v="NO"/>
    <m/>
  </r>
  <r>
    <d v="2016-02-22T00:00:00"/>
    <x v="0"/>
    <m/>
    <x v="0"/>
    <x v="7"/>
    <x v="53"/>
    <n v="1"/>
    <m/>
    <m/>
    <n v="118"/>
    <n v="118"/>
    <m/>
    <m/>
    <m/>
    <m/>
    <n v="0"/>
    <n v="0"/>
    <m/>
    <m/>
    <x v="53"/>
    <x v="0"/>
    <n v="0"/>
    <s v="YES"/>
    <m/>
  </r>
  <r>
    <d v="2016-02-22T00:00:00"/>
    <x v="0"/>
    <m/>
    <x v="0"/>
    <x v="7"/>
    <x v="51"/>
    <n v="1"/>
    <m/>
    <m/>
    <n v="170"/>
    <n v="170"/>
    <m/>
    <m/>
    <m/>
    <m/>
    <n v="0"/>
    <n v="0"/>
    <m/>
    <m/>
    <x v="51"/>
    <x v="0"/>
    <n v="0"/>
    <s v="YES"/>
    <m/>
  </r>
  <r>
    <d v="2016-02-22T00:00:00"/>
    <x v="0"/>
    <m/>
    <x v="0"/>
    <x v="7"/>
    <x v="16"/>
    <n v="1"/>
    <m/>
    <m/>
    <n v="254"/>
    <n v="254"/>
    <m/>
    <m/>
    <m/>
    <m/>
    <n v="0"/>
    <n v="0"/>
    <m/>
    <m/>
    <x v="16"/>
    <x v="0"/>
    <n v="0"/>
    <s v="YES"/>
    <m/>
  </r>
  <r>
    <d v="2016-02-22T00:00:00"/>
    <x v="0"/>
    <m/>
    <x v="0"/>
    <x v="0"/>
    <x v="52"/>
    <n v="1"/>
    <m/>
    <m/>
    <n v="66"/>
    <n v="66"/>
    <m/>
    <m/>
    <m/>
    <m/>
    <n v="0"/>
    <n v="0"/>
    <m/>
    <m/>
    <x v="52"/>
    <x v="0"/>
    <n v="0"/>
    <s v="YES"/>
    <m/>
  </r>
  <r>
    <d v="2016-02-22T00:00:00"/>
    <x v="5"/>
    <m/>
    <x v="0"/>
    <x v="11"/>
    <x v="54"/>
    <n v="1"/>
    <m/>
    <m/>
    <n v="40"/>
    <n v="40"/>
    <m/>
    <m/>
    <m/>
    <m/>
    <n v="28"/>
    <n v="40"/>
    <m/>
    <m/>
    <x v="54"/>
    <x v="0"/>
    <n v="1"/>
    <s v="NO"/>
    <m/>
  </r>
  <r>
    <d v="2016-02-16T00:00:00"/>
    <x v="2"/>
    <s v="KBC"/>
    <x v="0"/>
    <x v="1"/>
    <x v="6"/>
    <n v="1"/>
    <m/>
    <m/>
    <m/>
    <m/>
    <m/>
    <m/>
    <m/>
    <m/>
    <n v="0"/>
    <n v="0"/>
    <n v="13"/>
    <n v="13"/>
    <x v="6"/>
    <x v="0"/>
    <n v="0"/>
    <s v="NO"/>
    <m/>
  </r>
  <r>
    <d v="2016-02-16T00:00:00"/>
    <x v="2"/>
    <s v="KBC"/>
    <x v="0"/>
    <x v="1"/>
    <x v="55"/>
    <n v="1"/>
    <m/>
    <m/>
    <m/>
    <m/>
    <m/>
    <m/>
    <m/>
    <m/>
    <n v="0"/>
    <n v="0"/>
    <n v="5"/>
    <n v="5"/>
    <x v="55"/>
    <x v="0"/>
    <n v="0"/>
    <s v="NO"/>
    <m/>
  </r>
  <r>
    <d v="2016-02-16T00:00:00"/>
    <x v="2"/>
    <s v="KMSS"/>
    <x v="0"/>
    <x v="7"/>
    <x v="56"/>
    <n v="1"/>
    <m/>
    <m/>
    <m/>
    <m/>
    <m/>
    <m/>
    <m/>
    <m/>
    <n v="0"/>
    <n v="0"/>
    <n v="338"/>
    <n v="338"/>
    <x v="56"/>
    <x v="0"/>
    <n v="0"/>
    <s v="NO"/>
    <m/>
  </r>
  <r>
    <d v="2016-02-16T00:00:00"/>
    <x v="2"/>
    <s v="KMSS"/>
    <x v="0"/>
    <x v="7"/>
    <x v="53"/>
    <n v="1"/>
    <m/>
    <m/>
    <m/>
    <m/>
    <m/>
    <m/>
    <m/>
    <m/>
    <n v="0"/>
    <n v="0"/>
    <n v="220"/>
    <n v="220"/>
    <x v="53"/>
    <x v="0"/>
    <n v="0"/>
    <s v="NO"/>
    <m/>
  </r>
  <r>
    <d v="2016-02-16T00:00:00"/>
    <x v="2"/>
    <s v="KMSS"/>
    <x v="0"/>
    <x v="2"/>
    <x v="57"/>
    <n v="1"/>
    <m/>
    <m/>
    <n v="12"/>
    <n v="12"/>
    <m/>
    <m/>
    <m/>
    <m/>
    <n v="12"/>
    <n v="12"/>
    <m/>
    <m/>
    <x v="57"/>
    <x v="0"/>
    <n v="0.16666666666666666"/>
    <s v="NO"/>
    <m/>
  </r>
  <r>
    <d v="2016-02-16T00:00:00"/>
    <x v="2"/>
    <s v="Shalom"/>
    <x v="0"/>
    <x v="2"/>
    <x v="22"/>
    <n v="1"/>
    <m/>
    <m/>
    <n v="15"/>
    <n v="15"/>
    <m/>
    <m/>
    <m/>
    <m/>
    <n v="15"/>
    <n v="15"/>
    <m/>
    <m/>
    <x v="22"/>
    <x v="0"/>
    <n v="0.22727272727272727"/>
    <s v="NO"/>
    <m/>
  </r>
  <r>
    <d v="2016-02-16T00:00:00"/>
    <x v="2"/>
    <s v="KMSS"/>
    <x v="0"/>
    <x v="7"/>
    <x v="42"/>
    <n v="1"/>
    <m/>
    <m/>
    <n v="82"/>
    <n v="82"/>
    <m/>
    <m/>
    <m/>
    <m/>
    <n v="82"/>
    <n v="82"/>
    <m/>
    <m/>
    <x v="42"/>
    <x v="0"/>
    <n v="0.79611650485436891"/>
    <s v="NO"/>
    <m/>
  </r>
  <r>
    <d v="2016-02-16T00:00:00"/>
    <x v="2"/>
    <s v="KBC"/>
    <x v="0"/>
    <x v="1"/>
    <x v="58"/>
    <n v="1"/>
    <m/>
    <m/>
    <m/>
    <m/>
    <m/>
    <m/>
    <m/>
    <m/>
    <n v="0"/>
    <n v="0"/>
    <n v="30"/>
    <n v="30"/>
    <x v="58"/>
    <x v="0"/>
    <n v="0"/>
    <s v="NO"/>
    <m/>
  </r>
  <r>
    <d v="2016-02-16T00:00:00"/>
    <x v="2"/>
    <s v="KBC"/>
    <x v="0"/>
    <x v="1"/>
    <x v="59"/>
    <n v="1"/>
    <m/>
    <m/>
    <m/>
    <m/>
    <m/>
    <m/>
    <m/>
    <m/>
    <n v="0"/>
    <n v="0"/>
    <n v="46"/>
    <n v="46"/>
    <x v="59"/>
    <x v="0"/>
    <n v="0"/>
    <s v="NO"/>
    <m/>
  </r>
  <r>
    <d v="2016-02-16T00:00:00"/>
    <x v="2"/>
    <s v="KBC"/>
    <x v="0"/>
    <x v="1"/>
    <x v="47"/>
    <n v="1"/>
    <m/>
    <m/>
    <m/>
    <m/>
    <m/>
    <m/>
    <m/>
    <m/>
    <n v="0"/>
    <n v="0"/>
    <n v="37"/>
    <n v="37"/>
    <x v="47"/>
    <x v="0"/>
    <n v="0"/>
    <s v="NO"/>
    <m/>
  </r>
  <r>
    <d v="2016-02-16T00:00:00"/>
    <x v="2"/>
    <s v="KBC"/>
    <x v="0"/>
    <x v="0"/>
    <x v="41"/>
    <n v="1"/>
    <m/>
    <m/>
    <m/>
    <m/>
    <m/>
    <m/>
    <m/>
    <m/>
    <n v="0"/>
    <n v="0"/>
    <n v="8"/>
    <n v="8"/>
    <x v="41"/>
    <x v="1"/>
    <s v=""/>
    <s v="NO"/>
    <m/>
  </r>
  <r>
    <d v="2016-02-16T00:00:00"/>
    <x v="2"/>
    <s v="Shalom"/>
    <x v="0"/>
    <x v="5"/>
    <x v="29"/>
    <n v="1"/>
    <m/>
    <m/>
    <n v="15"/>
    <n v="15"/>
    <m/>
    <m/>
    <m/>
    <m/>
    <n v="15"/>
    <n v="15"/>
    <m/>
    <m/>
    <x v="29"/>
    <x v="0"/>
    <n v="0.11538461538461539"/>
    <s v="NO"/>
    <m/>
  </r>
  <r>
    <d v="2016-02-16T00:00:00"/>
    <x v="5"/>
    <m/>
    <x v="0"/>
    <x v="10"/>
    <x v="44"/>
    <n v="1"/>
    <m/>
    <m/>
    <n v="60"/>
    <n v="60"/>
    <m/>
    <m/>
    <m/>
    <m/>
    <n v="60"/>
    <n v="60"/>
    <m/>
    <m/>
    <x v="44"/>
    <x v="0"/>
    <n v="0.98360655737704916"/>
    <s v="NO"/>
    <m/>
  </r>
  <r>
    <d v="2016-02-16T00:00:00"/>
    <x v="6"/>
    <m/>
    <x v="1"/>
    <x v="9"/>
    <x v="60"/>
    <n v="1"/>
    <m/>
    <m/>
    <n v="25"/>
    <n v="25"/>
    <m/>
    <m/>
    <m/>
    <m/>
    <n v="25"/>
    <n v="25"/>
    <m/>
    <m/>
    <x v="60"/>
    <x v="0"/>
    <n v="0.69444444444444442"/>
    <s v="NO"/>
    <m/>
  </r>
  <r>
    <d v="2016-02-16T00:00:00"/>
    <x v="6"/>
    <m/>
    <x v="1"/>
    <x v="12"/>
    <x v="61"/>
    <n v="1"/>
    <m/>
    <m/>
    <n v="9"/>
    <n v="9"/>
    <m/>
    <m/>
    <m/>
    <m/>
    <n v="9"/>
    <n v="9"/>
    <m/>
    <m/>
    <x v="61"/>
    <x v="0"/>
    <n v="1"/>
    <s v="NO"/>
    <m/>
  </r>
  <r>
    <d v="2016-02-16T00:00:00"/>
    <x v="6"/>
    <m/>
    <x v="1"/>
    <x v="13"/>
    <x v="62"/>
    <n v="1"/>
    <m/>
    <m/>
    <n v="25"/>
    <n v="25"/>
    <m/>
    <m/>
    <m/>
    <m/>
    <n v="25"/>
    <n v="25"/>
    <m/>
    <m/>
    <x v="62"/>
    <x v="0"/>
    <n v="0.73529411764705888"/>
    <s v="NO"/>
    <m/>
  </r>
  <r>
    <d v="2016-02-16T00:00:00"/>
    <x v="6"/>
    <m/>
    <x v="1"/>
    <x v="9"/>
    <x v="63"/>
    <n v="1"/>
    <m/>
    <m/>
    <n v="36"/>
    <n v="36"/>
    <m/>
    <m/>
    <m/>
    <m/>
    <n v="36"/>
    <n v="36"/>
    <m/>
    <m/>
    <x v="63"/>
    <x v="0"/>
    <n v="0.3"/>
    <s v="NO"/>
    <m/>
  </r>
  <r>
    <d v="2016-02-16T00:00:00"/>
    <x v="2"/>
    <s v="KMSS"/>
    <x v="0"/>
    <x v="1"/>
    <x v="2"/>
    <n v="1"/>
    <m/>
    <m/>
    <n v="14"/>
    <n v="14"/>
    <m/>
    <m/>
    <m/>
    <m/>
    <n v="14"/>
    <n v="14"/>
    <m/>
    <m/>
    <x v="2"/>
    <x v="0"/>
    <n v="0.2857142857142857"/>
    <s v="NO"/>
    <m/>
  </r>
  <r>
    <d v="2016-02-16T00:00:00"/>
    <x v="5"/>
    <m/>
    <x v="0"/>
    <x v="0"/>
    <x v="40"/>
    <n v="1"/>
    <m/>
    <m/>
    <n v="73"/>
    <n v="73"/>
    <m/>
    <m/>
    <m/>
    <m/>
    <n v="73"/>
    <n v="73"/>
    <m/>
    <m/>
    <x v="40"/>
    <x v="0"/>
    <n v="0.39673913043478259"/>
    <s v="NO"/>
    <m/>
  </r>
  <r>
    <d v="2016-02-16T00:00:00"/>
    <x v="2"/>
    <s v="Shalom"/>
    <x v="0"/>
    <x v="1"/>
    <x v="64"/>
    <n v="1"/>
    <m/>
    <m/>
    <n v="10"/>
    <n v="10"/>
    <m/>
    <m/>
    <m/>
    <m/>
    <n v="10"/>
    <n v="10"/>
    <m/>
    <m/>
    <x v="64"/>
    <x v="0"/>
    <n v="0.18518518518518517"/>
    <s v="NO"/>
    <m/>
  </r>
  <r>
    <d v="2016-02-16T00:00:00"/>
    <x v="6"/>
    <m/>
    <x v="1"/>
    <x v="6"/>
    <x v="65"/>
    <n v="1"/>
    <m/>
    <m/>
    <n v="16"/>
    <n v="16"/>
    <m/>
    <m/>
    <m/>
    <m/>
    <n v="16"/>
    <n v="16"/>
    <m/>
    <m/>
    <x v="65"/>
    <x v="0"/>
    <n v="8.6021505376344093E-2"/>
    <s v="NO"/>
    <m/>
  </r>
  <r>
    <d v="2014-12-30T00:00:00"/>
    <x v="2"/>
    <s v="KBC"/>
    <x v="0"/>
    <x v="0"/>
    <x v="40"/>
    <n v="1"/>
    <n v="90"/>
    <m/>
    <m/>
    <m/>
    <m/>
    <m/>
    <m/>
    <m/>
    <n v="0"/>
    <n v="0"/>
    <m/>
    <m/>
    <x v="40"/>
    <x v="0"/>
    <n v="0"/>
    <s v="NO"/>
    <m/>
  </r>
  <r>
    <d v="2014-12-01T00:00:00"/>
    <x v="2"/>
    <s v="KBC"/>
    <x v="0"/>
    <x v="4"/>
    <x v="66"/>
    <n v="1"/>
    <m/>
    <m/>
    <n v="90"/>
    <n v="90"/>
    <m/>
    <m/>
    <m/>
    <m/>
    <n v="90"/>
    <n v="90"/>
    <m/>
    <m/>
    <x v="66"/>
    <x v="0"/>
    <n v="0.23316062176165803"/>
    <s v="NO"/>
    <m/>
  </r>
  <r>
    <d v="2014-12-01T00:00:00"/>
    <x v="2"/>
    <s v="KBC"/>
    <x v="0"/>
    <x v="4"/>
    <x v="67"/>
    <n v="1"/>
    <m/>
    <m/>
    <n v="120"/>
    <n v="120"/>
    <m/>
    <m/>
    <m/>
    <m/>
    <n v="0"/>
    <n v="0"/>
    <m/>
    <m/>
    <x v="67"/>
    <x v="1"/>
    <s v=""/>
    <s v="NO"/>
    <m/>
  </r>
  <r>
    <d v="2014-12-01T00:00:00"/>
    <x v="2"/>
    <s v="KBC"/>
    <x v="0"/>
    <x v="4"/>
    <x v="32"/>
    <n v="1"/>
    <m/>
    <m/>
    <n v="118"/>
    <n v="118"/>
    <m/>
    <m/>
    <m/>
    <m/>
    <n v="118"/>
    <n v="118"/>
    <m/>
    <m/>
    <x v="32"/>
    <x v="0"/>
    <n v="0.21572212065813529"/>
    <s v="NO"/>
    <m/>
  </r>
  <r>
    <d v="2014-12-01T00:00:00"/>
    <x v="2"/>
    <s v="Shalom"/>
    <x v="0"/>
    <x v="2"/>
    <x v="22"/>
    <n v="1"/>
    <m/>
    <m/>
    <n v="15"/>
    <n v="15"/>
    <m/>
    <m/>
    <m/>
    <m/>
    <n v="15"/>
    <n v="15"/>
    <m/>
    <m/>
    <x v="22"/>
    <x v="0"/>
    <n v="0.22727272727272727"/>
    <s v="NO"/>
    <m/>
  </r>
  <r>
    <d v="2014-12-01T00:00:00"/>
    <x v="2"/>
    <s v="Shalom"/>
    <x v="0"/>
    <x v="2"/>
    <x v="10"/>
    <n v="1"/>
    <m/>
    <m/>
    <n v="5"/>
    <n v="5"/>
    <m/>
    <m/>
    <m/>
    <m/>
    <n v="5"/>
    <n v="5"/>
    <m/>
    <m/>
    <x v="10"/>
    <x v="0"/>
    <n v="0.35714285714285715"/>
    <s v="NO"/>
    <m/>
  </r>
  <r>
    <d v="2014-12-01T00:00:00"/>
    <x v="2"/>
    <s v="Shalom"/>
    <x v="0"/>
    <x v="2"/>
    <x v="68"/>
    <n v="1"/>
    <m/>
    <m/>
    <n v="5"/>
    <n v="5"/>
    <m/>
    <m/>
    <m/>
    <m/>
    <n v="0"/>
    <n v="0"/>
    <m/>
    <m/>
    <x v="68"/>
    <x v="1"/>
    <s v=""/>
    <s v="NO"/>
    <m/>
  </r>
  <r>
    <d v="2014-12-01T00:00:00"/>
    <x v="2"/>
    <s v="Shalom"/>
    <x v="0"/>
    <x v="2"/>
    <x v="23"/>
    <n v="1"/>
    <m/>
    <m/>
    <n v="2"/>
    <n v="2"/>
    <m/>
    <m/>
    <m/>
    <m/>
    <n v="2"/>
    <n v="2"/>
    <m/>
    <m/>
    <x v="23"/>
    <x v="0"/>
    <n v="0.33333333333333331"/>
    <s v="NO"/>
    <m/>
  </r>
  <r>
    <d v="2014-12-01T00:00:00"/>
    <x v="2"/>
    <s v="Shalom"/>
    <x v="0"/>
    <x v="8"/>
    <x v="27"/>
    <n v="1"/>
    <m/>
    <m/>
    <n v="5"/>
    <n v="5"/>
    <m/>
    <m/>
    <m/>
    <m/>
    <n v="5"/>
    <n v="5"/>
    <m/>
    <m/>
    <x v="27"/>
    <x v="0"/>
    <n v="4.6296296296296294E-2"/>
    <s v="NO"/>
    <m/>
  </r>
  <r>
    <d v="2014-12-01T00:00:00"/>
    <x v="2"/>
    <s v="Shalom"/>
    <x v="0"/>
    <x v="2"/>
    <x v="24"/>
    <n v="1"/>
    <m/>
    <m/>
    <n v="45"/>
    <n v="45"/>
    <m/>
    <m/>
    <m/>
    <m/>
    <n v="45"/>
    <n v="45"/>
    <m/>
    <m/>
    <x v="24"/>
    <x v="0"/>
    <n v="0.6428571428571429"/>
    <s v="NO"/>
    <m/>
  </r>
  <r>
    <d v="2014-12-01T00:00:00"/>
    <x v="2"/>
    <s v="KMSS"/>
    <x v="0"/>
    <x v="7"/>
    <x v="56"/>
    <n v="1"/>
    <m/>
    <m/>
    <n v="280"/>
    <n v="280"/>
    <m/>
    <m/>
    <m/>
    <m/>
    <n v="280"/>
    <n v="280"/>
    <m/>
    <m/>
    <x v="56"/>
    <x v="0"/>
    <n v="0.38997214484679665"/>
    <s v="NO"/>
    <m/>
  </r>
  <r>
    <d v="2014-12-01T00:00:00"/>
    <x v="2"/>
    <s v="KMSS"/>
    <x v="0"/>
    <x v="7"/>
    <x v="53"/>
    <n v="1"/>
    <m/>
    <m/>
    <n v="278"/>
    <n v="278"/>
    <m/>
    <m/>
    <m/>
    <m/>
    <n v="278"/>
    <n v="278"/>
    <m/>
    <m/>
    <x v="53"/>
    <x v="0"/>
    <n v="0.17981888745148772"/>
    <s v="NO"/>
    <m/>
  </r>
  <r>
    <d v="2014-12-01T00:00:00"/>
    <x v="2"/>
    <s v="Shalom"/>
    <x v="0"/>
    <x v="8"/>
    <x v="26"/>
    <n v="1"/>
    <m/>
    <m/>
    <n v="35"/>
    <n v="35"/>
    <m/>
    <m/>
    <m/>
    <m/>
    <n v="35"/>
    <n v="35"/>
    <m/>
    <m/>
    <x v="26"/>
    <x v="0"/>
    <n v="0.24305555555555555"/>
    <s v="NO"/>
    <m/>
  </r>
  <r>
    <d v="2014-12-01T00:00:00"/>
    <x v="2"/>
    <s v="Shalom"/>
    <x v="0"/>
    <x v="2"/>
    <x v="28"/>
    <n v="1"/>
    <m/>
    <m/>
    <n v="5"/>
    <n v="5"/>
    <m/>
    <m/>
    <m/>
    <m/>
    <n v="5"/>
    <n v="5"/>
    <m/>
    <m/>
    <x v="28"/>
    <x v="0"/>
    <n v="0.25"/>
    <s v="NO"/>
    <m/>
  </r>
  <r>
    <d v="2014-12-01T00:00:00"/>
    <x v="2"/>
    <s v="Shalom"/>
    <x v="0"/>
    <x v="2"/>
    <x v="69"/>
    <n v="1"/>
    <m/>
    <m/>
    <n v="15"/>
    <n v="15"/>
    <m/>
    <m/>
    <m/>
    <m/>
    <n v="12"/>
    <n v="15"/>
    <m/>
    <m/>
    <x v="69"/>
    <x v="0"/>
    <n v="1"/>
    <s v="NO"/>
    <m/>
  </r>
  <r>
    <d v="2014-12-01T00:00:00"/>
    <x v="2"/>
    <s v="Shalom"/>
    <x v="0"/>
    <x v="5"/>
    <x v="29"/>
    <n v="1"/>
    <m/>
    <m/>
    <n v="15"/>
    <n v="15"/>
    <m/>
    <m/>
    <m/>
    <m/>
    <n v="15"/>
    <n v="15"/>
    <n v="8"/>
    <m/>
    <x v="29"/>
    <x v="0"/>
    <n v="0.11538461538461539"/>
    <s v="NO"/>
    <m/>
  </r>
  <r>
    <d v="2014-12-01T00:00:00"/>
    <x v="6"/>
    <m/>
    <x v="1"/>
    <x v="12"/>
    <x v="70"/>
    <n v="1"/>
    <m/>
    <m/>
    <n v="44"/>
    <n v="44"/>
    <m/>
    <m/>
    <m/>
    <m/>
    <n v="44"/>
    <n v="44"/>
    <m/>
    <m/>
    <x v="70"/>
    <x v="0"/>
    <n v="1"/>
    <s v="NO"/>
    <m/>
  </r>
  <r>
    <d v="2014-12-01T00:00:00"/>
    <x v="2"/>
    <s v="Shalom"/>
    <x v="0"/>
    <x v="2"/>
    <x v="71"/>
    <n v="1"/>
    <m/>
    <m/>
    <n v="5"/>
    <n v="5"/>
    <m/>
    <m/>
    <m/>
    <m/>
    <n v="5"/>
    <n v="5"/>
    <m/>
    <m/>
    <x v="71"/>
    <x v="0"/>
    <n v="0.41666666666666669"/>
    <s v="NO"/>
    <m/>
  </r>
  <r>
    <d v="2014-12-01T00:00:00"/>
    <x v="2"/>
    <s v="Shalom"/>
    <x v="0"/>
    <x v="0"/>
    <x v="72"/>
    <n v="1"/>
    <m/>
    <m/>
    <n v="9"/>
    <n v="9"/>
    <m/>
    <m/>
    <m/>
    <m/>
    <n v="9"/>
    <n v="9"/>
    <m/>
    <m/>
    <x v="72"/>
    <x v="0"/>
    <n v="0.45"/>
    <s v="NO"/>
    <m/>
  </r>
  <r>
    <d v="2014-12-01T00:00:00"/>
    <x v="0"/>
    <m/>
    <x v="0"/>
    <x v="7"/>
    <x v="16"/>
    <n v="1"/>
    <m/>
    <m/>
    <n v="394"/>
    <n v="140"/>
    <m/>
    <m/>
    <m/>
    <m/>
    <n v="140"/>
    <n v="140"/>
    <m/>
    <m/>
    <x v="16"/>
    <x v="0"/>
    <n v="0.23450586264656617"/>
    <s v="NO"/>
    <m/>
  </r>
  <r>
    <d v="2014-12-01T00:00:00"/>
    <x v="2"/>
    <s v="Shalom"/>
    <x v="0"/>
    <x v="0"/>
    <x v="25"/>
    <n v="1"/>
    <m/>
    <m/>
    <n v="21"/>
    <n v="21"/>
    <m/>
    <m/>
    <m/>
    <m/>
    <n v="21"/>
    <n v="21"/>
    <m/>
    <m/>
    <x v="25"/>
    <x v="0"/>
    <n v="0.1891891891891892"/>
    <s v="NO"/>
    <m/>
  </r>
  <r>
    <d v="2014-12-01T00:00:00"/>
    <x v="2"/>
    <s v="Shalom"/>
    <x v="0"/>
    <x v="1"/>
    <x v="64"/>
    <n v="1"/>
    <m/>
    <m/>
    <n v="5"/>
    <n v="5"/>
    <m/>
    <m/>
    <m/>
    <m/>
    <n v="5"/>
    <n v="5"/>
    <m/>
    <m/>
    <x v="64"/>
    <x v="0"/>
    <n v="9.2592592592592587E-2"/>
    <s v="NO"/>
    <m/>
  </r>
  <r>
    <d v="2014-12-01T00:00:00"/>
    <x v="2"/>
    <s v="Shalom"/>
    <x v="0"/>
    <x v="0"/>
    <x v="73"/>
    <n v="1"/>
    <m/>
    <m/>
    <n v="5"/>
    <n v="5"/>
    <m/>
    <m/>
    <m/>
    <m/>
    <n v="5"/>
    <n v="5"/>
    <m/>
    <m/>
    <x v="73"/>
    <x v="0"/>
    <n v="0.10869565217391304"/>
    <s v="NO"/>
    <m/>
  </r>
  <r>
    <d v="2014-12-01T00:00:00"/>
    <x v="2"/>
    <s v="KBC"/>
    <x v="0"/>
    <x v="7"/>
    <x v="74"/>
    <n v="1"/>
    <m/>
    <m/>
    <n v="21"/>
    <n v="21"/>
    <m/>
    <m/>
    <m/>
    <m/>
    <n v="21"/>
    <n v="21"/>
    <m/>
    <m/>
    <x v="74"/>
    <x v="0"/>
    <n v="0.20388349514563106"/>
    <s v="NO"/>
    <m/>
  </r>
  <r>
    <d v="2014-06-19T00:00:00"/>
    <x v="0"/>
    <s v="Shalom"/>
    <x v="0"/>
    <x v="0"/>
    <x v="75"/>
    <n v="1"/>
    <m/>
    <m/>
    <n v="50"/>
    <n v="55"/>
    <m/>
    <m/>
    <m/>
    <m/>
    <n v="55"/>
    <n v="55"/>
    <m/>
    <m/>
    <x v="75"/>
    <x v="0"/>
    <n v="0.53921568627450978"/>
    <s v="NO"/>
    <m/>
  </r>
  <r>
    <d v="2014-06-19T00:00:00"/>
    <x v="2"/>
    <s v="KBSS"/>
    <x v="0"/>
    <x v="7"/>
    <x v="76"/>
    <n v="1"/>
    <m/>
    <m/>
    <n v="80"/>
    <n v="80"/>
    <m/>
    <m/>
    <m/>
    <m/>
    <n v="80"/>
    <n v="80"/>
    <m/>
    <m/>
    <x v="76"/>
    <x v="0"/>
    <n v="0.30188679245283018"/>
    <s v="NO"/>
    <m/>
  </r>
  <r>
    <d v="2014-06-19T00:00:00"/>
    <x v="6"/>
    <m/>
    <x v="0"/>
    <x v="4"/>
    <x v="77"/>
    <n v="1"/>
    <m/>
    <m/>
    <n v="56"/>
    <n v="60"/>
    <m/>
    <m/>
    <m/>
    <m/>
    <n v="60"/>
    <n v="60"/>
    <m/>
    <m/>
    <x v="77"/>
    <x v="0"/>
    <n v="0.30927835051546393"/>
    <s v="NO"/>
    <m/>
  </r>
  <r>
    <d v="2014-06-01T00:00:00"/>
    <x v="2"/>
    <s v="KMSS"/>
    <x v="0"/>
    <x v="4"/>
    <x v="66"/>
    <n v="1"/>
    <m/>
    <m/>
    <n v="100"/>
    <n v="100"/>
    <m/>
    <m/>
    <m/>
    <m/>
    <n v="100"/>
    <n v="100"/>
    <m/>
    <m/>
    <x v="66"/>
    <x v="0"/>
    <n v="0.25906735751295334"/>
    <s v="NO"/>
    <m/>
  </r>
  <r>
    <d v="2014-06-01T00:00:00"/>
    <x v="2"/>
    <s v="Shalom"/>
    <x v="0"/>
    <x v="2"/>
    <x v="24"/>
    <n v="1"/>
    <m/>
    <m/>
    <n v="20"/>
    <n v="20"/>
    <m/>
    <m/>
    <m/>
    <m/>
    <n v="20"/>
    <n v="20"/>
    <m/>
    <m/>
    <x v="24"/>
    <x v="0"/>
    <n v="0.2857142857142857"/>
    <s v="NO"/>
    <m/>
  </r>
  <r>
    <d v="2014-06-01T00:00:00"/>
    <x v="2"/>
    <s v="Shalom"/>
    <x v="0"/>
    <x v="8"/>
    <x v="26"/>
    <n v="1"/>
    <m/>
    <m/>
    <n v="5"/>
    <n v="5"/>
    <m/>
    <m/>
    <m/>
    <m/>
    <n v="5"/>
    <n v="5"/>
    <m/>
    <m/>
    <x v="26"/>
    <x v="0"/>
    <n v="3.4722222222222224E-2"/>
    <s v="NO"/>
    <m/>
  </r>
  <r>
    <d v="2014-06-01T00:00:00"/>
    <x v="2"/>
    <s v="Shalom"/>
    <x v="0"/>
    <x v="2"/>
    <x v="28"/>
    <n v="1"/>
    <m/>
    <m/>
    <n v="2"/>
    <n v="2"/>
    <m/>
    <m/>
    <m/>
    <m/>
    <n v="2"/>
    <n v="2"/>
    <m/>
    <m/>
    <x v="28"/>
    <x v="0"/>
    <n v="0.1"/>
    <s v="NO"/>
    <m/>
  </r>
  <r>
    <d v="2014-06-01T00:00:00"/>
    <x v="2"/>
    <s v="Shalom"/>
    <x v="0"/>
    <x v="1"/>
    <x v="31"/>
    <n v="1"/>
    <m/>
    <m/>
    <n v="5"/>
    <n v="5"/>
    <m/>
    <m/>
    <m/>
    <m/>
    <n v="5"/>
    <n v="5"/>
    <m/>
    <m/>
    <x v="31"/>
    <x v="0"/>
    <n v="0.21739130434782608"/>
    <s v="NO"/>
    <m/>
  </r>
  <r>
    <d v="2014-06-01T00:00:00"/>
    <x v="2"/>
    <s v="Shalom"/>
    <x v="0"/>
    <x v="5"/>
    <x v="78"/>
    <n v="1"/>
    <m/>
    <m/>
    <n v="5"/>
    <n v="5"/>
    <m/>
    <m/>
    <m/>
    <m/>
    <n v="5"/>
    <n v="5"/>
    <m/>
    <m/>
    <x v="78"/>
    <x v="0"/>
    <n v="0.38461538461538464"/>
    <s v="NO"/>
    <m/>
  </r>
  <r>
    <d v="2014-06-01T00:00:00"/>
    <x v="2"/>
    <s v="Shalom"/>
    <x v="0"/>
    <x v="0"/>
    <x v="79"/>
    <n v="1"/>
    <m/>
    <m/>
    <n v="3"/>
    <n v="3"/>
    <m/>
    <m/>
    <m/>
    <m/>
    <n v="3"/>
    <n v="3"/>
    <m/>
    <m/>
    <x v="79"/>
    <x v="0"/>
    <n v="9.6774193548387094E-2"/>
    <s v="NO"/>
    <m/>
  </r>
  <r>
    <d v="2014-06-01T00:00:00"/>
    <x v="2"/>
    <s v="Shalom"/>
    <x v="0"/>
    <x v="1"/>
    <x v="64"/>
    <n v="1"/>
    <m/>
    <m/>
    <n v="10"/>
    <n v="10"/>
    <m/>
    <m/>
    <m/>
    <m/>
    <n v="10"/>
    <n v="10"/>
    <m/>
    <m/>
    <x v="64"/>
    <x v="0"/>
    <n v="0.18518518518518517"/>
    <s v="NO"/>
    <m/>
  </r>
  <r>
    <d v="2014-06-01T00:00:00"/>
    <x v="2"/>
    <s v="KBC"/>
    <x v="0"/>
    <x v="7"/>
    <x v="34"/>
    <n v="1"/>
    <m/>
    <m/>
    <n v="25"/>
    <n v="25"/>
    <m/>
    <m/>
    <m/>
    <m/>
    <n v="25"/>
    <n v="25"/>
    <m/>
    <m/>
    <x v="34"/>
    <x v="0"/>
    <n v="0.12886597938144329"/>
    <s v="NO"/>
    <m/>
  </r>
  <r>
    <d v="2014-06-01T00:00:00"/>
    <x v="2"/>
    <s v="KBC"/>
    <x v="0"/>
    <x v="4"/>
    <x v="50"/>
    <n v="1"/>
    <m/>
    <m/>
    <n v="60"/>
    <n v="60"/>
    <m/>
    <m/>
    <m/>
    <m/>
    <n v="60"/>
    <n v="60"/>
    <m/>
    <m/>
    <x v="50"/>
    <x v="0"/>
    <n v="0.14888337468982629"/>
    <s v="NO"/>
    <m/>
  </r>
  <r>
    <d v="2014-06-01T00:00:00"/>
    <x v="2"/>
    <s v="KBC"/>
    <x v="0"/>
    <x v="4"/>
    <x v="77"/>
    <n v="1"/>
    <m/>
    <m/>
    <n v="15"/>
    <n v="15"/>
    <m/>
    <m/>
    <m/>
    <m/>
    <n v="15"/>
    <n v="15"/>
    <m/>
    <m/>
    <x v="77"/>
    <x v="0"/>
    <n v="7.7319587628865982E-2"/>
    <s v="NO"/>
    <m/>
  </r>
  <r>
    <d v="2014-06-01T00:00:00"/>
    <x v="2"/>
    <s v="KBC"/>
    <x v="0"/>
    <x v="7"/>
    <x v="80"/>
    <n v="1"/>
    <m/>
    <m/>
    <n v="10"/>
    <n v="10"/>
    <m/>
    <m/>
    <m/>
    <m/>
    <n v="10"/>
    <n v="10"/>
    <m/>
    <m/>
    <x v="80"/>
    <x v="0"/>
    <n v="2.5839793281653745E-2"/>
    <s v="NO"/>
    <m/>
  </r>
  <r>
    <d v="2014-06-01T00:00:00"/>
    <x v="2"/>
    <s v="KBC"/>
    <x v="0"/>
    <x v="5"/>
    <x v="81"/>
    <n v="1"/>
    <m/>
    <m/>
    <n v="10"/>
    <n v="10"/>
    <m/>
    <m/>
    <m/>
    <m/>
    <n v="10"/>
    <n v="10"/>
    <m/>
    <m/>
    <x v="81"/>
    <x v="0"/>
    <n v="6.535947712418301E-2"/>
    <s v="NO"/>
    <m/>
  </r>
  <r>
    <d v="2014-05-11T00:00:00"/>
    <x v="2"/>
    <m/>
    <x v="1"/>
    <x v="12"/>
    <x v="70"/>
    <n v="1"/>
    <n v="110"/>
    <n v="110"/>
    <m/>
    <m/>
    <m/>
    <m/>
    <m/>
    <m/>
    <n v="0"/>
    <n v="0"/>
    <m/>
    <m/>
    <x v="70"/>
    <x v="0"/>
    <n v="0"/>
    <s v="NO"/>
    <m/>
  </r>
  <r>
    <d v="2014-04-20T00:00:00"/>
    <x v="2"/>
    <m/>
    <x v="0"/>
    <x v="4"/>
    <x v="82"/>
    <n v="1"/>
    <n v="200"/>
    <n v="200"/>
    <m/>
    <m/>
    <m/>
    <m/>
    <m/>
    <m/>
    <n v="0"/>
    <n v="0"/>
    <m/>
    <m/>
    <x v="82"/>
    <x v="1"/>
    <s v=""/>
    <s v="NO"/>
    <m/>
  </r>
  <r>
    <d v="2014-04-19T00:00:00"/>
    <x v="2"/>
    <m/>
    <x v="0"/>
    <x v="4"/>
    <x v="30"/>
    <n v="1"/>
    <n v="200"/>
    <n v="200"/>
    <m/>
    <m/>
    <m/>
    <m/>
    <m/>
    <m/>
    <n v="0"/>
    <n v="0"/>
    <m/>
    <m/>
    <x v="30"/>
    <x v="0"/>
    <n v="0"/>
    <s v="NO"/>
    <m/>
  </r>
  <r>
    <d v="2013-12-01T00:00:00"/>
    <x v="2"/>
    <s v="KBC"/>
    <x v="0"/>
    <x v="2"/>
    <x v="83"/>
    <n v="1"/>
    <m/>
    <m/>
    <n v="20"/>
    <n v="20"/>
    <m/>
    <m/>
    <m/>
    <m/>
    <n v="0"/>
    <n v="0"/>
    <m/>
    <m/>
    <x v="83"/>
    <x v="1"/>
    <s v=""/>
    <s v="NO"/>
    <m/>
  </r>
  <r>
    <d v="2013-12-01T00:00:00"/>
    <x v="2"/>
    <s v="Shalom"/>
    <x v="0"/>
    <x v="2"/>
    <x v="22"/>
    <n v="1"/>
    <m/>
    <m/>
    <n v="25"/>
    <n v="25"/>
    <m/>
    <m/>
    <m/>
    <m/>
    <n v="25"/>
    <n v="25"/>
    <m/>
    <m/>
    <x v="22"/>
    <x v="0"/>
    <n v="0.37878787878787878"/>
    <s v="NO"/>
    <m/>
  </r>
  <r>
    <d v="2013-12-01T00:00:00"/>
    <x v="2"/>
    <s v="Shalom"/>
    <x v="0"/>
    <x v="2"/>
    <x v="10"/>
    <n v="1"/>
    <m/>
    <m/>
    <n v="5"/>
    <n v="5"/>
    <m/>
    <m/>
    <m/>
    <m/>
    <n v="5"/>
    <n v="5"/>
    <m/>
    <m/>
    <x v="10"/>
    <x v="0"/>
    <n v="0.35714285714285715"/>
    <s v="NO"/>
    <m/>
  </r>
  <r>
    <d v="2013-12-01T00:00:00"/>
    <x v="2"/>
    <s v="KBC"/>
    <x v="0"/>
    <x v="2"/>
    <x v="84"/>
    <n v="1"/>
    <m/>
    <m/>
    <n v="20"/>
    <n v="20"/>
    <m/>
    <m/>
    <m/>
    <m/>
    <n v="20"/>
    <n v="20"/>
    <m/>
    <m/>
    <x v="84"/>
    <x v="0"/>
    <n v="0.52631578947368418"/>
    <s v="NO"/>
    <m/>
  </r>
  <r>
    <d v="2013-12-01T00:00:00"/>
    <x v="2"/>
    <s v="Shalom"/>
    <x v="0"/>
    <x v="2"/>
    <x v="68"/>
    <n v="1"/>
    <m/>
    <m/>
    <n v="10"/>
    <n v="10"/>
    <m/>
    <m/>
    <m/>
    <m/>
    <n v="0"/>
    <n v="0"/>
    <m/>
    <m/>
    <x v="68"/>
    <x v="1"/>
    <s v=""/>
    <s v="NO"/>
    <m/>
  </r>
  <r>
    <d v="2013-12-01T00:00:00"/>
    <x v="2"/>
    <s v="KMSS"/>
    <x v="0"/>
    <x v="0"/>
    <x v="20"/>
    <n v="1"/>
    <m/>
    <m/>
    <n v="35"/>
    <n v="35"/>
    <m/>
    <m/>
    <m/>
    <m/>
    <n v="35"/>
    <n v="35"/>
    <m/>
    <m/>
    <x v="20"/>
    <x v="0"/>
    <n v="0.23026315789473684"/>
    <s v="NO"/>
    <m/>
  </r>
  <r>
    <d v="2013-12-01T00:00:00"/>
    <x v="2"/>
    <s v="Shalom"/>
    <x v="0"/>
    <x v="2"/>
    <x v="23"/>
    <n v="1"/>
    <m/>
    <m/>
    <n v="4"/>
    <n v="4"/>
    <m/>
    <m/>
    <m/>
    <m/>
    <n v="4"/>
    <n v="4"/>
    <m/>
    <m/>
    <x v="23"/>
    <x v="0"/>
    <n v="0.66666666666666663"/>
    <s v="NO"/>
    <m/>
  </r>
  <r>
    <d v="2013-12-01T00:00:00"/>
    <x v="2"/>
    <s v="Shalom"/>
    <x v="0"/>
    <x v="0"/>
    <x v="75"/>
    <n v="1"/>
    <m/>
    <m/>
    <n v="5"/>
    <n v="5"/>
    <m/>
    <m/>
    <m/>
    <m/>
    <n v="5"/>
    <n v="5"/>
    <m/>
    <m/>
    <x v="75"/>
    <x v="0"/>
    <n v="4.9019607843137254E-2"/>
    <s v="NO"/>
    <m/>
  </r>
  <r>
    <d v="2013-12-01T00:00:00"/>
    <x v="2"/>
    <s v="Shalom"/>
    <x v="0"/>
    <x v="2"/>
    <x v="85"/>
    <n v="1"/>
    <m/>
    <m/>
    <n v="10"/>
    <n v="10"/>
    <m/>
    <m/>
    <m/>
    <m/>
    <n v="4"/>
    <n v="10"/>
    <m/>
    <m/>
    <x v="85"/>
    <x v="0"/>
    <n v="1"/>
    <s v="NO"/>
    <m/>
  </r>
  <r>
    <d v="2013-12-01T00:00:00"/>
    <x v="2"/>
    <s v="KBSS"/>
    <x v="0"/>
    <x v="4"/>
    <x v="86"/>
    <n v="1"/>
    <m/>
    <m/>
    <n v="60"/>
    <n v="60"/>
    <m/>
    <m/>
    <m/>
    <m/>
    <n v="0"/>
    <n v="0"/>
    <m/>
    <m/>
    <x v="86"/>
    <x v="1"/>
    <s v=""/>
    <s v="NO"/>
    <m/>
  </r>
  <r>
    <d v="2013-12-01T00:00:00"/>
    <x v="2"/>
    <s v="Shalom"/>
    <x v="0"/>
    <x v="2"/>
    <x v="28"/>
    <n v="1"/>
    <m/>
    <m/>
    <n v="18"/>
    <n v="18"/>
    <m/>
    <m/>
    <m/>
    <m/>
    <n v="18"/>
    <n v="18"/>
    <m/>
    <m/>
    <x v="28"/>
    <x v="0"/>
    <n v="0.9"/>
    <s v="NO"/>
    <m/>
  </r>
  <r>
    <d v="2013-12-01T00:00:00"/>
    <x v="2"/>
    <s v="Shalom"/>
    <x v="0"/>
    <x v="5"/>
    <x v="29"/>
    <n v="1"/>
    <m/>
    <m/>
    <n v="10"/>
    <n v="10"/>
    <m/>
    <m/>
    <m/>
    <m/>
    <n v="10"/>
    <n v="10"/>
    <m/>
    <m/>
    <x v="29"/>
    <x v="0"/>
    <n v="7.6923076923076927E-2"/>
    <s v="NO"/>
    <m/>
  </r>
  <r>
    <d v="2013-12-01T00:00:00"/>
    <x v="2"/>
    <s v="Shalom"/>
    <x v="0"/>
    <x v="0"/>
    <x v="87"/>
    <n v="1"/>
    <m/>
    <m/>
    <n v="35"/>
    <n v="35"/>
    <m/>
    <m/>
    <m/>
    <m/>
    <n v="35"/>
    <n v="35"/>
    <m/>
    <m/>
    <x v="87"/>
    <x v="0"/>
    <n v="0.12110726643598616"/>
    <s v="NO"/>
    <m/>
  </r>
  <r>
    <d v="2013-12-01T00:00:00"/>
    <x v="2"/>
    <s v="KMSS"/>
    <x v="1"/>
    <x v="3"/>
    <x v="88"/>
    <n v="1"/>
    <m/>
    <m/>
    <n v="30"/>
    <n v="30"/>
    <m/>
    <m/>
    <m/>
    <m/>
    <n v="29"/>
    <n v="30"/>
    <m/>
    <m/>
    <x v="88"/>
    <x v="0"/>
    <n v="1"/>
    <s v="NO"/>
    <m/>
  </r>
  <r>
    <d v="2013-12-01T00:00:00"/>
    <x v="2"/>
    <s v="Shalom"/>
    <x v="0"/>
    <x v="1"/>
    <x v="21"/>
    <n v="1"/>
    <m/>
    <m/>
    <n v="15"/>
    <n v="15"/>
    <m/>
    <m/>
    <m/>
    <m/>
    <n v="15"/>
    <n v="15"/>
    <m/>
    <m/>
    <x v="21"/>
    <x v="0"/>
    <n v="1"/>
    <s v="NO"/>
    <m/>
  </r>
  <r>
    <d v="2013-12-01T00:00:00"/>
    <x v="2"/>
    <s v="Shalom"/>
    <x v="0"/>
    <x v="2"/>
    <x v="89"/>
    <n v="1"/>
    <m/>
    <m/>
    <n v="5"/>
    <n v="5"/>
    <m/>
    <m/>
    <m/>
    <m/>
    <n v="4"/>
    <n v="5"/>
    <m/>
    <m/>
    <x v="89"/>
    <x v="0"/>
    <n v="1"/>
    <s v="NO"/>
    <m/>
  </r>
  <r>
    <d v="2013-12-01T00:00:00"/>
    <x v="2"/>
    <m/>
    <x v="0"/>
    <x v="7"/>
    <x v="80"/>
    <n v="1"/>
    <m/>
    <m/>
    <n v="50"/>
    <n v="50"/>
    <m/>
    <m/>
    <m/>
    <m/>
    <n v="50"/>
    <n v="50"/>
    <m/>
    <m/>
    <x v="80"/>
    <x v="0"/>
    <n v="0.12919896640826872"/>
    <s v="NO"/>
    <m/>
  </r>
  <r>
    <d v="2013-12-01T00:00:00"/>
    <x v="2"/>
    <s v="Shalom"/>
    <x v="0"/>
    <x v="5"/>
    <x v="78"/>
    <n v="1"/>
    <m/>
    <m/>
    <n v="13"/>
    <n v="13"/>
    <m/>
    <m/>
    <m/>
    <m/>
    <n v="13"/>
    <n v="13"/>
    <m/>
    <m/>
    <x v="78"/>
    <x v="0"/>
    <n v="1"/>
    <s v="NO"/>
    <m/>
  </r>
  <r>
    <d v="2013-12-01T00:00:00"/>
    <x v="2"/>
    <s v="Shalom"/>
    <x v="0"/>
    <x v="2"/>
    <x v="71"/>
    <n v="1"/>
    <m/>
    <m/>
    <n v="10"/>
    <n v="10"/>
    <m/>
    <m/>
    <m/>
    <m/>
    <n v="10"/>
    <n v="10"/>
    <m/>
    <m/>
    <x v="71"/>
    <x v="0"/>
    <n v="0.83333333333333337"/>
    <s v="NO"/>
    <m/>
  </r>
  <r>
    <d v="2013-12-01T00:00:00"/>
    <x v="2"/>
    <s v="Shalom"/>
    <x v="0"/>
    <x v="0"/>
    <x v="72"/>
    <n v="1"/>
    <m/>
    <m/>
    <n v="10"/>
    <n v="10"/>
    <m/>
    <m/>
    <m/>
    <m/>
    <n v="10"/>
    <n v="10"/>
    <m/>
    <m/>
    <x v="72"/>
    <x v="0"/>
    <n v="0.5"/>
    <s v="NO"/>
    <m/>
  </r>
  <r>
    <d v="2013-12-01T00:00:00"/>
    <x v="2"/>
    <s v="Shalom"/>
    <x v="0"/>
    <x v="2"/>
    <x v="90"/>
    <n v="1"/>
    <m/>
    <m/>
    <n v="40"/>
    <n v="40"/>
    <m/>
    <m/>
    <m/>
    <m/>
    <n v="0"/>
    <n v="0"/>
    <m/>
    <m/>
    <x v="90"/>
    <x v="1"/>
    <s v=""/>
    <s v="NO"/>
    <m/>
  </r>
  <r>
    <d v="2013-12-01T00:00:00"/>
    <x v="2"/>
    <s v="Shalom"/>
    <x v="0"/>
    <x v="7"/>
    <x v="91"/>
    <n v="1"/>
    <m/>
    <m/>
    <n v="4"/>
    <n v="4"/>
    <m/>
    <m/>
    <m/>
    <m/>
    <n v="0"/>
    <n v="0"/>
    <n v="5"/>
    <m/>
    <x v="91"/>
    <x v="1"/>
    <s v=""/>
    <s v="NO"/>
    <m/>
  </r>
  <r>
    <d v="2013-12-01T00:00:00"/>
    <x v="2"/>
    <s v="Shalom"/>
    <x v="0"/>
    <x v="0"/>
    <x v="25"/>
    <n v="1"/>
    <m/>
    <m/>
    <n v="10"/>
    <n v="10"/>
    <m/>
    <m/>
    <m/>
    <m/>
    <n v="10"/>
    <n v="10"/>
    <m/>
    <m/>
    <x v="25"/>
    <x v="0"/>
    <n v="9.0090090090090086E-2"/>
    <s v="NO"/>
    <m/>
  </r>
  <r>
    <d v="2013-12-01T00:00:00"/>
    <x v="2"/>
    <s v="Shalom"/>
    <x v="0"/>
    <x v="0"/>
    <x v="79"/>
    <n v="1"/>
    <m/>
    <m/>
    <n v="10"/>
    <n v="10"/>
    <m/>
    <m/>
    <m/>
    <m/>
    <n v="10"/>
    <n v="10"/>
    <m/>
    <m/>
    <x v="79"/>
    <x v="0"/>
    <n v="0.32258064516129031"/>
    <s v="NO"/>
    <m/>
  </r>
  <r>
    <d v="2013-12-01T00:00:00"/>
    <x v="2"/>
    <s v="Shalom"/>
    <x v="0"/>
    <x v="2"/>
    <x v="92"/>
    <n v="1"/>
    <m/>
    <m/>
    <n v="10"/>
    <n v="10"/>
    <m/>
    <m/>
    <m/>
    <m/>
    <n v="9"/>
    <n v="10"/>
    <m/>
    <m/>
    <x v="92"/>
    <x v="0"/>
    <n v="1"/>
    <s v="NO"/>
    <m/>
  </r>
  <r>
    <d v="2013-12-01T00:00:00"/>
    <x v="2"/>
    <s v="KBC"/>
    <x v="0"/>
    <x v="1"/>
    <x v="43"/>
    <n v="1"/>
    <m/>
    <m/>
    <n v="30"/>
    <n v="30"/>
    <m/>
    <m/>
    <m/>
    <m/>
    <n v="30"/>
    <n v="30"/>
    <m/>
    <m/>
    <x v="43"/>
    <x v="0"/>
    <n v="0.15"/>
    <s v="NO"/>
    <m/>
  </r>
  <r>
    <d v="2013-12-01T00:00:00"/>
    <x v="2"/>
    <s v="Shalom"/>
    <x v="0"/>
    <x v="5"/>
    <x v="93"/>
    <n v="1"/>
    <m/>
    <m/>
    <n v="15"/>
    <n v="15"/>
    <m/>
    <m/>
    <m/>
    <m/>
    <n v="15"/>
    <n v="15"/>
    <n v="10"/>
    <m/>
    <x v="93"/>
    <x v="0"/>
    <n v="0.75"/>
    <s v="NO"/>
    <m/>
  </r>
  <r>
    <d v="2013-12-01T00:00:00"/>
    <x v="2"/>
    <s v="Shalom"/>
    <x v="0"/>
    <x v="1"/>
    <x v="64"/>
    <n v="1"/>
    <m/>
    <m/>
    <n v="30"/>
    <n v="30"/>
    <m/>
    <m/>
    <m/>
    <m/>
    <n v="30"/>
    <n v="30"/>
    <m/>
    <m/>
    <x v="64"/>
    <x v="0"/>
    <n v="0.55555555555555558"/>
    <s v="NO"/>
    <m/>
  </r>
  <r>
    <d v="2013-12-01T00:00:00"/>
    <x v="2"/>
    <s v="Shalom"/>
    <x v="0"/>
    <x v="0"/>
    <x v="73"/>
    <n v="1"/>
    <m/>
    <m/>
    <n v="5"/>
    <n v="5"/>
    <m/>
    <m/>
    <m/>
    <m/>
    <n v="5"/>
    <n v="5"/>
    <m/>
    <m/>
    <x v="73"/>
    <x v="0"/>
    <n v="0.10869565217391304"/>
    <s v="NO"/>
    <m/>
  </r>
  <r>
    <d v="2013-12-01T00:00:00"/>
    <x v="2"/>
    <s v="Shalom"/>
    <x v="0"/>
    <x v="0"/>
    <x v="94"/>
    <n v="1"/>
    <m/>
    <m/>
    <n v="6"/>
    <n v="6"/>
    <m/>
    <m/>
    <m/>
    <m/>
    <n v="6"/>
    <n v="6"/>
    <m/>
    <m/>
    <x v="94"/>
    <x v="0"/>
    <n v="9.2307692307692313E-2"/>
    <s v="NO"/>
    <m/>
  </r>
  <r>
    <d v="2013-12-01T00:00:00"/>
    <x v="2"/>
    <s v="KMSS"/>
    <x v="0"/>
    <x v="0"/>
    <x v="95"/>
    <n v="1"/>
    <m/>
    <m/>
    <n v="160"/>
    <n v="160"/>
    <m/>
    <m/>
    <m/>
    <m/>
    <n v="160"/>
    <n v="160"/>
    <m/>
    <m/>
    <x v="95"/>
    <x v="0"/>
    <n v="0.11461318051575932"/>
    <s v="NO"/>
    <m/>
  </r>
  <r>
    <d v="2013-12-01T00:00:00"/>
    <x v="2"/>
    <m/>
    <x v="0"/>
    <x v="5"/>
    <x v="96"/>
    <n v="1"/>
    <m/>
    <m/>
    <n v="5"/>
    <n v="5"/>
    <m/>
    <m/>
    <m/>
    <m/>
    <n v="5"/>
    <n v="5"/>
    <m/>
    <m/>
    <x v="96"/>
    <x v="0"/>
    <n v="0.33333333333333331"/>
    <s v="NO"/>
    <m/>
  </r>
  <r>
    <d v="2013-12-01T00:00:00"/>
    <x v="2"/>
    <s v="KBC"/>
    <x v="1"/>
    <x v="3"/>
    <x v="5"/>
    <n v="1"/>
    <m/>
    <m/>
    <n v="10"/>
    <n v="10"/>
    <m/>
    <m/>
    <m/>
    <m/>
    <n v="10"/>
    <n v="10"/>
    <m/>
    <m/>
    <x v="5"/>
    <x v="0"/>
    <n v="0.2857142857142857"/>
    <s v="NO"/>
    <m/>
  </r>
  <r>
    <d v="2013-12-01T00:00:00"/>
    <x v="2"/>
    <s v="KBC"/>
    <x v="0"/>
    <x v="4"/>
    <x v="77"/>
    <n v="1"/>
    <m/>
    <m/>
    <n v="20"/>
    <n v="20"/>
    <m/>
    <m/>
    <m/>
    <m/>
    <n v="20"/>
    <n v="20"/>
    <m/>
    <m/>
    <x v="77"/>
    <x v="0"/>
    <n v="0.10309278350515463"/>
    <s v="NO"/>
    <m/>
  </r>
  <r>
    <d v="2013-12-01T00:00:00"/>
    <x v="2"/>
    <s v="KBC"/>
    <x v="1"/>
    <x v="6"/>
    <x v="97"/>
    <n v="1"/>
    <m/>
    <m/>
    <n v="5"/>
    <n v="5"/>
    <m/>
    <m/>
    <m/>
    <m/>
    <n v="5"/>
    <n v="5"/>
    <m/>
    <m/>
    <x v="97"/>
    <x v="0"/>
    <n v="0.10869565217391304"/>
    <s v="NO"/>
    <m/>
  </r>
  <r>
    <d v="2013-12-01T00:00:00"/>
    <x v="2"/>
    <s v="KBC"/>
    <x v="0"/>
    <x v="0"/>
    <x v="39"/>
    <n v="1"/>
    <m/>
    <m/>
    <n v="11"/>
    <n v="11"/>
    <m/>
    <m/>
    <m/>
    <m/>
    <n v="11"/>
    <n v="11"/>
    <m/>
    <m/>
    <x v="39"/>
    <x v="0"/>
    <n v="5.9139784946236562E-2"/>
    <s v="NO"/>
    <m/>
  </r>
  <r>
    <d v="2013-12-01T00:00:00"/>
    <x v="2"/>
    <s v="KBC"/>
    <x v="0"/>
    <x v="5"/>
    <x v="81"/>
    <n v="1"/>
    <m/>
    <m/>
    <n v="50"/>
    <n v="50"/>
    <m/>
    <m/>
    <m/>
    <m/>
    <n v="50"/>
    <n v="50"/>
    <m/>
    <m/>
    <x v="81"/>
    <x v="0"/>
    <n v="0.32679738562091504"/>
    <s v="NO"/>
    <m/>
  </r>
  <r>
    <d v="2013-12-01T00:00:00"/>
    <x v="2"/>
    <s v="KBC"/>
    <x v="0"/>
    <x v="5"/>
    <x v="9"/>
    <n v="1"/>
    <m/>
    <m/>
    <n v="30"/>
    <n v="30"/>
    <m/>
    <m/>
    <m/>
    <m/>
    <n v="30"/>
    <n v="30"/>
    <m/>
    <m/>
    <x v="9"/>
    <x v="0"/>
    <n v="4.7021943573667714E-2"/>
    <s v="NO"/>
    <m/>
  </r>
  <r>
    <d v="2013-12-01T00:00:00"/>
    <x v="2"/>
    <s v="KBC"/>
    <x v="0"/>
    <x v="2"/>
    <x v="98"/>
    <n v="1"/>
    <m/>
    <m/>
    <n v="5"/>
    <n v="5"/>
    <m/>
    <m/>
    <m/>
    <m/>
    <n v="5"/>
    <n v="5"/>
    <m/>
    <m/>
    <x v="98"/>
    <x v="0"/>
    <n v="0.625"/>
    <s v="NO"/>
    <m/>
  </r>
  <r>
    <d v="2013-12-01T00:00:00"/>
    <x v="2"/>
    <s v="KBC"/>
    <x v="0"/>
    <x v="0"/>
    <x v="40"/>
    <n v="1"/>
    <m/>
    <m/>
    <n v="18"/>
    <n v="18"/>
    <m/>
    <m/>
    <m/>
    <m/>
    <n v="18"/>
    <n v="18"/>
    <m/>
    <m/>
    <x v="40"/>
    <x v="0"/>
    <n v="9.7826086956521743E-2"/>
    <s v="NO"/>
    <m/>
  </r>
  <r>
    <d v="2013-12-01T00:00:00"/>
    <x v="2"/>
    <s v="KBC"/>
    <x v="0"/>
    <x v="2"/>
    <x v="99"/>
    <n v="1"/>
    <m/>
    <m/>
    <n v="15"/>
    <n v="15"/>
    <m/>
    <m/>
    <m/>
    <m/>
    <n v="15"/>
    <n v="15"/>
    <m/>
    <m/>
    <x v="99"/>
    <x v="0"/>
    <n v="0.45454545454545453"/>
    <s v="NO"/>
    <m/>
  </r>
  <r>
    <d v="2013-12-01T00:00:00"/>
    <x v="2"/>
    <s v="KBC"/>
    <x v="0"/>
    <x v="0"/>
    <x v="41"/>
    <n v="1"/>
    <m/>
    <m/>
    <n v="76"/>
    <n v="76"/>
    <m/>
    <m/>
    <m/>
    <m/>
    <n v="0"/>
    <n v="0"/>
    <m/>
    <m/>
    <x v="41"/>
    <x v="1"/>
    <s v=""/>
    <s v="NO"/>
    <m/>
  </r>
  <r>
    <m/>
    <x v="1"/>
    <s v="KMSS_MKN"/>
    <x v="0"/>
    <x v="0"/>
    <x v="25"/>
    <n v="1"/>
    <m/>
    <m/>
    <n v="16"/>
    <m/>
    <n v="16"/>
    <m/>
    <m/>
    <m/>
    <n v="16"/>
    <n v="16"/>
    <m/>
    <m/>
    <x v="25"/>
    <x v="0"/>
    <n v="0.14414414414414414"/>
    <s v="NO"/>
    <m/>
  </r>
  <r>
    <m/>
    <x v="2"/>
    <s v="KBC"/>
    <x v="1"/>
    <x v="3"/>
    <x v="100"/>
    <n v="1"/>
    <m/>
    <m/>
    <n v="10"/>
    <n v="10"/>
    <m/>
    <m/>
    <m/>
    <m/>
    <n v="0"/>
    <n v="0"/>
    <m/>
    <m/>
    <x v="100"/>
    <x v="1"/>
    <s v=""/>
    <s v="NO"/>
    <m/>
  </r>
  <r>
    <m/>
    <x v="7"/>
    <s v="KBC"/>
    <x v="0"/>
    <x v="1"/>
    <x v="43"/>
    <n v="1"/>
    <m/>
    <m/>
    <n v="60"/>
    <n v="60"/>
    <m/>
    <m/>
    <m/>
    <m/>
    <n v="60"/>
    <n v="60"/>
    <m/>
    <m/>
    <x v="43"/>
    <x v="0"/>
    <n v="0.3"/>
    <s v="NO"/>
    <m/>
  </r>
  <r>
    <m/>
    <x v="2"/>
    <s v="KBC"/>
    <x v="0"/>
    <x v="2"/>
    <x v="11"/>
    <n v="1"/>
    <m/>
    <m/>
    <n v="50"/>
    <n v="50"/>
    <m/>
    <m/>
    <m/>
    <m/>
    <n v="0"/>
    <n v="0"/>
    <m/>
    <m/>
    <x v="11"/>
    <x v="1"/>
    <s v=""/>
    <s v="NO"/>
    <m/>
  </r>
  <r>
    <m/>
    <x v="2"/>
    <s v="KBC"/>
    <x v="0"/>
    <x v="1"/>
    <x v="101"/>
    <n v="1"/>
    <m/>
    <m/>
    <n v="5"/>
    <n v="5"/>
    <m/>
    <m/>
    <m/>
    <m/>
    <n v="5"/>
    <n v="5"/>
    <m/>
    <m/>
    <x v="101"/>
    <x v="0"/>
    <n v="0.11904761904761904"/>
    <s v="NO"/>
    <m/>
  </r>
  <r>
    <m/>
    <x v="2"/>
    <s v="KBC"/>
    <x v="0"/>
    <x v="11"/>
    <x v="102"/>
    <n v="1"/>
    <m/>
    <m/>
    <n v="15"/>
    <n v="15"/>
    <m/>
    <m/>
    <m/>
    <m/>
    <n v="13"/>
    <n v="15"/>
    <m/>
    <m/>
    <x v="102"/>
    <x v="0"/>
    <n v="1"/>
    <s v="NO"/>
    <m/>
  </r>
  <r>
    <m/>
    <x v="8"/>
    <s v="KBC"/>
    <x v="0"/>
    <x v="1"/>
    <x v="103"/>
    <n v="1"/>
    <m/>
    <m/>
    <n v="9"/>
    <n v="9"/>
    <m/>
    <m/>
    <m/>
    <m/>
    <n v="9"/>
    <n v="9"/>
    <m/>
    <m/>
    <x v="103"/>
    <x v="0"/>
    <n v="8.5714285714285715E-2"/>
    <s v="NO"/>
    <m/>
  </r>
  <r>
    <m/>
    <x v="7"/>
    <s v="KBC"/>
    <x v="0"/>
    <x v="1"/>
    <x v="103"/>
    <n v="1"/>
    <m/>
    <m/>
    <n v="5"/>
    <n v="5"/>
    <m/>
    <m/>
    <m/>
    <m/>
    <n v="5"/>
    <n v="5"/>
    <m/>
    <m/>
    <x v="103"/>
    <x v="0"/>
    <n v="4.7619047619047616E-2"/>
    <s v="NO"/>
    <m/>
  </r>
  <r>
    <m/>
    <x v="2"/>
    <s v="KBC"/>
    <x v="0"/>
    <x v="1"/>
    <x v="103"/>
    <n v="1"/>
    <m/>
    <m/>
    <n v="10"/>
    <n v="10"/>
    <m/>
    <m/>
    <m/>
    <m/>
    <n v="10"/>
    <n v="10"/>
    <m/>
    <m/>
    <x v="103"/>
    <x v="0"/>
    <n v="9.5238095238095233E-2"/>
    <s v="NO"/>
    <m/>
  </r>
  <r>
    <m/>
    <x v="7"/>
    <s v="KBC"/>
    <x v="0"/>
    <x v="1"/>
    <x v="55"/>
    <n v="1"/>
    <m/>
    <m/>
    <n v="60"/>
    <n v="60"/>
    <m/>
    <m/>
    <m/>
    <m/>
    <n v="60"/>
    <n v="60"/>
    <m/>
    <m/>
    <x v="55"/>
    <x v="0"/>
    <n v="0.43165467625899279"/>
    <s v="NO"/>
    <m/>
  </r>
  <r>
    <m/>
    <x v="2"/>
    <s v="KBC"/>
    <x v="0"/>
    <x v="1"/>
    <x v="55"/>
    <n v="1"/>
    <m/>
    <m/>
    <n v="60"/>
    <n v="60"/>
    <m/>
    <m/>
    <m/>
    <m/>
    <n v="60"/>
    <n v="60"/>
    <m/>
    <m/>
    <x v="55"/>
    <x v="0"/>
    <n v="0.43165467625899279"/>
    <s v="NO"/>
    <m/>
  </r>
  <r>
    <m/>
    <x v="2"/>
    <s v="KBC"/>
    <x v="0"/>
    <x v="7"/>
    <x v="104"/>
    <n v="1"/>
    <m/>
    <m/>
    <n v="27"/>
    <n v="27"/>
    <m/>
    <m/>
    <m/>
    <m/>
    <n v="27"/>
    <n v="27"/>
    <m/>
    <m/>
    <x v="104"/>
    <x v="0"/>
    <n v="0.69230769230769229"/>
    <s v="NO"/>
    <m/>
  </r>
  <r>
    <m/>
    <x v="7"/>
    <s v="KBC"/>
    <x v="0"/>
    <x v="0"/>
    <x v="3"/>
    <n v="1"/>
    <m/>
    <m/>
    <n v="50"/>
    <n v="50"/>
    <m/>
    <m/>
    <m/>
    <m/>
    <n v="50"/>
    <n v="50"/>
    <m/>
    <m/>
    <x v="3"/>
    <x v="0"/>
    <n v="0.10040160642570281"/>
    <s v="NO"/>
    <m/>
  </r>
  <r>
    <m/>
    <x v="2"/>
    <s v="KBC"/>
    <x v="0"/>
    <x v="0"/>
    <x v="3"/>
    <n v="1"/>
    <m/>
    <m/>
    <n v="400"/>
    <n v="400"/>
    <m/>
    <m/>
    <m/>
    <m/>
    <n v="400"/>
    <n v="400"/>
    <m/>
    <m/>
    <x v="3"/>
    <x v="0"/>
    <n v="0.80321285140562249"/>
    <s v="NO"/>
    <m/>
  </r>
  <r>
    <m/>
    <x v="9"/>
    <s v="KBC"/>
    <x v="0"/>
    <x v="0"/>
    <x v="3"/>
    <n v="1"/>
    <m/>
    <m/>
    <n v="10"/>
    <n v="10"/>
    <m/>
    <m/>
    <m/>
    <m/>
    <n v="10"/>
    <n v="10"/>
    <m/>
    <m/>
    <x v="3"/>
    <x v="0"/>
    <n v="2.0080321285140562E-2"/>
    <s v="NO"/>
    <m/>
  </r>
  <r>
    <m/>
    <x v="2"/>
    <s v="KBC"/>
    <x v="0"/>
    <x v="0"/>
    <x v="45"/>
    <n v="1"/>
    <m/>
    <m/>
    <n v="30"/>
    <n v="30"/>
    <m/>
    <m/>
    <m/>
    <m/>
    <n v="30"/>
    <n v="30"/>
    <m/>
    <m/>
    <x v="45"/>
    <x v="0"/>
    <n v="0.66666666666666663"/>
    <s v="NO"/>
    <m/>
  </r>
  <r>
    <m/>
    <x v="8"/>
    <s v="KBC"/>
    <x v="0"/>
    <x v="4"/>
    <x v="50"/>
    <n v="1"/>
    <m/>
    <m/>
    <n v="20"/>
    <n v="20"/>
    <m/>
    <m/>
    <m/>
    <m/>
    <n v="20"/>
    <n v="20"/>
    <m/>
    <m/>
    <x v="50"/>
    <x v="0"/>
    <n v="4.9627791563275438E-2"/>
    <s v="NO"/>
    <m/>
  </r>
  <r>
    <m/>
    <x v="2"/>
    <s v="KBC"/>
    <x v="0"/>
    <x v="1"/>
    <x v="105"/>
    <n v="1"/>
    <m/>
    <m/>
    <n v="20"/>
    <n v="20"/>
    <m/>
    <m/>
    <m/>
    <m/>
    <n v="20"/>
    <n v="20"/>
    <m/>
    <m/>
    <x v="105"/>
    <x v="0"/>
    <n v="0.32258064516129031"/>
    <s v="NO"/>
    <m/>
  </r>
  <r>
    <m/>
    <x v="2"/>
    <s v="KBC"/>
    <x v="0"/>
    <x v="1"/>
    <x v="106"/>
    <n v="1"/>
    <m/>
    <m/>
    <n v="60"/>
    <n v="60"/>
    <m/>
    <m/>
    <m/>
    <m/>
    <n v="60"/>
    <n v="60"/>
    <m/>
    <m/>
    <x v="106"/>
    <x v="0"/>
    <n v="0.57692307692307687"/>
    <s v="NO"/>
    <m/>
  </r>
  <r>
    <m/>
    <x v="0"/>
    <s v="KBC"/>
    <x v="0"/>
    <x v="4"/>
    <x v="107"/>
    <n v="1"/>
    <m/>
    <m/>
    <n v="39"/>
    <n v="39"/>
    <m/>
    <m/>
    <m/>
    <m/>
    <n v="39"/>
    <n v="39"/>
    <m/>
    <m/>
    <x v="107"/>
    <x v="0"/>
    <n v="0.39795918367346939"/>
    <s v="NO"/>
    <m/>
  </r>
  <r>
    <m/>
    <x v="2"/>
    <s v="KBC"/>
    <x v="0"/>
    <x v="4"/>
    <x v="107"/>
    <n v="1"/>
    <m/>
    <m/>
    <n v="20"/>
    <n v="20"/>
    <m/>
    <m/>
    <m/>
    <m/>
    <n v="20"/>
    <n v="20"/>
    <m/>
    <m/>
    <x v="107"/>
    <x v="0"/>
    <n v="0.20408163265306123"/>
    <s v="NO"/>
    <m/>
  </r>
  <r>
    <m/>
    <x v="10"/>
    <m/>
    <x v="0"/>
    <x v="2"/>
    <x v="83"/>
    <n v="1"/>
    <n v="25"/>
    <n v="25"/>
    <m/>
    <m/>
    <m/>
    <m/>
    <m/>
    <m/>
    <n v="0"/>
    <n v="0"/>
    <m/>
    <m/>
    <x v="83"/>
    <x v="1"/>
    <s v=""/>
    <s v="NO"/>
    <m/>
  </r>
  <r>
    <m/>
    <x v="2"/>
    <s v="KMSS"/>
    <x v="0"/>
    <x v="2"/>
    <x v="83"/>
    <n v="1"/>
    <m/>
    <m/>
    <m/>
    <m/>
    <m/>
    <m/>
    <m/>
    <m/>
    <n v="0"/>
    <n v="0"/>
    <n v="44"/>
    <m/>
    <x v="83"/>
    <x v="1"/>
    <s v=""/>
    <s v="NO"/>
    <m/>
  </r>
  <r>
    <m/>
    <x v="2"/>
    <s v="KBC"/>
    <x v="0"/>
    <x v="11"/>
    <x v="108"/>
    <n v="1"/>
    <m/>
    <m/>
    <n v="10"/>
    <n v="10"/>
    <m/>
    <m/>
    <m/>
    <m/>
    <n v="10"/>
    <n v="10"/>
    <m/>
    <m/>
    <x v="108"/>
    <x v="0"/>
    <n v="0.66666666666666663"/>
    <s v="NO"/>
    <m/>
  </r>
  <r>
    <m/>
    <x v="2"/>
    <s v="KBC"/>
    <x v="0"/>
    <x v="7"/>
    <x v="80"/>
    <n v="1"/>
    <m/>
    <m/>
    <n v="40"/>
    <n v="40"/>
    <m/>
    <m/>
    <m/>
    <m/>
    <n v="40"/>
    <n v="40"/>
    <m/>
    <m/>
    <x v="80"/>
    <x v="0"/>
    <n v="0.10335917312661498"/>
    <s v="NO"/>
    <m/>
  </r>
  <r>
    <m/>
    <x v="2"/>
    <s v="KBC"/>
    <x v="1"/>
    <x v="12"/>
    <x v="109"/>
    <n v="1"/>
    <m/>
    <m/>
    <n v="10"/>
    <n v="10"/>
    <m/>
    <m/>
    <m/>
    <m/>
    <n v="0"/>
    <n v="0"/>
    <m/>
    <m/>
    <x v="109"/>
    <x v="1"/>
    <s v=""/>
    <s v="NO"/>
    <m/>
  </r>
  <r>
    <m/>
    <x v="10"/>
    <m/>
    <x v="0"/>
    <x v="2"/>
    <x v="22"/>
    <n v="1"/>
    <n v="10"/>
    <n v="10"/>
    <m/>
    <m/>
    <m/>
    <m/>
    <m/>
    <m/>
    <n v="0"/>
    <n v="0"/>
    <m/>
    <m/>
    <x v="22"/>
    <x v="0"/>
    <n v="0"/>
    <s v="NO"/>
    <m/>
  </r>
  <r>
    <m/>
    <x v="0"/>
    <s v="KBC"/>
    <x v="1"/>
    <x v="9"/>
    <x v="110"/>
    <n v="1"/>
    <m/>
    <m/>
    <n v="78"/>
    <n v="78"/>
    <m/>
    <m/>
    <m/>
    <m/>
    <n v="74"/>
    <n v="78"/>
    <m/>
    <m/>
    <x v="110"/>
    <x v="0"/>
    <n v="1"/>
    <s v="NO"/>
    <m/>
  </r>
  <r>
    <m/>
    <x v="11"/>
    <s v="KBSS"/>
    <x v="0"/>
    <x v="5"/>
    <x v="15"/>
    <n v="1"/>
    <m/>
    <m/>
    <n v="6"/>
    <n v="6"/>
    <m/>
    <m/>
    <m/>
    <m/>
    <n v="6"/>
    <n v="6"/>
    <m/>
    <m/>
    <x v="15"/>
    <x v="0"/>
    <n v="2.3346303501945526E-2"/>
    <s v="NO"/>
    <m/>
  </r>
  <r>
    <m/>
    <x v="2"/>
    <s v="KBSS"/>
    <x v="0"/>
    <x v="5"/>
    <x v="15"/>
    <n v="1"/>
    <m/>
    <m/>
    <n v="144"/>
    <n v="144"/>
    <m/>
    <m/>
    <m/>
    <m/>
    <n v="144"/>
    <n v="144"/>
    <m/>
    <m/>
    <x v="15"/>
    <x v="0"/>
    <n v="0.56031128404669261"/>
    <s v="NO"/>
    <m/>
  </r>
  <r>
    <m/>
    <x v="10"/>
    <m/>
    <x v="0"/>
    <x v="2"/>
    <x v="84"/>
    <n v="1"/>
    <n v="10"/>
    <n v="10"/>
    <m/>
    <m/>
    <m/>
    <m/>
    <m/>
    <m/>
    <n v="0"/>
    <n v="0"/>
    <m/>
    <m/>
    <x v="84"/>
    <x v="0"/>
    <n v="0"/>
    <s v="NO"/>
    <m/>
  </r>
  <r>
    <m/>
    <x v="2"/>
    <m/>
    <x v="0"/>
    <x v="5"/>
    <x v="15"/>
    <n v="1"/>
    <m/>
    <m/>
    <n v="20"/>
    <n v="20"/>
    <m/>
    <m/>
    <m/>
    <m/>
    <n v="20"/>
    <n v="20"/>
    <m/>
    <m/>
    <x v="15"/>
    <x v="0"/>
    <n v="7.7821011673151752E-2"/>
    <s v="NO"/>
    <m/>
  </r>
  <r>
    <m/>
    <x v="10"/>
    <m/>
    <x v="0"/>
    <x v="0"/>
    <x v="20"/>
    <n v="1"/>
    <n v="41"/>
    <n v="41"/>
    <m/>
    <m/>
    <m/>
    <m/>
    <m/>
    <m/>
    <n v="0"/>
    <n v="0"/>
    <m/>
    <m/>
    <x v="20"/>
    <x v="0"/>
    <n v="0"/>
    <s v="NO"/>
    <m/>
  </r>
  <r>
    <m/>
    <x v="2"/>
    <s v="Shalom"/>
    <x v="0"/>
    <x v="2"/>
    <x v="22"/>
    <n v="1"/>
    <m/>
    <m/>
    <n v="5"/>
    <n v="5"/>
    <m/>
    <m/>
    <m/>
    <m/>
    <n v="5"/>
    <n v="5"/>
    <m/>
    <m/>
    <x v="22"/>
    <x v="0"/>
    <n v="7.575757575757576E-2"/>
    <s v="NO"/>
    <m/>
  </r>
  <r>
    <m/>
    <x v="2"/>
    <s v="KBSS"/>
    <x v="0"/>
    <x v="5"/>
    <x v="111"/>
    <n v="1"/>
    <m/>
    <m/>
    <n v="32"/>
    <n v="32"/>
    <m/>
    <m/>
    <m/>
    <m/>
    <n v="12"/>
    <n v="32"/>
    <m/>
    <m/>
    <x v="111"/>
    <x v="0"/>
    <n v="1"/>
    <s v="NO"/>
    <m/>
  </r>
  <r>
    <m/>
    <x v="2"/>
    <m/>
    <x v="0"/>
    <x v="5"/>
    <x v="111"/>
    <n v="1"/>
    <m/>
    <m/>
    <n v="10"/>
    <n v="10"/>
    <m/>
    <m/>
    <m/>
    <m/>
    <n v="10"/>
    <n v="10"/>
    <m/>
    <m/>
    <x v="111"/>
    <x v="0"/>
    <n v="0.83333333333333337"/>
    <s v="NO"/>
    <m/>
  </r>
  <r>
    <m/>
    <x v="12"/>
    <m/>
    <x v="0"/>
    <x v="2"/>
    <x v="68"/>
    <n v="1"/>
    <m/>
    <m/>
    <n v="10"/>
    <n v="10"/>
    <m/>
    <m/>
    <m/>
    <m/>
    <n v="0"/>
    <n v="0"/>
    <m/>
    <m/>
    <x v="68"/>
    <x v="1"/>
    <s v=""/>
    <s v="NO"/>
    <m/>
  </r>
  <r>
    <m/>
    <x v="10"/>
    <m/>
    <x v="0"/>
    <x v="2"/>
    <x v="24"/>
    <n v="1"/>
    <n v="5"/>
    <n v="5"/>
    <m/>
    <m/>
    <m/>
    <m/>
    <m/>
    <m/>
    <n v="0"/>
    <n v="0"/>
    <m/>
    <m/>
    <x v="24"/>
    <x v="0"/>
    <n v="0"/>
    <s v="NO"/>
    <m/>
  </r>
  <r>
    <m/>
    <x v="2"/>
    <s v="KMSS"/>
    <x v="0"/>
    <x v="0"/>
    <x v="20"/>
    <n v="1"/>
    <m/>
    <m/>
    <n v="202"/>
    <n v="202"/>
    <m/>
    <m/>
    <m/>
    <m/>
    <n v="152"/>
    <n v="202"/>
    <m/>
    <m/>
    <x v="20"/>
    <x v="0"/>
    <n v="1"/>
    <s v="NO"/>
    <m/>
  </r>
  <r>
    <m/>
    <x v="2"/>
    <m/>
    <x v="0"/>
    <x v="4"/>
    <x v="66"/>
    <n v="1"/>
    <m/>
    <m/>
    <n v="150"/>
    <m/>
    <m/>
    <m/>
    <m/>
    <m/>
    <n v="0"/>
    <n v="0"/>
    <m/>
    <m/>
    <x v="66"/>
    <x v="0"/>
    <n v="0"/>
    <s v="NO"/>
    <m/>
  </r>
  <r>
    <m/>
    <x v="0"/>
    <s v="Shalom"/>
    <x v="0"/>
    <x v="8"/>
    <x v="27"/>
    <n v="1"/>
    <m/>
    <m/>
    <n v="82"/>
    <n v="82"/>
    <m/>
    <m/>
    <m/>
    <m/>
    <n v="82"/>
    <n v="82"/>
    <m/>
    <m/>
    <x v="27"/>
    <x v="0"/>
    <n v="0.7592592592592593"/>
    <s v="NO"/>
    <m/>
  </r>
  <r>
    <m/>
    <x v="2"/>
    <s v="Shalom"/>
    <x v="0"/>
    <x v="8"/>
    <x v="27"/>
    <n v="1"/>
    <m/>
    <m/>
    <n v="20"/>
    <n v="20"/>
    <m/>
    <m/>
    <m/>
    <m/>
    <n v="20"/>
    <n v="20"/>
    <m/>
    <m/>
    <x v="27"/>
    <x v="0"/>
    <n v="0.18518518518518517"/>
    <s v="NO"/>
    <m/>
  </r>
  <r>
    <m/>
    <x v="2"/>
    <s v="Shalom"/>
    <x v="0"/>
    <x v="2"/>
    <x v="24"/>
    <n v="1"/>
    <m/>
    <m/>
    <n v="10"/>
    <n v="10"/>
    <m/>
    <m/>
    <m/>
    <m/>
    <n v="10"/>
    <n v="10"/>
    <m/>
    <m/>
    <x v="24"/>
    <x v="0"/>
    <n v="0.14285714285714285"/>
    <s v="NO"/>
    <m/>
  </r>
  <r>
    <m/>
    <x v="2"/>
    <m/>
    <x v="0"/>
    <x v="1"/>
    <x v="6"/>
    <n v="1"/>
    <m/>
    <m/>
    <n v="3"/>
    <n v="3"/>
    <m/>
    <m/>
    <m/>
    <m/>
    <n v="3"/>
    <n v="3"/>
    <m/>
    <m/>
    <x v="6"/>
    <x v="0"/>
    <n v="0.5"/>
    <s v="NO"/>
    <m/>
  </r>
  <r>
    <m/>
    <x v="10"/>
    <m/>
    <x v="0"/>
    <x v="2"/>
    <x v="85"/>
    <n v="1"/>
    <n v="20"/>
    <n v="20"/>
    <m/>
    <m/>
    <m/>
    <m/>
    <m/>
    <m/>
    <n v="0"/>
    <n v="0"/>
    <m/>
    <m/>
    <x v="85"/>
    <x v="0"/>
    <n v="0"/>
    <s v="NO"/>
    <m/>
  </r>
  <r>
    <m/>
    <x v="2"/>
    <m/>
    <x v="0"/>
    <x v="1"/>
    <x v="112"/>
    <n v="1"/>
    <m/>
    <m/>
    <n v="3"/>
    <n v="3"/>
    <m/>
    <m/>
    <m/>
    <m/>
    <n v="3"/>
    <n v="3"/>
    <m/>
    <m/>
    <x v="112"/>
    <x v="0"/>
    <n v="9.6774193548387094E-2"/>
    <s v="NO"/>
    <m/>
  </r>
  <r>
    <m/>
    <x v="2"/>
    <s v="KMSS"/>
    <x v="0"/>
    <x v="7"/>
    <x v="42"/>
    <n v="1"/>
    <m/>
    <m/>
    <n v="123"/>
    <n v="123"/>
    <m/>
    <m/>
    <m/>
    <m/>
    <n v="103"/>
    <n v="123"/>
    <m/>
    <m/>
    <x v="42"/>
    <x v="0"/>
    <n v="1"/>
    <s v="NO"/>
    <m/>
  </r>
  <r>
    <m/>
    <x v="2"/>
    <s v="Shalom"/>
    <x v="0"/>
    <x v="0"/>
    <x v="75"/>
    <n v="1"/>
    <m/>
    <m/>
    <n v="45"/>
    <n v="45"/>
    <m/>
    <m/>
    <m/>
    <m/>
    <n v="45"/>
    <n v="45"/>
    <m/>
    <m/>
    <x v="75"/>
    <x v="0"/>
    <n v="0.44117647058823528"/>
    <s v="NO"/>
    <m/>
  </r>
  <r>
    <m/>
    <x v="0"/>
    <s v="Shalom"/>
    <x v="0"/>
    <x v="0"/>
    <x v="37"/>
    <n v="1"/>
    <m/>
    <m/>
    <n v="100"/>
    <n v="100"/>
    <m/>
    <m/>
    <m/>
    <m/>
    <n v="100"/>
    <n v="100"/>
    <m/>
    <m/>
    <x v="37"/>
    <x v="0"/>
    <n v="0.67114093959731547"/>
    <s v="NO"/>
    <m/>
  </r>
  <r>
    <m/>
    <x v="2"/>
    <s v="Shalom"/>
    <x v="0"/>
    <x v="2"/>
    <x v="85"/>
    <n v="1"/>
    <m/>
    <m/>
    <n v="5"/>
    <n v="5"/>
    <m/>
    <m/>
    <m/>
    <m/>
    <n v="4"/>
    <n v="5"/>
    <m/>
    <m/>
    <x v="85"/>
    <x v="0"/>
    <n v="1"/>
    <s v="NO"/>
    <m/>
  </r>
  <r>
    <m/>
    <x v="2"/>
    <s v="KBC"/>
    <x v="1"/>
    <x v="9"/>
    <x v="110"/>
    <n v="1"/>
    <m/>
    <m/>
    <n v="20"/>
    <n v="20"/>
    <m/>
    <m/>
    <m/>
    <m/>
    <n v="20"/>
    <n v="20"/>
    <m/>
    <m/>
    <x v="110"/>
    <x v="0"/>
    <n v="0.27027027027027029"/>
    <s v="NO"/>
    <m/>
  </r>
  <r>
    <m/>
    <x v="0"/>
    <s v="KMSS"/>
    <x v="0"/>
    <x v="7"/>
    <x v="56"/>
    <n v="1"/>
    <m/>
    <m/>
    <n v="338"/>
    <n v="338"/>
    <m/>
    <m/>
    <m/>
    <m/>
    <n v="338"/>
    <n v="338"/>
    <m/>
    <m/>
    <x v="56"/>
    <x v="0"/>
    <n v="0.47075208913649025"/>
    <s v="NO"/>
    <m/>
  </r>
  <r>
    <m/>
    <x v="6"/>
    <m/>
    <x v="0"/>
    <x v="5"/>
    <x v="113"/>
    <n v="1"/>
    <m/>
    <m/>
    <n v="38"/>
    <n v="38"/>
    <m/>
    <m/>
    <m/>
    <m/>
    <n v="38"/>
    <n v="38"/>
    <m/>
    <m/>
    <x v="113"/>
    <x v="0"/>
    <n v="1"/>
    <s v="NO"/>
    <m/>
  </r>
  <r>
    <m/>
    <x v="2"/>
    <m/>
    <x v="0"/>
    <x v="5"/>
    <x v="113"/>
    <n v="1"/>
    <m/>
    <m/>
    <n v="5"/>
    <m/>
    <m/>
    <m/>
    <m/>
    <m/>
    <n v="0"/>
    <n v="0"/>
    <m/>
    <m/>
    <x v="113"/>
    <x v="0"/>
    <n v="0"/>
    <s v="NO"/>
    <m/>
  </r>
  <r>
    <m/>
    <x v="8"/>
    <s v="KMSS"/>
    <x v="0"/>
    <x v="1"/>
    <x v="43"/>
    <n v="1"/>
    <m/>
    <m/>
    <n v="20"/>
    <n v="20"/>
    <m/>
    <m/>
    <m/>
    <m/>
    <n v="20"/>
    <n v="20"/>
    <m/>
    <m/>
    <x v="43"/>
    <x v="0"/>
    <n v="0.1"/>
    <s v="NO"/>
    <m/>
  </r>
  <r>
    <m/>
    <x v="0"/>
    <s v="KBC"/>
    <x v="1"/>
    <x v="9"/>
    <x v="114"/>
    <n v="1"/>
    <m/>
    <m/>
    <n v="30"/>
    <n v="30"/>
    <m/>
    <m/>
    <m/>
    <m/>
    <n v="30"/>
    <n v="30"/>
    <m/>
    <m/>
    <x v="114"/>
    <x v="0"/>
    <n v="0.44776119402985076"/>
    <s v="NO"/>
    <m/>
  </r>
  <r>
    <m/>
    <x v="2"/>
    <m/>
    <x v="0"/>
    <x v="1"/>
    <x v="43"/>
    <n v="1"/>
    <m/>
    <m/>
    <n v="50"/>
    <n v="50"/>
    <m/>
    <m/>
    <m/>
    <m/>
    <n v="50"/>
    <n v="50"/>
    <m/>
    <m/>
    <x v="43"/>
    <x v="0"/>
    <n v="0.25"/>
    <s v="NO"/>
    <m/>
  </r>
  <r>
    <m/>
    <x v="13"/>
    <s v="KMSS"/>
    <x v="0"/>
    <x v="1"/>
    <x v="115"/>
    <n v="1"/>
    <m/>
    <m/>
    <n v="60"/>
    <n v="60"/>
    <m/>
    <m/>
    <m/>
    <m/>
    <n v="60"/>
    <n v="60"/>
    <m/>
    <m/>
    <x v="115"/>
    <x v="0"/>
    <n v="0.49180327868852458"/>
    <s v="NO"/>
    <m/>
  </r>
  <r>
    <m/>
    <x v="2"/>
    <s v="KMSS"/>
    <x v="0"/>
    <x v="1"/>
    <x v="115"/>
    <n v="1"/>
    <m/>
    <m/>
    <n v="20"/>
    <n v="20"/>
    <m/>
    <m/>
    <m/>
    <m/>
    <n v="20"/>
    <n v="20"/>
    <m/>
    <m/>
    <x v="115"/>
    <x v="0"/>
    <n v="0.16393442622950818"/>
    <s v="NO"/>
    <m/>
  </r>
  <r>
    <m/>
    <x v="0"/>
    <s v="KMSS"/>
    <x v="0"/>
    <x v="7"/>
    <x v="53"/>
    <n v="1"/>
    <m/>
    <m/>
    <n v="700"/>
    <n v="700"/>
    <m/>
    <m/>
    <m/>
    <m/>
    <n v="700"/>
    <n v="700"/>
    <m/>
    <m/>
    <x v="53"/>
    <x v="0"/>
    <n v="0.45278137128072443"/>
    <s v="NO"/>
    <m/>
  </r>
  <r>
    <m/>
    <x v="2"/>
    <s v="KBSS"/>
    <x v="0"/>
    <x v="7"/>
    <x v="53"/>
    <n v="1"/>
    <m/>
    <m/>
    <n v="217"/>
    <n v="217"/>
    <m/>
    <m/>
    <m/>
    <m/>
    <n v="217"/>
    <n v="217"/>
    <m/>
    <m/>
    <x v="53"/>
    <x v="0"/>
    <n v="0.14036222509702459"/>
    <s v="NO"/>
    <m/>
  </r>
  <r>
    <m/>
    <x v="14"/>
    <s v="MDCG"/>
    <x v="1"/>
    <x v="6"/>
    <x v="116"/>
    <n v="1"/>
    <m/>
    <m/>
    <n v="121"/>
    <n v="121"/>
    <m/>
    <m/>
    <m/>
    <m/>
    <n v="0"/>
    <n v="0"/>
    <m/>
    <m/>
    <x v="116"/>
    <x v="1"/>
    <s v=""/>
    <s v="NO"/>
    <m/>
  </r>
  <r>
    <m/>
    <x v="2"/>
    <s v="KBC"/>
    <x v="1"/>
    <x v="6"/>
    <x v="117"/>
    <n v="1"/>
    <m/>
    <m/>
    <n v="20"/>
    <n v="20"/>
    <m/>
    <m/>
    <m/>
    <m/>
    <n v="20"/>
    <n v="20"/>
    <m/>
    <m/>
    <x v="117"/>
    <x v="0"/>
    <n v="0.31746031746031744"/>
    <s v="NO"/>
    <m/>
  </r>
  <r>
    <m/>
    <x v="6"/>
    <m/>
    <x v="1"/>
    <x v="6"/>
    <x v="118"/>
    <n v="1"/>
    <m/>
    <m/>
    <n v="80"/>
    <n v="80"/>
    <m/>
    <m/>
    <m/>
    <m/>
    <n v="57"/>
    <n v="80"/>
    <m/>
    <m/>
    <x v="118"/>
    <x v="0"/>
    <n v="1"/>
    <s v="NO"/>
    <m/>
  </r>
  <r>
    <m/>
    <x v="6"/>
    <m/>
    <x v="1"/>
    <x v="6"/>
    <x v="119"/>
    <n v="1"/>
    <m/>
    <m/>
    <n v="48"/>
    <n v="48"/>
    <m/>
    <m/>
    <m/>
    <m/>
    <n v="30"/>
    <n v="48"/>
    <m/>
    <m/>
    <x v="119"/>
    <x v="0"/>
    <n v="1"/>
    <s v="NO"/>
    <m/>
  </r>
  <r>
    <m/>
    <x v="2"/>
    <s v="KBC"/>
    <x v="1"/>
    <x v="13"/>
    <x v="62"/>
    <n v="1"/>
    <m/>
    <m/>
    <n v="10"/>
    <n v="10"/>
    <m/>
    <m/>
    <m/>
    <m/>
    <n v="10"/>
    <n v="10"/>
    <m/>
    <m/>
    <x v="62"/>
    <x v="0"/>
    <n v="0.29411764705882354"/>
    <s v="NO"/>
    <m/>
  </r>
  <r>
    <m/>
    <x v="2"/>
    <s v="KBC"/>
    <x v="1"/>
    <x v="14"/>
    <x v="120"/>
    <n v="1"/>
    <m/>
    <m/>
    <n v="10"/>
    <n v="10"/>
    <m/>
    <m/>
    <m/>
    <m/>
    <n v="10"/>
    <n v="10"/>
    <m/>
    <m/>
    <x v="120"/>
    <x v="0"/>
    <n v="0.22727272727272727"/>
    <s v="NO"/>
    <m/>
  </r>
  <r>
    <m/>
    <x v="13"/>
    <s v="KBSS"/>
    <x v="0"/>
    <x v="4"/>
    <x v="86"/>
    <n v="1"/>
    <m/>
    <m/>
    <n v="100"/>
    <n v="100"/>
    <m/>
    <m/>
    <m/>
    <m/>
    <n v="0"/>
    <n v="0"/>
    <m/>
    <m/>
    <x v="86"/>
    <x v="1"/>
    <s v=""/>
    <s v="NO"/>
    <m/>
  </r>
  <r>
    <m/>
    <x v="11"/>
    <m/>
    <x v="0"/>
    <x v="4"/>
    <x v="32"/>
    <n v="1"/>
    <m/>
    <m/>
    <n v="26"/>
    <n v="26"/>
    <m/>
    <m/>
    <m/>
    <m/>
    <n v="26"/>
    <n v="26"/>
    <m/>
    <m/>
    <x v="32"/>
    <x v="0"/>
    <n v="4.7531992687385741E-2"/>
    <s v="NO"/>
    <m/>
  </r>
  <r>
    <m/>
    <x v="2"/>
    <s v="KBSS"/>
    <x v="0"/>
    <x v="4"/>
    <x v="32"/>
    <n v="1"/>
    <m/>
    <m/>
    <n v="350"/>
    <n v="350"/>
    <m/>
    <m/>
    <m/>
    <m/>
    <n v="350"/>
    <n v="350"/>
    <m/>
    <m/>
    <x v="32"/>
    <x v="0"/>
    <n v="0.63985374771480807"/>
    <s v="NO"/>
    <m/>
  </r>
  <r>
    <m/>
    <x v="2"/>
    <m/>
    <x v="0"/>
    <x v="4"/>
    <x v="32"/>
    <n v="1"/>
    <m/>
    <m/>
    <n v="150"/>
    <m/>
    <m/>
    <m/>
    <m/>
    <m/>
    <n v="0"/>
    <n v="0"/>
    <m/>
    <m/>
    <x v="32"/>
    <x v="0"/>
    <n v="0"/>
    <s v="NO"/>
    <m/>
  </r>
  <r>
    <m/>
    <x v="2"/>
    <s v="KBC"/>
    <x v="0"/>
    <x v="2"/>
    <x v="121"/>
    <n v="1"/>
    <m/>
    <m/>
    <n v="40"/>
    <n v="40"/>
    <m/>
    <m/>
    <m/>
    <m/>
    <n v="40"/>
    <n v="40"/>
    <m/>
    <m/>
    <x v="121"/>
    <x v="0"/>
    <n v="0.8"/>
    <s v="NO"/>
    <m/>
  </r>
  <r>
    <m/>
    <x v="2"/>
    <s v="KBC"/>
    <x v="0"/>
    <x v="11"/>
    <x v="122"/>
    <n v="1"/>
    <m/>
    <m/>
    <n v="15"/>
    <n v="15"/>
    <m/>
    <m/>
    <m/>
    <m/>
    <n v="12"/>
    <n v="15"/>
    <m/>
    <m/>
    <x v="122"/>
    <x v="0"/>
    <n v="1"/>
    <s v="NO"/>
    <m/>
  </r>
  <r>
    <m/>
    <x v="7"/>
    <s v="KBC"/>
    <x v="0"/>
    <x v="15"/>
    <x v="123"/>
    <n v="1"/>
    <m/>
    <m/>
    <n v="10"/>
    <n v="10"/>
    <m/>
    <m/>
    <m/>
    <m/>
    <n v="10"/>
    <n v="10"/>
    <m/>
    <m/>
    <x v="123"/>
    <x v="0"/>
    <n v="0.52631578947368418"/>
    <s v="NO"/>
    <m/>
  </r>
  <r>
    <m/>
    <x v="2"/>
    <s v="KBC"/>
    <x v="0"/>
    <x v="15"/>
    <x v="123"/>
    <n v="1"/>
    <m/>
    <m/>
    <n v="20"/>
    <n v="20"/>
    <m/>
    <m/>
    <m/>
    <m/>
    <n v="19"/>
    <n v="20"/>
    <m/>
    <m/>
    <x v="123"/>
    <x v="0"/>
    <n v="1"/>
    <s v="NO"/>
    <m/>
  </r>
  <r>
    <m/>
    <x v="2"/>
    <s v="KBC"/>
    <x v="0"/>
    <x v="2"/>
    <x v="90"/>
    <n v="1"/>
    <m/>
    <m/>
    <n v="15"/>
    <n v="15"/>
    <m/>
    <m/>
    <m/>
    <m/>
    <n v="0"/>
    <n v="0"/>
    <m/>
    <m/>
    <x v="90"/>
    <x v="1"/>
    <s v=""/>
    <s v="NO"/>
    <m/>
  </r>
  <r>
    <m/>
    <x v="2"/>
    <m/>
    <x v="0"/>
    <x v="1"/>
    <x v="55"/>
    <n v="1"/>
    <m/>
    <m/>
    <n v="5"/>
    <n v="5"/>
    <m/>
    <m/>
    <m/>
    <m/>
    <n v="5"/>
    <n v="5"/>
    <m/>
    <m/>
    <x v="55"/>
    <x v="0"/>
    <n v="3.5971223021582732E-2"/>
    <s v="NO"/>
    <m/>
  </r>
  <r>
    <m/>
    <x v="2"/>
    <s v="Shalom"/>
    <x v="0"/>
    <x v="8"/>
    <x v="26"/>
    <n v="1"/>
    <m/>
    <m/>
    <n v="33"/>
    <n v="33"/>
    <m/>
    <m/>
    <m/>
    <m/>
    <n v="33"/>
    <n v="33"/>
    <m/>
    <m/>
    <x v="26"/>
    <x v="0"/>
    <n v="0.22916666666666666"/>
    <s v="NO"/>
    <m/>
  </r>
  <r>
    <m/>
    <x v="6"/>
    <m/>
    <x v="0"/>
    <x v="5"/>
    <x v="29"/>
    <n v="1"/>
    <m/>
    <m/>
    <n v="12"/>
    <n v="12"/>
    <m/>
    <m/>
    <m/>
    <m/>
    <n v="12"/>
    <n v="12"/>
    <m/>
    <m/>
    <x v="29"/>
    <x v="0"/>
    <n v="9.2307692307692313E-2"/>
    <s v="NO"/>
    <m/>
  </r>
  <r>
    <m/>
    <x v="2"/>
    <s v="Metta"/>
    <x v="0"/>
    <x v="5"/>
    <x v="29"/>
    <n v="1"/>
    <m/>
    <m/>
    <n v="30"/>
    <n v="30"/>
    <m/>
    <m/>
    <m/>
    <m/>
    <n v="30"/>
    <n v="30"/>
    <m/>
    <m/>
    <x v="29"/>
    <x v="0"/>
    <n v="0.23076923076923078"/>
    <s v="NO"/>
    <m/>
  </r>
  <r>
    <m/>
    <x v="2"/>
    <m/>
    <x v="0"/>
    <x v="5"/>
    <x v="29"/>
    <n v="1"/>
    <m/>
    <m/>
    <n v="15"/>
    <n v="15"/>
    <m/>
    <m/>
    <m/>
    <m/>
    <n v="15"/>
    <n v="15"/>
    <m/>
    <m/>
    <x v="29"/>
    <x v="0"/>
    <n v="0.11538461538461539"/>
    <s v="NO"/>
    <m/>
  </r>
  <r>
    <m/>
    <x v="2"/>
    <s v="Shalom"/>
    <x v="0"/>
    <x v="5"/>
    <x v="29"/>
    <n v="1"/>
    <m/>
    <m/>
    <n v="5"/>
    <n v="5"/>
    <m/>
    <m/>
    <m/>
    <m/>
    <n v="5"/>
    <n v="5"/>
    <m/>
    <m/>
    <x v="29"/>
    <x v="0"/>
    <n v="3.8461538461538464E-2"/>
    <s v="NO"/>
    <m/>
  </r>
  <r>
    <m/>
    <x v="2"/>
    <m/>
    <x v="0"/>
    <x v="7"/>
    <x v="104"/>
    <n v="1"/>
    <m/>
    <m/>
    <n v="12"/>
    <n v="12"/>
    <m/>
    <m/>
    <m/>
    <m/>
    <n v="12"/>
    <n v="12"/>
    <m/>
    <m/>
    <x v="104"/>
    <x v="0"/>
    <n v="0.30769230769230771"/>
    <s v="NO"/>
    <m/>
  </r>
  <r>
    <m/>
    <x v="5"/>
    <s v="KBC"/>
    <x v="0"/>
    <x v="1"/>
    <x v="7"/>
    <n v="1"/>
    <m/>
    <m/>
    <n v="32"/>
    <n v="32"/>
    <m/>
    <m/>
    <m/>
    <m/>
    <n v="32"/>
    <n v="32"/>
    <m/>
    <m/>
    <x v="7"/>
    <x v="0"/>
    <n v="0.49230769230769234"/>
    <s v="NO"/>
    <m/>
  </r>
  <r>
    <m/>
    <x v="13"/>
    <m/>
    <x v="0"/>
    <x v="7"/>
    <x v="74"/>
    <n v="1"/>
    <m/>
    <m/>
    <n v="40"/>
    <n v="40"/>
    <m/>
    <m/>
    <m/>
    <m/>
    <n v="40"/>
    <n v="40"/>
    <m/>
    <m/>
    <x v="74"/>
    <x v="0"/>
    <n v="0.38834951456310679"/>
    <s v="NO"/>
    <m/>
  </r>
  <r>
    <m/>
    <x v="2"/>
    <m/>
    <x v="0"/>
    <x v="7"/>
    <x v="74"/>
    <n v="1"/>
    <m/>
    <m/>
    <n v="6"/>
    <n v="6"/>
    <m/>
    <m/>
    <m/>
    <m/>
    <n v="6"/>
    <n v="6"/>
    <m/>
    <m/>
    <x v="74"/>
    <x v="0"/>
    <n v="5.8252427184466021E-2"/>
    <s v="NO"/>
    <m/>
  </r>
  <r>
    <m/>
    <x v="2"/>
    <m/>
    <x v="0"/>
    <x v="7"/>
    <x v="34"/>
    <n v="1"/>
    <m/>
    <m/>
    <n v="5"/>
    <n v="57"/>
    <m/>
    <m/>
    <m/>
    <m/>
    <n v="57"/>
    <n v="57"/>
    <m/>
    <m/>
    <x v="34"/>
    <x v="0"/>
    <n v="0.29381443298969073"/>
    <s v="NO"/>
    <m/>
  </r>
  <r>
    <m/>
    <x v="13"/>
    <s v="KBSS"/>
    <x v="0"/>
    <x v="4"/>
    <x v="124"/>
    <n v="1"/>
    <m/>
    <m/>
    <n v="100"/>
    <n v="100"/>
    <m/>
    <m/>
    <m/>
    <m/>
    <n v="0"/>
    <n v="0"/>
    <m/>
    <m/>
    <x v="124"/>
    <x v="1"/>
    <s v=""/>
    <s v="NO"/>
    <m/>
  </r>
  <r>
    <m/>
    <x v="2"/>
    <s v="Shalom"/>
    <x v="0"/>
    <x v="0"/>
    <x v="1"/>
    <n v="1"/>
    <m/>
    <m/>
    <n v="25"/>
    <n v="25"/>
    <m/>
    <m/>
    <m/>
    <m/>
    <n v="25"/>
    <n v="25"/>
    <m/>
    <m/>
    <x v="1"/>
    <x v="0"/>
    <n v="0.83333333333333337"/>
    <s v="NO"/>
    <m/>
  </r>
  <r>
    <m/>
    <x v="0"/>
    <s v="KMSS"/>
    <x v="0"/>
    <x v="0"/>
    <x v="125"/>
    <n v="1"/>
    <m/>
    <m/>
    <n v="604"/>
    <n v="604"/>
    <m/>
    <m/>
    <m/>
    <m/>
    <n v="431"/>
    <n v="604"/>
    <m/>
    <m/>
    <x v="125"/>
    <x v="0"/>
    <n v="1"/>
    <s v="NO"/>
    <m/>
  </r>
  <r>
    <m/>
    <x v="12"/>
    <m/>
    <x v="0"/>
    <x v="7"/>
    <x v="126"/>
    <n v="1"/>
    <m/>
    <m/>
    <n v="92"/>
    <n v="92"/>
    <m/>
    <m/>
    <m/>
    <m/>
    <n v="0"/>
    <n v="0"/>
    <m/>
    <m/>
    <x v="126"/>
    <x v="1"/>
    <s v=""/>
    <s v="NO"/>
    <m/>
  </r>
  <r>
    <m/>
    <x v="2"/>
    <s v="Shalom"/>
    <x v="0"/>
    <x v="0"/>
    <x v="87"/>
    <n v="1"/>
    <m/>
    <m/>
    <n v="54"/>
    <n v="54"/>
    <m/>
    <m/>
    <m/>
    <m/>
    <n v="54"/>
    <n v="54"/>
    <m/>
    <m/>
    <x v="87"/>
    <x v="0"/>
    <n v="0.18685121107266436"/>
    <s v="NO"/>
    <m/>
  </r>
  <r>
    <m/>
    <x v="4"/>
    <m/>
    <x v="0"/>
    <x v="0"/>
    <x v="87"/>
    <n v="1"/>
    <m/>
    <m/>
    <n v="18"/>
    <n v="18"/>
    <m/>
    <m/>
    <m/>
    <m/>
    <n v="18"/>
    <n v="18"/>
    <m/>
    <m/>
    <x v="87"/>
    <x v="0"/>
    <n v="6.228373702422145E-2"/>
    <s v="NO"/>
    <m/>
  </r>
  <r>
    <m/>
    <x v="0"/>
    <s v="KMSS"/>
    <x v="0"/>
    <x v="0"/>
    <x v="0"/>
    <n v="1"/>
    <m/>
    <m/>
    <n v="12"/>
    <n v="12"/>
    <m/>
    <m/>
    <m/>
    <m/>
    <n v="12"/>
    <n v="12"/>
    <m/>
    <m/>
    <x v="0"/>
    <x v="0"/>
    <n v="4.2553191489361701E-2"/>
    <s v="NO"/>
    <m/>
  </r>
  <r>
    <m/>
    <x v="2"/>
    <s v="KMSS"/>
    <x v="0"/>
    <x v="0"/>
    <x v="0"/>
    <n v="1"/>
    <m/>
    <m/>
    <n v="78"/>
    <n v="78"/>
    <m/>
    <m/>
    <m/>
    <m/>
    <n v="78"/>
    <n v="78"/>
    <n v="138"/>
    <m/>
    <x v="0"/>
    <x v="0"/>
    <n v="0.27659574468085107"/>
    <s v="NO"/>
    <m/>
  </r>
  <r>
    <m/>
    <x v="2"/>
    <m/>
    <x v="0"/>
    <x v="0"/>
    <x v="0"/>
    <n v="1"/>
    <m/>
    <m/>
    <n v="120"/>
    <n v="120"/>
    <m/>
    <m/>
    <m/>
    <m/>
    <n v="120"/>
    <n v="120"/>
    <m/>
    <m/>
    <x v="0"/>
    <x v="0"/>
    <n v="0.42553191489361702"/>
    <s v="NO"/>
    <m/>
  </r>
  <r>
    <m/>
    <x v="2"/>
    <s v="KBC"/>
    <x v="0"/>
    <x v="1"/>
    <x v="7"/>
    <n v="1"/>
    <m/>
    <m/>
    <n v="20"/>
    <n v="20"/>
    <m/>
    <m/>
    <m/>
    <m/>
    <n v="20"/>
    <n v="20"/>
    <m/>
    <m/>
    <x v="7"/>
    <x v="0"/>
    <n v="0.30769230769230771"/>
    <s v="NO"/>
    <m/>
  </r>
  <r>
    <m/>
    <x v="4"/>
    <m/>
    <x v="0"/>
    <x v="0"/>
    <x v="45"/>
    <n v="1"/>
    <m/>
    <m/>
    <n v="10"/>
    <n v="10"/>
    <m/>
    <m/>
    <m/>
    <m/>
    <n v="10"/>
    <n v="10"/>
    <m/>
    <m/>
    <x v="45"/>
    <x v="0"/>
    <n v="0.22222222222222221"/>
    <s v="NO"/>
    <m/>
  </r>
  <r>
    <m/>
    <x v="2"/>
    <s v="KBC"/>
    <x v="0"/>
    <x v="0"/>
    <x v="39"/>
    <n v="1"/>
    <m/>
    <m/>
    <n v="24"/>
    <n v="24"/>
    <m/>
    <m/>
    <m/>
    <m/>
    <n v="24"/>
    <n v="24"/>
    <m/>
    <m/>
    <x v="39"/>
    <x v="0"/>
    <n v="0.12903225806451613"/>
    <s v="NO"/>
    <m/>
  </r>
  <r>
    <m/>
    <x v="0"/>
    <m/>
    <x v="0"/>
    <x v="4"/>
    <x v="50"/>
    <n v="1"/>
    <m/>
    <m/>
    <n v="144"/>
    <n v="144"/>
    <m/>
    <m/>
    <m/>
    <m/>
    <n v="144"/>
    <n v="144"/>
    <m/>
    <m/>
    <x v="50"/>
    <x v="0"/>
    <n v="0.35732009925558311"/>
    <s v="NO"/>
    <m/>
  </r>
  <r>
    <m/>
    <x v="15"/>
    <m/>
    <x v="0"/>
    <x v="4"/>
    <x v="127"/>
    <n v="1"/>
    <m/>
    <m/>
    <n v="20"/>
    <n v="20"/>
    <m/>
    <m/>
    <m/>
    <m/>
    <n v="20"/>
    <n v="20"/>
    <m/>
    <m/>
    <x v="127"/>
    <x v="0"/>
    <n v="0.11494252873563218"/>
    <s v="NO"/>
    <m/>
  </r>
  <r>
    <m/>
    <x v="12"/>
    <m/>
    <x v="0"/>
    <x v="4"/>
    <x v="127"/>
    <n v="1"/>
    <m/>
    <m/>
    <n v="30"/>
    <n v="30"/>
    <m/>
    <m/>
    <m/>
    <m/>
    <n v="30"/>
    <n v="30"/>
    <m/>
    <m/>
    <x v="127"/>
    <x v="0"/>
    <n v="0.17241379310344829"/>
    <s v="NO"/>
    <m/>
  </r>
  <r>
    <m/>
    <x v="6"/>
    <m/>
    <x v="0"/>
    <x v="7"/>
    <x v="76"/>
    <n v="1"/>
    <m/>
    <m/>
    <n v="18"/>
    <n v="18"/>
    <m/>
    <m/>
    <m/>
    <m/>
    <n v="18"/>
    <n v="18"/>
    <m/>
    <m/>
    <x v="76"/>
    <x v="0"/>
    <n v="6.7924528301886791E-2"/>
    <s v="NO"/>
    <m/>
  </r>
  <r>
    <m/>
    <x v="2"/>
    <m/>
    <x v="0"/>
    <x v="7"/>
    <x v="76"/>
    <n v="1"/>
    <m/>
    <m/>
    <n v="55"/>
    <n v="55"/>
    <m/>
    <m/>
    <m/>
    <m/>
    <n v="55"/>
    <n v="55"/>
    <m/>
    <m/>
    <x v="76"/>
    <x v="0"/>
    <n v="0.20754716981132076"/>
    <s v="NO"/>
    <m/>
  </r>
  <r>
    <m/>
    <x v="2"/>
    <m/>
    <x v="0"/>
    <x v="1"/>
    <x v="106"/>
    <n v="1"/>
    <m/>
    <m/>
    <n v="20"/>
    <n v="20"/>
    <m/>
    <m/>
    <m/>
    <m/>
    <n v="20"/>
    <n v="20"/>
    <m/>
    <m/>
    <x v="106"/>
    <x v="0"/>
    <n v="0.19230769230769232"/>
    <s v="NO"/>
    <m/>
  </r>
  <r>
    <m/>
    <x v="6"/>
    <m/>
    <x v="0"/>
    <x v="4"/>
    <x v="107"/>
    <n v="1"/>
    <m/>
    <m/>
    <n v="15"/>
    <n v="15"/>
    <m/>
    <m/>
    <m/>
    <m/>
    <n v="15"/>
    <n v="15"/>
    <m/>
    <m/>
    <x v="107"/>
    <x v="0"/>
    <n v="0.15306122448979592"/>
    <s v="NO"/>
    <m/>
  </r>
  <r>
    <m/>
    <x v="8"/>
    <s v="KBC"/>
    <x v="0"/>
    <x v="0"/>
    <x v="46"/>
    <n v="1"/>
    <m/>
    <m/>
    <n v="8"/>
    <n v="8"/>
    <m/>
    <m/>
    <m/>
    <m/>
    <n v="8"/>
    <n v="8"/>
    <m/>
    <m/>
    <x v="46"/>
    <x v="0"/>
    <n v="0.12307692307692308"/>
    <s v="NO"/>
    <m/>
  </r>
  <r>
    <m/>
    <x v="2"/>
    <s v="Shalom"/>
    <x v="0"/>
    <x v="7"/>
    <x v="128"/>
    <n v="1"/>
    <m/>
    <m/>
    <m/>
    <m/>
    <m/>
    <m/>
    <m/>
    <m/>
    <n v="0"/>
    <n v="0"/>
    <n v="5"/>
    <m/>
    <x v="128"/>
    <x v="1"/>
    <s v=""/>
    <s v="NO"/>
    <m/>
  </r>
  <r>
    <m/>
    <x v="2"/>
    <s v="KBSS"/>
    <x v="0"/>
    <x v="4"/>
    <x v="30"/>
    <n v="1"/>
    <m/>
    <m/>
    <n v="200"/>
    <n v="200"/>
    <m/>
    <m/>
    <m/>
    <m/>
    <n v="200"/>
    <n v="200"/>
    <m/>
    <m/>
    <x v="30"/>
    <x v="0"/>
    <n v="0.44543429844097998"/>
    <s v="NO"/>
    <m/>
  </r>
  <r>
    <m/>
    <x v="6"/>
    <m/>
    <x v="0"/>
    <x v="7"/>
    <x v="128"/>
    <n v="1"/>
    <m/>
    <m/>
    <n v="6"/>
    <n v="6"/>
    <m/>
    <m/>
    <m/>
    <m/>
    <n v="0"/>
    <n v="0"/>
    <m/>
    <m/>
    <x v="128"/>
    <x v="1"/>
    <s v=""/>
    <s v="NO"/>
    <m/>
  </r>
  <r>
    <m/>
    <x v="2"/>
    <s v="KBC"/>
    <x v="0"/>
    <x v="0"/>
    <x v="46"/>
    <n v="1"/>
    <m/>
    <m/>
    <n v="10"/>
    <n v="10"/>
    <m/>
    <m/>
    <m/>
    <m/>
    <n v="10"/>
    <n v="10"/>
    <m/>
    <m/>
    <x v="46"/>
    <x v="0"/>
    <n v="0.15384615384615385"/>
    <s v="NO"/>
    <m/>
  </r>
  <r>
    <m/>
    <x v="2"/>
    <m/>
    <x v="0"/>
    <x v="4"/>
    <x v="77"/>
    <n v="1"/>
    <m/>
    <m/>
    <n v="41"/>
    <n v="10"/>
    <m/>
    <m/>
    <m/>
    <m/>
    <n v="10"/>
    <n v="10"/>
    <m/>
    <m/>
    <x v="77"/>
    <x v="0"/>
    <n v="5.1546391752577317E-2"/>
    <s v="NO"/>
    <m/>
  </r>
  <r>
    <m/>
    <x v="8"/>
    <s v="CC"/>
    <x v="0"/>
    <x v="2"/>
    <x v="129"/>
    <n v="1"/>
    <m/>
    <m/>
    <n v="10"/>
    <n v="10"/>
    <m/>
    <m/>
    <m/>
    <m/>
    <n v="0"/>
    <n v="0"/>
    <m/>
    <m/>
    <x v="129"/>
    <x v="1"/>
    <s v=""/>
    <s v="NO"/>
    <m/>
  </r>
  <r>
    <m/>
    <x v="2"/>
    <s v="Shalom"/>
    <x v="0"/>
    <x v="2"/>
    <x v="129"/>
    <n v="1"/>
    <m/>
    <m/>
    <n v="10"/>
    <n v="10"/>
    <m/>
    <m/>
    <m/>
    <m/>
    <n v="0"/>
    <n v="0"/>
    <m/>
    <m/>
    <x v="129"/>
    <x v="1"/>
    <s v=""/>
    <s v="NO"/>
    <m/>
  </r>
  <r>
    <m/>
    <x v="2"/>
    <s v="Shalom"/>
    <x v="0"/>
    <x v="1"/>
    <x v="31"/>
    <n v="1"/>
    <m/>
    <m/>
    <n v="27"/>
    <n v="27"/>
    <m/>
    <m/>
    <m/>
    <m/>
    <n v="23"/>
    <n v="27"/>
    <m/>
    <m/>
    <x v="31"/>
    <x v="0"/>
    <n v="1"/>
    <s v="NO"/>
    <m/>
  </r>
  <r>
    <m/>
    <x v="2"/>
    <s v="Shalom"/>
    <x v="0"/>
    <x v="1"/>
    <x v="21"/>
    <n v="1"/>
    <m/>
    <m/>
    <n v="4"/>
    <n v="4"/>
    <m/>
    <m/>
    <m/>
    <m/>
    <n v="4"/>
    <n v="4"/>
    <m/>
    <m/>
    <x v="21"/>
    <x v="0"/>
    <n v="0.26666666666666666"/>
    <s v="NO"/>
    <m/>
  </r>
  <r>
    <m/>
    <x v="2"/>
    <s v="Shalom"/>
    <x v="0"/>
    <x v="2"/>
    <x v="89"/>
    <n v="1"/>
    <m/>
    <m/>
    <n v="5"/>
    <n v="5"/>
    <m/>
    <m/>
    <m/>
    <m/>
    <n v="4"/>
    <n v="5"/>
    <m/>
    <m/>
    <x v="89"/>
    <x v="0"/>
    <n v="1"/>
    <s v="NO"/>
    <m/>
  </r>
  <r>
    <m/>
    <x v="14"/>
    <s v="MDCG"/>
    <x v="1"/>
    <x v="6"/>
    <x v="130"/>
    <n v="1"/>
    <m/>
    <m/>
    <n v="63"/>
    <n v="63"/>
    <m/>
    <m/>
    <m/>
    <m/>
    <n v="63"/>
    <n v="63"/>
    <m/>
    <m/>
    <x v="130"/>
    <x v="0"/>
    <n v="0.92647058823529416"/>
    <s v="NO"/>
    <m/>
  </r>
  <r>
    <m/>
    <x v="8"/>
    <s v="Metta"/>
    <x v="0"/>
    <x v="7"/>
    <x v="80"/>
    <n v="1"/>
    <m/>
    <m/>
    <n v="32"/>
    <n v="32"/>
    <m/>
    <m/>
    <m/>
    <m/>
    <n v="32"/>
    <n v="32"/>
    <m/>
    <m/>
    <x v="80"/>
    <x v="0"/>
    <n v="8.2687338501291993E-2"/>
    <s v="NO"/>
    <m/>
  </r>
  <r>
    <m/>
    <x v="6"/>
    <m/>
    <x v="0"/>
    <x v="7"/>
    <x v="80"/>
    <n v="1"/>
    <m/>
    <m/>
    <n v="144"/>
    <n v="144"/>
    <m/>
    <m/>
    <m/>
    <m/>
    <n v="144"/>
    <n v="144"/>
    <m/>
    <m/>
    <x v="80"/>
    <x v="0"/>
    <n v="0.37209302325581395"/>
    <s v="NO"/>
    <m/>
  </r>
  <r>
    <m/>
    <x v="13"/>
    <s v="KBSS"/>
    <x v="0"/>
    <x v="7"/>
    <x v="131"/>
    <n v="1"/>
    <m/>
    <m/>
    <n v="92"/>
    <n v="92"/>
    <m/>
    <m/>
    <m/>
    <m/>
    <n v="0"/>
    <n v="0"/>
    <m/>
    <m/>
    <x v="131"/>
    <x v="1"/>
    <s v=""/>
    <s v="NO"/>
    <m/>
  </r>
  <r>
    <m/>
    <x v="13"/>
    <s v="KBSS"/>
    <x v="0"/>
    <x v="4"/>
    <x v="132"/>
    <n v="1"/>
    <m/>
    <m/>
    <n v="24"/>
    <n v="24"/>
    <m/>
    <m/>
    <m/>
    <m/>
    <n v="0"/>
    <n v="0"/>
    <m/>
    <m/>
    <x v="132"/>
    <x v="1"/>
    <s v=""/>
    <s v="NO"/>
    <m/>
  </r>
  <r>
    <m/>
    <x v="6"/>
    <m/>
    <x v="1"/>
    <x v="12"/>
    <x v="133"/>
    <n v="1"/>
    <m/>
    <m/>
    <n v="20"/>
    <n v="20"/>
    <m/>
    <m/>
    <m/>
    <m/>
    <n v="20"/>
    <n v="20"/>
    <m/>
    <m/>
    <x v="133"/>
    <x v="0"/>
    <n v="0.8"/>
    <s v="NO"/>
    <m/>
  </r>
  <r>
    <m/>
    <x v="2"/>
    <s v="KMSS-LSO"/>
    <x v="1"/>
    <x v="12"/>
    <x v="133"/>
    <n v="1"/>
    <m/>
    <m/>
    <n v="10"/>
    <n v="10"/>
    <m/>
    <m/>
    <m/>
    <m/>
    <n v="10"/>
    <n v="10"/>
    <m/>
    <m/>
    <x v="133"/>
    <x v="0"/>
    <n v="0.4"/>
    <s v="NO"/>
    <m/>
  </r>
  <r>
    <m/>
    <x v="6"/>
    <m/>
    <x v="1"/>
    <x v="9"/>
    <x v="60"/>
    <n v="1"/>
    <m/>
    <m/>
    <n v="24"/>
    <n v="12"/>
    <m/>
    <m/>
    <m/>
    <m/>
    <n v="12"/>
    <n v="12"/>
    <m/>
    <m/>
    <x v="60"/>
    <x v="0"/>
    <n v="0.33333333333333331"/>
    <s v="NO"/>
    <m/>
  </r>
  <r>
    <m/>
    <x v="2"/>
    <s v="KBC"/>
    <x v="0"/>
    <x v="1"/>
    <x v="58"/>
    <n v="1"/>
    <m/>
    <m/>
    <n v="10"/>
    <n v="10"/>
    <m/>
    <m/>
    <m/>
    <m/>
    <n v="10"/>
    <n v="10"/>
    <m/>
    <m/>
    <x v="58"/>
    <x v="0"/>
    <n v="8.4745762711864403E-2"/>
    <s v="NO"/>
    <m/>
  </r>
  <r>
    <m/>
    <x v="10"/>
    <m/>
    <x v="0"/>
    <x v="2"/>
    <x v="71"/>
    <n v="1"/>
    <n v="8"/>
    <n v="8"/>
    <m/>
    <m/>
    <m/>
    <m/>
    <m/>
    <m/>
    <n v="0"/>
    <n v="0"/>
    <m/>
    <m/>
    <x v="71"/>
    <x v="0"/>
    <n v="0"/>
    <s v="NO"/>
    <m/>
  </r>
  <r>
    <m/>
    <x v="2"/>
    <s v="Metta"/>
    <x v="1"/>
    <x v="6"/>
    <x v="117"/>
    <n v="1"/>
    <m/>
    <m/>
    <n v="6"/>
    <n v="6"/>
    <m/>
    <m/>
    <m/>
    <m/>
    <n v="6"/>
    <n v="6"/>
    <m/>
    <m/>
    <x v="117"/>
    <x v="0"/>
    <n v="9.5238095238095233E-2"/>
    <s v="NO"/>
    <m/>
  </r>
  <r>
    <m/>
    <x v="10"/>
    <m/>
    <x v="0"/>
    <x v="1"/>
    <x v="18"/>
    <n v="1"/>
    <n v="1"/>
    <n v="1"/>
    <m/>
    <m/>
    <m/>
    <m/>
    <m/>
    <m/>
    <n v="0"/>
    <n v="0"/>
    <m/>
    <m/>
    <x v="18"/>
    <x v="0"/>
    <n v="0"/>
    <s v="NO"/>
    <m/>
  </r>
  <r>
    <m/>
    <x v="2"/>
    <s v="KBSS"/>
    <x v="0"/>
    <x v="4"/>
    <x v="134"/>
    <n v="1"/>
    <m/>
    <m/>
    <n v="36"/>
    <n v="36"/>
    <m/>
    <m/>
    <m/>
    <m/>
    <n v="0"/>
    <n v="0"/>
    <m/>
    <m/>
    <x v="134"/>
    <x v="1"/>
    <s v=""/>
    <s v="NO"/>
    <m/>
  </r>
  <r>
    <m/>
    <x v="6"/>
    <m/>
    <x v="1"/>
    <x v="9"/>
    <x v="63"/>
    <n v="1"/>
    <m/>
    <m/>
    <n v="50"/>
    <n v="36"/>
    <m/>
    <m/>
    <m/>
    <m/>
    <n v="36"/>
    <n v="36"/>
    <m/>
    <m/>
    <x v="63"/>
    <x v="0"/>
    <n v="0.3"/>
    <s v="NO"/>
    <m/>
  </r>
  <r>
    <m/>
    <x v="0"/>
    <s v="KMSS"/>
    <x v="0"/>
    <x v="1"/>
    <x v="18"/>
    <n v="1"/>
    <m/>
    <m/>
    <n v="46"/>
    <n v="46"/>
    <m/>
    <m/>
    <m/>
    <m/>
    <n v="46"/>
    <n v="46"/>
    <m/>
    <m/>
    <x v="18"/>
    <x v="0"/>
    <n v="0.73015873015873012"/>
    <s v="NO"/>
    <m/>
  </r>
  <r>
    <m/>
    <x v="2"/>
    <s v="KMSS"/>
    <x v="0"/>
    <x v="1"/>
    <x v="18"/>
    <n v="1"/>
    <m/>
    <m/>
    <n v="21"/>
    <n v="21"/>
    <m/>
    <m/>
    <m/>
    <m/>
    <n v="21"/>
    <n v="21"/>
    <n v="21"/>
    <m/>
    <x v="18"/>
    <x v="0"/>
    <n v="0.33333333333333331"/>
    <s v="NO"/>
    <m/>
  </r>
  <r>
    <m/>
    <x v="2"/>
    <m/>
    <x v="0"/>
    <x v="5"/>
    <x v="135"/>
    <n v="1"/>
    <m/>
    <m/>
    <n v="10"/>
    <n v="10"/>
    <m/>
    <m/>
    <m/>
    <m/>
    <n v="10"/>
    <n v="10"/>
    <m/>
    <m/>
    <x v="135"/>
    <x v="0"/>
    <n v="0.47619047619047616"/>
    <s v="NO"/>
    <m/>
  </r>
  <r>
    <m/>
    <x v="2"/>
    <s v="Shalom"/>
    <x v="0"/>
    <x v="2"/>
    <x v="121"/>
    <n v="1"/>
    <m/>
    <m/>
    <n v="15"/>
    <n v="15"/>
    <m/>
    <m/>
    <m/>
    <m/>
    <n v="15"/>
    <n v="15"/>
    <m/>
    <m/>
    <x v="121"/>
    <x v="0"/>
    <n v="0.3"/>
    <s v="NO"/>
    <m/>
  </r>
  <r>
    <m/>
    <x v="10"/>
    <m/>
    <x v="0"/>
    <x v="2"/>
    <x v="90"/>
    <n v="1"/>
    <n v="50"/>
    <n v="50"/>
    <m/>
    <m/>
    <m/>
    <m/>
    <m/>
    <m/>
    <n v="0"/>
    <n v="0"/>
    <m/>
    <m/>
    <x v="90"/>
    <x v="1"/>
    <s v=""/>
    <s v="NO"/>
    <m/>
  </r>
  <r>
    <m/>
    <x v="2"/>
    <s v="KBC"/>
    <x v="0"/>
    <x v="0"/>
    <x v="40"/>
    <n v="1"/>
    <m/>
    <m/>
    <n v="170"/>
    <n v="170"/>
    <m/>
    <m/>
    <m/>
    <m/>
    <n v="170"/>
    <n v="170"/>
    <m/>
    <m/>
    <x v="40"/>
    <x v="0"/>
    <n v="0.92391304347826086"/>
    <s v="NO"/>
    <m/>
  </r>
  <r>
    <m/>
    <x v="2"/>
    <s v="KBC"/>
    <x v="0"/>
    <x v="1"/>
    <x v="59"/>
    <n v="1"/>
    <m/>
    <m/>
    <n v="50"/>
    <n v="50"/>
    <m/>
    <m/>
    <m/>
    <m/>
    <n v="50"/>
    <n v="50"/>
    <m/>
    <m/>
    <x v="59"/>
    <x v="0"/>
    <n v="0.54347826086956519"/>
    <s v="NO"/>
    <m/>
  </r>
  <r>
    <m/>
    <x v="2"/>
    <s v="Shalom"/>
    <x v="0"/>
    <x v="2"/>
    <x v="90"/>
    <n v="1"/>
    <m/>
    <m/>
    <n v="20"/>
    <n v="20"/>
    <m/>
    <m/>
    <m/>
    <m/>
    <n v="0"/>
    <n v="0"/>
    <m/>
    <m/>
    <x v="90"/>
    <x v="1"/>
    <s v=""/>
    <s v="NO"/>
    <m/>
  </r>
  <r>
    <m/>
    <x v="13"/>
    <s v="KBSS"/>
    <x v="0"/>
    <x v="7"/>
    <x v="51"/>
    <n v="1"/>
    <m/>
    <m/>
    <n v="100"/>
    <n v="100"/>
    <m/>
    <m/>
    <m/>
    <m/>
    <n v="100"/>
    <n v="100"/>
    <m/>
    <m/>
    <x v="51"/>
    <x v="0"/>
    <n v="0.27932960893854747"/>
    <s v="NO"/>
    <m/>
  </r>
  <r>
    <m/>
    <x v="16"/>
    <s v="KBSS"/>
    <x v="0"/>
    <x v="7"/>
    <x v="51"/>
    <n v="1"/>
    <m/>
    <m/>
    <n v="350"/>
    <n v="350"/>
    <m/>
    <m/>
    <m/>
    <m/>
    <n v="350"/>
    <n v="350"/>
    <m/>
    <m/>
    <x v="51"/>
    <x v="0"/>
    <n v="0.97765363128491622"/>
    <s v="NO"/>
    <m/>
  </r>
  <r>
    <m/>
    <x v="6"/>
    <m/>
    <x v="0"/>
    <x v="7"/>
    <x v="91"/>
    <n v="1"/>
    <m/>
    <m/>
    <n v="18"/>
    <n v="18"/>
    <m/>
    <m/>
    <m/>
    <m/>
    <n v="0"/>
    <n v="0"/>
    <m/>
    <m/>
    <x v="91"/>
    <x v="1"/>
    <s v=""/>
    <s v="NO"/>
    <m/>
  </r>
  <r>
    <m/>
    <x v="2"/>
    <m/>
    <x v="0"/>
    <x v="7"/>
    <x v="91"/>
    <n v="1"/>
    <m/>
    <m/>
    <n v="9"/>
    <n v="9"/>
    <m/>
    <m/>
    <m/>
    <m/>
    <n v="0"/>
    <n v="0"/>
    <m/>
    <m/>
    <x v="91"/>
    <x v="1"/>
    <s v=""/>
    <s v="NO"/>
    <m/>
  </r>
  <r>
    <m/>
    <x v="2"/>
    <s v="KBC"/>
    <x v="0"/>
    <x v="1"/>
    <x v="47"/>
    <n v="1"/>
    <m/>
    <m/>
    <n v="60"/>
    <n v="60"/>
    <m/>
    <m/>
    <m/>
    <m/>
    <n v="60"/>
    <n v="60"/>
    <m/>
    <m/>
    <x v="47"/>
    <x v="0"/>
    <n v="0.90909090909090906"/>
    <s v="NO"/>
    <m/>
  </r>
  <r>
    <m/>
    <x v="2"/>
    <m/>
    <x v="0"/>
    <x v="7"/>
    <x v="33"/>
    <n v="1"/>
    <m/>
    <m/>
    <n v="45"/>
    <n v="45"/>
    <m/>
    <m/>
    <m/>
    <m/>
    <n v="45"/>
    <n v="45"/>
    <m/>
    <m/>
    <x v="33"/>
    <x v="0"/>
    <n v="0.91836734693877553"/>
    <s v="NO"/>
    <m/>
  </r>
  <r>
    <m/>
    <x v="13"/>
    <s v="KMSS"/>
    <x v="0"/>
    <x v="1"/>
    <x v="2"/>
    <n v="1"/>
    <m/>
    <m/>
    <n v="30"/>
    <n v="30"/>
    <m/>
    <m/>
    <m/>
    <m/>
    <n v="30"/>
    <n v="30"/>
    <m/>
    <m/>
    <x v="2"/>
    <x v="0"/>
    <n v="0.61224489795918369"/>
    <s v="NO"/>
    <m/>
  </r>
  <r>
    <m/>
    <x v="13"/>
    <s v="IRRC"/>
    <x v="0"/>
    <x v="7"/>
    <x v="16"/>
    <n v="1"/>
    <m/>
    <m/>
    <n v="447"/>
    <n v="447"/>
    <m/>
    <m/>
    <m/>
    <m/>
    <n v="447"/>
    <n v="447"/>
    <m/>
    <m/>
    <x v="16"/>
    <x v="0"/>
    <n v="0.74874371859296485"/>
    <s v="NO"/>
    <m/>
  </r>
  <r>
    <m/>
    <x v="2"/>
    <s v="KBSS"/>
    <x v="0"/>
    <x v="7"/>
    <x v="16"/>
    <n v="1"/>
    <m/>
    <m/>
    <n v="130"/>
    <n v="130"/>
    <m/>
    <m/>
    <m/>
    <m/>
    <n v="130"/>
    <n v="130"/>
    <m/>
    <m/>
    <x v="16"/>
    <x v="0"/>
    <n v="0.21775544388609716"/>
    <s v="NO"/>
    <m/>
  </r>
  <r>
    <m/>
    <x v="6"/>
    <m/>
    <x v="0"/>
    <x v="5"/>
    <x v="81"/>
    <n v="1"/>
    <m/>
    <m/>
    <n v="36"/>
    <n v="36"/>
    <m/>
    <m/>
    <m/>
    <m/>
    <n v="36"/>
    <n v="36"/>
    <m/>
    <m/>
    <x v="81"/>
    <x v="0"/>
    <n v="0.23529411764705882"/>
    <s v="NO"/>
    <m/>
  </r>
  <r>
    <m/>
    <x v="10"/>
    <m/>
    <x v="0"/>
    <x v="0"/>
    <x v="52"/>
    <n v="1"/>
    <n v="207"/>
    <n v="207"/>
    <m/>
    <m/>
    <m/>
    <m/>
    <m/>
    <m/>
    <n v="0"/>
    <n v="0"/>
    <m/>
    <m/>
    <x v="52"/>
    <x v="0"/>
    <n v="0"/>
    <s v="NO"/>
    <m/>
  </r>
  <r>
    <m/>
    <x v="2"/>
    <m/>
    <x v="0"/>
    <x v="5"/>
    <x v="81"/>
    <n v="1"/>
    <m/>
    <m/>
    <n v="30"/>
    <n v="30"/>
    <m/>
    <m/>
    <m/>
    <m/>
    <n v="30"/>
    <n v="30"/>
    <m/>
    <m/>
    <x v="81"/>
    <x v="0"/>
    <n v="0.19607843137254902"/>
    <s v="NO"/>
    <m/>
  </r>
  <r>
    <m/>
    <x v="2"/>
    <s v="Shalom"/>
    <x v="0"/>
    <x v="0"/>
    <x v="25"/>
    <n v="1"/>
    <m/>
    <m/>
    <n v="45"/>
    <n v="45"/>
    <m/>
    <m/>
    <m/>
    <m/>
    <n v="45"/>
    <n v="45"/>
    <n v="10"/>
    <m/>
    <x v="25"/>
    <x v="0"/>
    <n v="0.40540540540540543"/>
    <s v="NO"/>
    <m/>
  </r>
  <r>
    <m/>
    <x v="2"/>
    <m/>
    <x v="0"/>
    <x v="0"/>
    <x v="25"/>
    <n v="1"/>
    <m/>
    <m/>
    <n v="5"/>
    <n v="5"/>
    <m/>
    <m/>
    <m/>
    <m/>
    <n v="5"/>
    <n v="5"/>
    <m/>
    <m/>
    <x v="25"/>
    <x v="0"/>
    <n v="4.5045045045045043E-2"/>
    <s v="NO"/>
    <m/>
  </r>
  <r>
    <m/>
    <x v="4"/>
    <m/>
    <x v="0"/>
    <x v="0"/>
    <x v="25"/>
    <n v="1"/>
    <m/>
    <m/>
    <n v="10"/>
    <n v="10"/>
    <m/>
    <m/>
    <m/>
    <m/>
    <n v="10"/>
    <n v="10"/>
    <m/>
    <m/>
    <x v="25"/>
    <x v="0"/>
    <n v="9.0090090090090086E-2"/>
    <s v="NO"/>
    <m/>
  </r>
  <r>
    <m/>
    <x v="2"/>
    <s v="Shalom"/>
    <x v="0"/>
    <x v="0"/>
    <x v="25"/>
    <n v="1"/>
    <m/>
    <m/>
    <n v="5"/>
    <n v="5"/>
    <m/>
    <m/>
    <m/>
    <m/>
    <n v="5"/>
    <n v="5"/>
    <m/>
    <m/>
    <x v="25"/>
    <x v="0"/>
    <n v="4.5045045045045043E-2"/>
    <s v="NO"/>
    <m/>
  </r>
  <r>
    <m/>
    <x v="2"/>
    <s v="KBC"/>
    <x v="0"/>
    <x v="1"/>
    <x v="48"/>
    <n v="1"/>
    <m/>
    <m/>
    <n v="20"/>
    <n v="20"/>
    <m/>
    <m/>
    <m/>
    <m/>
    <n v="20"/>
    <n v="20"/>
    <m/>
    <m/>
    <x v="48"/>
    <x v="0"/>
    <n v="0.64516129032258063"/>
    <s v="NO"/>
    <m/>
  </r>
  <r>
    <m/>
    <x v="2"/>
    <m/>
    <x v="0"/>
    <x v="0"/>
    <x v="46"/>
    <n v="1"/>
    <m/>
    <m/>
    <n v="20"/>
    <n v="20"/>
    <m/>
    <m/>
    <m/>
    <m/>
    <n v="20"/>
    <n v="20"/>
    <m/>
    <m/>
    <x v="46"/>
    <x v="0"/>
    <n v="0.30769230769230771"/>
    <s v="NO"/>
    <m/>
  </r>
  <r>
    <m/>
    <x v="2"/>
    <s v="Shalom"/>
    <x v="0"/>
    <x v="0"/>
    <x v="79"/>
    <n v="1"/>
    <m/>
    <m/>
    <n v="23"/>
    <n v="23"/>
    <m/>
    <m/>
    <m/>
    <m/>
    <n v="23"/>
    <n v="23"/>
    <m/>
    <m/>
    <x v="79"/>
    <x v="0"/>
    <n v="0.74193548387096775"/>
    <s v="NO"/>
    <m/>
  </r>
  <r>
    <m/>
    <x v="2"/>
    <s v="Shalom"/>
    <x v="0"/>
    <x v="0"/>
    <x v="79"/>
    <n v="1"/>
    <m/>
    <m/>
    <n v="3"/>
    <n v="3"/>
    <m/>
    <m/>
    <m/>
    <m/>
    <n v="3"/>
    <n v="3"/>
    <m/>
    <m/>
    <x v="79"/>
    <x v="0"/>
    <n v="9.6774193548387094E-2"/>
    <s v="NO"/>
    <m/>
  </r>
  <r>
    <m/>
    <x v="2"/>
    <s v="Shalom"/>
    <x v="0"/>
    <x v="0"/>
    <x v="12"/>
    <n v="1"/>
    <m/>
    <m/>
    <n v="100"/>
    <n v="100"/>
    <m/>
    <m/>
    <m/>
    <m/>
    <n v="92"/>
    <n v="100"/>
    <n v="15"/>
    <m/>
    <x v="12"/>
    <x v="0"/>
    <n v="1"/>
    <s v="NO"/>
    <m/>
  </r>
  <r>
    <m/>
    <x v="10"/>
    <m/>
    <x v="0"/>
    <x v="2"/>
    <x v="92"/>
    <n v="1"/>
    <n v="9"/>
    <n v="9"/>
    <m/>
    <m/>
    <m/>
    <m/>
    <m/>
    <m/>
    <n v="0"/>
    <n v="0"/>
    <m/>
    <m/>
    <x v="92"/>
    <x v="0"/>
    <n v="0"/>
    <s v="NO"/>
    <m/>
  </r>
  <r>
    <m/>
    <x v="8"/>
    <m/>
    <x v="0"/>
    <x v="5"/>
    <x v="9"/>
    <n v="1"/>
    <m/>
    <m/>
    <n v="162"/>
    <n v="162"/>
    <m/>
    <m/>
    <m/>
    <m/>
    <n v="162"/>
    <n v="162"/>
    <m/>
    <m/>
    <x v="9"/>
    <x v="0"/>
    <n v="0.25391849529780564"/>
    <s v="NO"/>
    <m/>
  </r>
  <r>
    <m/>
    <x v="6"/>
    <m/>
    <x v="0"/>
    <x v="5"/>
    <x v="9"/>
    <n v="1"/>
    <m/>
    <m/>
    <n v="163"/>
    <n v="163"/>
    <m/>
    <m/>
    <m/>
    <m/>
    <n v="163"/>
    <n v="163"/>
    <m/>
    <m/>
    <x v="9"/>
    <x v="0"/>
    <n v="0.2554858934169279"/>
    <s v="NO"/>
    <m/>
  </r>
  <r>
    <m/>
    <x v="2"/>
    <m/>
    <x v="0"/>
    <x v="5"/>
    <x v="9"/>
    <n v="1"/>
    <m/>
    <m/>
    <n v="70"/>
    <n v="70"/>
    <m/>
    <m/>
    <m/>
    <m/>
    <n v="70"/>
    <n v="70"/>
    <m/>
    <m/>
    <x v="9"/>
    <x v="0"/>
    <n v="0.109717868338558"/>
    <s v="NO"/>
    <m/>
  </r>
  <r>
    <m/>
    <x v="10"/>
    <m/>
    <x v="0"/>
    <x v="1"/>
    <x v="136"/>
    <n v="1"/>
    <n v="1"/>
    <n v="1"/>
    <m/>
    <m/>
    <m/>
    <m/>
    <m/>
    <m/>
    <s v=""/>
    <n v="0"/>
    <m/>
    <m/>
    <x v="136"/>
    <x v="2"/>
    <s v=""/>
    <s v="NO"/>
    <m/>
  </r>
  <r>
    <m/>
    <x v="10"/>
    <m/>
    <x v="0"/>
    <x v="2"/>
    <x v="98"/>
    <n v="1"/>
    <n v="7"/>
    <n v="7"/>
    <m/>
    <m/>
    <m/>
    <m/>
    <m/>
    <m/>
    <n v="0"/>
    <n v="0"/>
    <m/>
    <m/>
    <x v="98"/>
    <x v="0"/>
    <n v="0"/>
    <s v="NO"/>
    <m/>
  </r>
  <r>
    <m/>
    <x v="2"/>
    <m/>
    <x v="0"/>
    <x v="7"/>
    <x v="35"/>
    <n v="1"/>
    <m/>
    <m/>
    <n v="40"/>
    <n v="40"/>
    <m/>
    <m/>
    <m/>
    <m/>
    <n v="40"/>
    <n v="40"/>
    <m/>
    <m/>
    <x v="35"/>
    <x v="0"/>
    <n v="0.97560975609756095"/>
    <s v="NO"/>
    <m/>
  </r>
  <r>
    <m/>
    <x v="8"/>
    <s v="Shalom"/>
    <x v="0"/>
    <x v="1"/>
    <x v="58"/>
    <n v="1"/>
    <m/>
    <m/>
    <n v="14"/>
    <n v="14"/>
    <m/>
    <m/>
    <m/>
    <m/>
    <n v="14"/>
    <n v="14"/>
    <m/>
    <m/>
    <x v="58"/>
    <x v="0"/>
    <n v="0.11864406779661017"/>
    <s v="NO"/>
    <m/>
  </r>
  <r>
    <m/>
    <x v="8"/>
    <s v="KBC"/>
    <x v="0"/>
    <x v="1"/>
    <x v="49"/>
    <n v="1"/>
    <m/>
    <m/>
    <n v="14"/>
    <n v="14"/>
    <m/>
    <m/>
    <m/>
    <m/>
    <n v="14"/>
    <n v="14"/>
    <m/>
    <m/>
    <x v="49"/>
    <x v="0"/>
    <n v="0.30434782608695654"/>
    <s v="NO"/>
    <m/>
  </r>
  <r>
    <m/>
    <x v="2"/>
    <m/>
    <x v="0"/>
    <x v="1"/>
    <x v="58"/>
    <n v="1"/>
    <m/>
    <m/>
    <n v="40"/>
    <n v="40"/>
    <m/>
    <m/>
    <m/>
    <m/>
    <n v="40"/>
    <n v="40"/>
    <m/>
    <m/>
    <x v="58"/>
    <x v="0"/>
    <n v="0.33898305084745761"/>
    <s v="NO"/>
    <m/>
  </r>
  <r>
    <m/>
    <x v="2"/>
    <s v="KBC"/>
    <x v="0"/>
    <x v="1"/>
    <x v="49"/>
    <n v="1"/>
    <m/>
    <m/>
    <n v="10"/>
    <n v="10"/>
    <m/>
    <m/>
    <m/>
    <m/>
    <n v="10"/>
    <n v="10"/>
    <m/>
    <m/>
    <x v="49"/>
    <x v="0"/>
    <n v="0.21739130434782608"/>
    <s v="NO"/>
    <m/>
  </r>
  <r>
    <m/>
    <x v="6"/>
    <m/>
    <x v="0"/>
    <x v="16"/>
    <x v="137"/>
    <n v="1"/>
    <m/>
    <m/>
    <n v="42"/>
    <n v="42"/>
    <m/>
    <m/>
    <m/>
    <m/>
    <n v="42"/>
    <n v="42"/>
    <m/>
    <m/>
    <x v="137"/>
    <x v="0"/>
    <n v="0.48837209302325579"/>
    <s v="NO"/>
    <m/>
  </r>
  <r>
    <m/>
    <x v="13"/>
    <s v="KBSS"/>
    <x v="0"/>
    <x v="16"/>
    <x v="138"/>
    <n v="1"/>
    <m/>
    <m/>
    <n v="36"/>
    <n v="36"/>
    <m/>
    <m/>
    <m/>
    <m/>
    <n v="36"/>
    <n v="36"/>
    <m/>
    <m/>
    <x v="138"/>
    <x v="0"/>
    <n v="0.83720930232558144"/>
    <s v="NO"/>
    <m/>
  </r>
  <r>
    <m/>
    <x v="2"/>
    <s v="KBSS"/>
    <x v="0"/>
    <x v="16"/>
    <x v="138"/>
    <n v="1"/>
    <m/>
    <m/>
    <n v="10"/>
    <n v="10"/>
    <m/>
    <m/>
    <m/>
    <m/>
    <n v="10"/>
    <n v="10"/>
    <m/>
    <m/>
    <x v="138"/>
    <x v="0"/>
    <n v="0.23255813953488372"/>
    <s v="NO"/>
    <m/>
  </r>
  <r>
    <m/>
    <x v="2"/>
    <s v="KBC"/>
    <x v="0"/>
    <x v="1"/>
    <x v="49"/>
    <n v="1"/>
    <m/>
    <m/>
    <n v="8"/>
    <n v="8"/>
    <m/>
    <m/>
    <m/>
    <m/>
    <n v="8"/>
    <n v="8"/>
    <m/>
    <m/>
    <x v="49"/>
    <x v="0"/>
    <n v="0.17391304347826086"/>
    <s v="NO"/>
    <m/>
  </r>
  <r>
    <m/>
    <x v="13"/>
    <s v="KMSS"/>
    <x v="0"/>
    <x v="15"/>
    <x v="139"/>
    <n v="1"/>
    <m/>
    <m/>
    <n v="12"/>
    <n v="12"/>
    <m/>
    <m/>
    <m/>
    <m/>
    <n v="11"/>
    <n v="12"/>
    <m/>
    <m/>
    <x v="139"/>
    <x v="0"/>
    <n v="1"/>
    <s v="NO"/>
    <m/>
  </r>
  <r>
    <m/>
    <x v="2"/>
    <m/>
    <x v="0"/>
    <x v="5"/>
    <x v="93"/>
    <n v="1"/>
    <m/>
    <m/>
    <n v="40"/>
    <n v="40"/>
    <m/>
    <m/>
    <m/>
    <m/>
    <n v="20"/>
    <n v="40"/>
    <m/>
    <m/>
    <x v="93"/>
    <x v="0"/>
    <n v="1"/>
    <s v="NO"/>
    <m/>
  </r>
  <r>
    <m/>
    <x v="2"/>
    <s v="KBC"/>
    <x v="0"/>
    <x v="0"/>
    <x v="140"/>
    <n v="1"/>
    <m/>
    <m/>
    <n v="10"/>
    <n v="10"/>
    <m/>
    <m/>
    <m/>
    <m/>
    <n v="0"/>
    <n v="0"/>
    <m/>
    <m/>
    <x v="140"/>
    <x v="1"/>
    <s v=""/>
    <s v="NO"/>
    <m/>
  </r>
  <r>
    <m/>
    <x v="17"/>
    <s v="Shalom"/>
    <x v="0"/>
    <x v="1"/>
    <x v="64"/>
    <n v="1"/>
    <m/>
    <m/>
    <n v="12"/>
    <n v="12"/>
    <m/>
    <m/>
    <m/>
    <m/>
    <n v="12"/>
    <n v="12"/>
    <m/>
    <m/>
    <x v="64"/>
    <x v="0"/>
    <n v="0.22222222222222221"/>
    <s v="NO"/>
    <m/>
  </r>
  <r>
    <m/>
    <x v="2"/>
    <s v="Shalom"/>
    <x v="0"/>
    <x v="1"/>
    <x v="64"/>
    <n v="1"/>
    <m/>
    <m/>
    <n v="40"/>
    <n v="40"/>
    <m/>
    <m/>
    <m/>
    <m/>
    <n v="40"/>
    <n v="40"/>
    <m/>
    <m/>
    <x v="64"/>
    <x v="0"/>
    <n v="0.7407407407407407"/>
    <s v="NO"/>
    <m/>
  </r>
  <r>
    <m/>
    <x v="2"/>
    <s v="Shalom"/>
    <x v="0"/>
    <x v="1"/>
    <x v="64"/>
    <n v="1"/>
    <m/>
    <m/>
    <n v="20"/>
    <n v="20"/>
    <m/>
    <m/>
    <m/>
    <m/>
    <n v="20"/>
    <n v="20"/>
    <m/>
    <m/>
    <x v="64"/>
    <x v="0"/>
    <n v="0.37037037037037035"/>
    <s v="NO"/>
    <m/>
  </r>
  <r>
    <m/>
    <x v="2"/>
    <s v="Shalom"/>
    <x v="0"/>
    <x v="1"/>
    <x v="141"/>
    <n v="1"/>
    <m/>
    <m/>
    <n v="10"/>
    <n v="10"/>
    <m/>
    <m/>
    <m/>
    <m/>
    <n v="4"/>
    <n v="10"/>
    <m/>
    <m/>
    <x v="141"/>
    <x v="0"/>
    <n v="1"/>
    <s v="NO"/>
    <m/>
  </r>
  <r>
    <m/>
    <x v="2"/>
    <m/>
    <x v="0"/>
    <x v="1"/>
    <x v="141"/>
    <n v="1"/>
    <m/>
    <m/>
    <n v="5"/>
    <n v="5"/>
    <m/>
    <m/>
    <m/>
    <m/>
    <n v="4"/>
    <n v="5"/>
    <m/>
    <m/>
    <x v="141"/>
    <x v="0"/>
    <n v="1"/>
    <s v="NO"/>
    <m/>
  </r>
  <r>
    <m/>
    <x v="2"/>
    <s v="Shalom"/>
    <x v="0"/>
    <x v="0"/>
    <x v="73"/>
    <n v="1"/>
    <m/>
    <m/>
    <n v="45"/>
    <n v="45"/>
    <m/>
    <m/>
    <m/>
    <m/>
    <n v="45"/>
    <n v="45"/>
    <m/>
    <m/>
    <x v="73"/>
    <x v="0"/>
    <n v="0.97826086956521741"/>
    <s v="NO"/>
    <m/>
  </r>
  <r>
    <m/>
    <x v="4"/>
    <m/>
    <x v="0"/>
    <x v="0"/>
    <x v="73"/>
    <n v="1"/>
    <m/>
    <m/>
    <n v="24"/>
    <n v="24"/>
    <m/>
    <m/>
    <m/>
    <m/>
    <n v="24"/>
    <n v="24"/>
    <m/>
    <m/>
    <x v="73"/>
    <x v="0"/>
    <n v="0.52173913043478259"/>
    <s v="NO"/>
    <m/>
  </r>
  <r>
    <m/>
    <x v="2"/>
    <s v="Shalom"/>
    <x v="0"/>
    <x v="5"/>
    <x v="142"/>
    <n v="1"/>
    <m/>
    <m/>
    <n v="6"/>
    <m/>
    <m/>
    <m/>
    <m/>
    <m/>
    <n v="0"/>
    <n v="0"/>
    <m/>
    <m/>
    <x v="142"/>
    <x v="1"/>
    <s v=""/>
    <s v="NO"/>
    <m/>
  </r>
  <r>
    <m/>
    <x v="2"/>
    <m/>
    <x v="0"/>
    <x v="5"/>
    <x v="142"/>
    <n v="1"/>
    <m/>
    <m/>
    <n v="5"/>
    <m/>
    <m/>
    <m/>
    <m/>
    <m/>
    <n v="0"/>
    <n v="0"/>
    <m/>
    <m/>
    <x v="142"/>
    <x v="1"/>
    <s v=""/>
    <s v="NO"/>
    <m/>
  </r>
  <r>
    <m/>
    <x v="2"/>
    <s v="Shalom"/>
    <x v="0"/>
    <x v="0"/>
    <x v="94"/>
    <n v="1"/>
    <m/>
    <m/>
    <n v="34"/>
    <n v="34"/>
    <m/>
    <m/>
    <m/>
    <m/>
    <n v="34"/>
    <n v="34"/>
    <m/>
    <m/>
    <x v="94"/>
    <x v="0"/>
    <n v="0.52307692307692311"/>
    <s v="NO"/>
    <m/>
  </r>
  <r>
    <m/>
    <x v="4"/>
    <m/>
    <x v="0"/>
    <x v="0"/>
    <x v="94"/>
    <n v="1"/>
    <m/>
    <m/>
    <n v="15"/>
    <n v="15"/>
    <m/>
    <m/>
    <m/>
    <m/>
    <n v="15"/>
    <n v="15"/>
    <m/>
    <m/>
    <x v="94"/>
    <x v="0"/>
    <n v="0.23076923076923078"/>
    <s v="NO"/>
    <m/>
  </r>
  <r>
    <m/>
    <x v="2"/>
    <m/>
    <x v="0"/>
    <x v="0"/>
    <x v="140"/>
    <n v="1"/>
    <m/>
    <m/>
    <n v="5"/>
    <n v="5"/>
    <m/>
    <m/>
    <m/>
    <m/>
    <n v="0"/>
    <n v="0"/>
    <m/>
    <m/>
    <x v="140"/>
    <x v="1"/>
    <s v=""/>
    <s v="NO"/>
    <m/>
  </r>
  <r>
    <m/>
    <x v="4"/>
    <m/>
    <x v="0"/>
    <x v="0"/>
    <x v="140"/>
    <n v="1"/>
    <m/>
    <m/>
    <n v="10"/>
    <n v="10"/>
    <m/>
    <m/>
    <m/>
    <m/>
    <n v="0"/>
    <n v="0"/>
    <m/>
    <m/>
    <x v="140"/>
    <x v="1"/>
    <s v=""/>
    <s v="NO"/>
    <m/>
  </r>
  <r>
    <m/>
    <x v="2"/>
    <s v="KMSS"/>
    <x v="0"/>
    <x v="2"/>
    <x v="143"/>
    <n v="1"/>
    <m/>
    <m/>
    <m/>
    <m/>
    <m/>
    <m/>
    <m/>
    <m/>
    <n v="0"/>
    <n v="0"/>
    <n v="14"/>
    <m/>
    <x v="143"/>
    <x v="1"/>
    <s v=""/>
    <s v="NO"/>
    <m/>
  </r>
  <r>
    <m/>
    <x v="10"/>
    <m/>
    <x v="0"/>
    <x v="2"/>
    <x v="99"/>
    <n v="1"/>
    <n v="7"/>
    <n v="7"/>
    <m/>
    <m/>
    <m/>
    <m/>
    <m/>
    <m/>
    <n v="0"/>
    <n v="0"/>
    <m/>
    <m/>
    <x v="99"/>
    <x v="0"/>
    <n v="0"/>
    <s v="NO"/>
    <m/>
  </r>
  <r>
    <m/>
    <x v="10"/>
    <m/>
    <x v="0"/>
    <x v="2"/>
    <x v="144"/>
    <n v="1"/>
    <n v="47"/>
    <n v="47"/>
    <m/>
    <m/>
    <m/>
    <m/>
    <m/>
    <m/>
    <s v=""/>
    <n v="0"/>
    <m/>
    <m/>
    <x v="136"/>
    <x v="2"/>
    <s v=""/>
    <s v="NO"/>
    <m/>
  </r>
  <r>
    <m/>
    <x v="6"/>
    <m/>
    <x v="0"/>
    <x v="0"/>
    <x v="95"/>
    <n v="1"/>
    <m/>
    <m/>
    <n v="300"/>
    <m/>
    <m/>
    <m/>
    <m/>
    <m/>
    <n v="0"/>
    <n v="0"/>
    <m/>
    <m/>
    <x v="95"/>
    <x v="0"/>
    <n v="0"/>
    <s v="NO"/>
    <m/>
  </r>
  <r>
    <m/>
    <x v="2"/>
    <s v="Shalom"/>
    <x v="0"/>
    <x v="1"/>
    <x v="145"/>
    <n v="1"/>
    <m/>
    <m/>
    <n v="24"/>
    <n v="24"/>
    <m/>
    <m/>
    <m/>
    <m/>
    <n v="7"/>
    <n v="24"/>
    <m/>
    <m/>
    <x v="144"/>
    <x v="0"/>
    <n v="1"/>
    <s v="NO"/>
    <m/>
  </r>
  <r>
    <m/>
    <x v="6"/>
    <m/>
    <x v="0"/>
    <x v="5"/>
    <x v="96"/>
    <n v="1"/>
    <m/>
    <m/>
    <n v="30"/>
    <n v="30"/>
    <m/>
    <m/>
    <m/>
    <m/>
    <n v="15"/>
    <n v="30"/>
    <m/>
    <m/>
    <x v="96"/>
    <x v="0"/>
    <n v="1"/>
    <s v="NO"/>
    <m/>
  </r>
  <r>
    <m/>
    <x v="2"/>
    <s v="Metta"/>
    <x v="0"/>
    <x v="5"/>
    <x v="96"/>
    <n v="1"/>
    <m/>
    <m/>
    <n v="12"/>
    <n v="12"/>
    <m/>
    <m/>
    <m/>
    <m/>
    <n v="12"/>
    <n v="12"/>
    <m/>
    <m/>
    <x v="96"/>
    <x v="0"/>
    <n v="0.8"/>
    <s v="NO"/>
    <m/>
  </r>
  <r>
    <m/>
    <x v="2"/>
    <s v="Shalom"/>
    <x v="0"/>
    <x v="5"/>
    <x v="96"/>
    <n v="1"/>
    <m/>
    <m/>
    <n v="10"/>
    <n v="10"/>
    <m/>
    <m/>
    <m/>
    <m/>
    <n v="10"/>
    <n v="10"/>
    <m/>
    <m/>
    <x v="96"/>
    <x v="0"/>
    <n v="0.66666666666666663"/>
    <s v="NO"/>
    <m/>
  </r>
  <r>
    <m/>
    <x v="2"/>
    <m/>
    <x v="0"/>
    <x v="5"/>
    <x v="96"/>
    <n v="1"/>
    <m/>
    <m/>
    <n v="6"/>
    <m/>
    <m/>
    <m/>
    <m/>
    <m/>
    <n v="0"/>
    <n v="0"/>
    <m/>
    <m/>
    <x v="96"/>
    <x v="0"/>
    <n v="0"/>
    <s v="NO"/>
    <m/>
  </r>
  <r>
    <m/>
    <x v="2"/>
    <s v="Shalom"/>
    <x v="0"/>
    <x v="2"/>
    <x v="146"/>
    <n v="1"/>
    <m/>
    <m/>
    <n v="10"/>
    <n v="10"/>
    <m/>
    <m/>
    <m/>
    <m/>
    <n v="10"/>
    <n v="10"/>
    <m/>
    <m/>
    <x v="145"/>
    <x v="0"/>
    <n v="0.90909090909090906"/>
    <s v="NO"/>
    <m/>
  </r>
  <r>
    <m/>
    <x v="7"/>
    <s v="KBC"/>
    <x v="0"/>
    <x v="0"/>
    <x v="41"/>
    <n v="1"/>
    <m/>
    <m/>
    <n v="220"/>
    <n v="220"/>
    <m/>
    <m/>
    <m/>
    <m/>
    <n v="0"/>
    <n v="0"/>
    <m/>
    <m/>
    <x v="41"/>
    <x v="1"/>
    <s v=""/>
    <s v="NO"/>
    <m/>
  </r>
  <r>
    <m/>
    <x v="2"/>
    <s v="KBC"/>
    <x v="0"/>
    <x v="0"/>
    <x v="41"/>
    <n v="1"/>
    <m/>
    <m/>
    <n v="325"/>
    <n v="325"/>
    <m/>
    <m/>
    <m/>
    <m/>
    <n v="0"/>
    <n v="0"/>
    <m/>
    <m/>
    <x v="41"/>
    <x v="1"/>
    <s v=""/>
    <s v="NO"/>
    <m/>
  </r>
  <r>
    <m/>
    <x v="14"/>
    <s v="MDCG"/>
    <x v="1"/>
    <x v="6"/>
    <x v="65"/>
    <n v="1"/>
    <m/>
    <m/>
    <n v="85"/>
    <n v="85"/>
    <m/>
    <m/>
    <m/>
    <m/>
    <n v="85"/>
    <n v="85"/>
    <m/>
    <m/>
    <x v="65"/>
    <x v="0"/>
    <n v="0.45698924731182794"/>
    <s v="NO"/>
    <m/>
  </r>
  <r>
    <m/>
    <x v="2"/>
    <m/>
    <x v="0"/>
    <x v="2"/>
    <x v="147"/>
    <n v="1"/>
    <n v="30"/>
    <n v="30"/>
    <m/>
    <m/>
    <m/>
    <m/>
    <m/>
    <m/>
    <s v=""/>
    <n v="0"/>
    <m/>
    <m/>
    <x v="136"/>
    <x v="2"/>
    <s v=""/>
    <s v="NO"/>
    <m/>
  </r>
  <r>
    <m/>
    <x v="7"/>
    <s v="KBC"/>
    <x v="0"/>
    <x v="1"/>
    <x v="147"/>
    <n v="1"/>
    <m/>
    <m/>
    <n v="15"/>
    <n v="15"/>
    <m/>
    <m/>
    <m/>
    <m/>
    <s v=""/>
    <n v="0"/>
    <m/>
    <m/>
    <x v="136"/>
    <x v="2"/>
    <s v=""/>
    <s v="NO"/>
    <m/>
  </r>
  <r>
    <m/>
    <x v="2"/>
    <m/>
    <x v="0"/>
    <x v="10"/>
    <x v="147"/>
    <n v="1"/>
    <n v="55"/>
    <n v="55"/>
    <m/>
    <m/>
    <m/>
    <m/>
    <m/>
    <m/>
    <s v=""/>
    <n v="0"/>
    <m/>
    <m/>
    <x v="136"/>
    <x v="2"/>
    <s v=""/>
    <s v="NO"/>
    <m/>
  </r>
</pivotCacheRecords>
</file>

<file path=xl/pivotCache/pivotCacheRecords3.xml><?xml version="1.0" encoding="utf-8"?>
<pivotCacheRecords xmlns="http://schemas.openxmlformats.org/spreadsheetml/2006/main" xmlns:r="http://schemas.openxmlformats.org/officeDocument/2006/relationships" count="167">
  <r>
    <s v="MMR001CMP042"/>
    <x v="0"/>
    <s v="Chipwi KBC camp"/>
    <s v="Chipwi"/>
    <n v="163"/>
    <n v="790"/>
    <n v="0"/>
    <n v="0"/>
    <n v="0"/>
    <n v="326"/>
    <n v="163"/>
    <n v="163"/>
    <s v=""/>
    <n v="0"/>
  </r>
  <r>
    <s v="MMR001CMP046"/>
    <x v="0"/>
    <s v="Gant Gwin"/>
    <s v="Chipwi"/>
    <n v="0"/>
    <n v="0"/>
    <n v="0"/>
    <n v="0"/>
    <n v="0"/>
    <n v="0"/>
    <n v="0"/>
    <n v="0"/>
    <s v=""/>
    <n v="0"/>
  </r>
  <r>
    <s v="MMR001CMP043"/>
    <x v="0"/>
    <s v="Hpare Hkyer - BP6"/>
    <s v="Chipwi"/>
    <n v="160"/>
    <n v="830"/>
    <n v="0"/>
    <n v="0"/>
    <n v="0"/>
    <n v="320"/>
    <n v="160"/>
    <n v="160"/>
    <s v=""/>
    <n v="0"/>
  </r>
  <r>
    <s v="MMR001CMP045"/>
    <x v="0"/>
    <s v="Lan Jaw "/>
    <s v="Chipwi"/>
    <n v="0"/>
    <n v="0"/>
    <n v="0"/>
    <n v="0"/>
    <n v="0"/>
    <n v="0"/>
    <n v="0"/>
    <n v="0"/>
    <s v=""/>
    <n v="0"/>
  </r>
  <r>
    <s v="MMR001CMP195"/>
    <x v="0"/>
    <s v="Lhaovao Baptist Church (LBC)"/>
    <s v="Chipwi"/>
    <n v="207"/>
    <n v="850"/>
    <n v="0"/>
    <n v="0"/>
    <n v="0"/>
    <n v="414"/>
    <n v="207"/>
    <n v="207"/>
    <s v=""/>
    <n v="0"/>
  </r>
  <r>
    <s v="MMR001CMP225"/>
    <x v="0"/>
    <s v="Saw Zam"/>
    <s v="Chipwi"/>
    <n v="30"/>
    <n v="172"/>
    <n v="0"/>
    <n v="0"/>
    <n v="0"/>
    <n v="60"/>
    <n v="30"/>
    <n v="30"/>
    <s v=""/>
    <n v="0"/>
  </r>
  <r>
    <s v="MMR001CMP210"/>
    <x v="0"/>
    <s v="Pan Wa"/>
    <s v="Chipwi"/>
    <n v="57"/>
    <n v="273"/>
    <n v="0"/>
    <n v="0"/>
    <n v="0"/>
    <n v="114"/>
    <n v="57"/>
    <n v="57"/>
    <s v=""/>
    <n v="0"/>
  </r>
  <r>
    <s v="MMR001CMP115"/>
    <x v="0"/>
    <s v="Hkau Shau (BP 12)"/>
    <s v="Waingmaw"/>
    <n v="154"/>
    <n v="919"/>
    <n v="0"/>
    <n v="0"/>
    <n v="0"/>
    <n v="308"/>
    <n v="154"/>
    <n v="154"/>
    <s v=""/>
    <n v="0"/>
  </r>
  <r>
    <s v="MMR001CMP120"/>
    <x v="0"/>
    <s v="Pajau - Jan Mai"/>
    <s v="Waingmaw"/>
    <n v="163"/>
    <n v="909"/>
    <n v="0"/>
    <n v="0"/>
    <n v="0"/>
    <n v="326"/>
    <n v="163"/>
    <n v="163"/>
    <s v=""/>
    <n v="0"/>
  </r>
  <r>
    <s v="MMR001CMP160"/>
    <x v="0"/>
    <s v="Post 6 Camp"/>
    <s v="Waingmaw"/>
    <n v="91"/>
    <n v="560"/>
    <n v="0"/>
    <n v="0"/>
    <n v="0"/>
    <n v="182"/>
    <n v="91"/>
    <n v="91"/>
    <s v=""/>
    <n v="0"/>
  </r>
  <r>
    <s v="MMR001CMP113"/>
    <x v="0"/>
    <s v="Border Post 8"/>
    <s v="Waingmaw"/>
    <n v="125"/>
    <n v="484"/>
    <n v="0"/>
    <n v="0"/>
    <n v="0"/>
    <n v="250"/>
    <n v="125"/>
    <n v="125"/>
    <s v=""/>
    <n v="0"/>
  </r>
  <r>
    <s v="MMR001CMP041"/>
    <x v="0"/>
    <s v="Shing Jai"/>
    <s v="Waingmaw"/>
    <n v="181"/>
    <n v="1001"/>
    <n v="0"/>
    <n v="0"/>
    <n v="0"/>
    <n v="362"/>
    <n v="181"/>
    <n v="181"/>
    <s v=""/>
    <n v="0"/>
  </r>
  <r>
    <s v="MMR001CMP131"/>
    <x v="0"/>
    <s v="Nhkawng Pa "/>
    <s v="Momauk"/>
    <n v="355"/>
    <n v="1550"/>
    <n v="0"/>
    <n v="0"/>
    <n v="0"/>
    <n v="710"/>
    <n v="355"/>
    <n v="355"/>
    <s v=""/>
    <n v="0"/>
  </r>
  <r>
    <s v="MMR015CMP006"/>
    <x v="0"/>
    <s v="Mungji Pa Dabang (Baptist Church)         "/>
    <s v="Kutkai"/>
    <n v="41"/>
    <n v="230"/>
    <n v="0"/>
    <n v="0"/>
    <n v="0"/>
    <n v="82"/>
    <n v="41"/>
    <n v="41"/>
    <s v=""/>
    <n v="0"/>
  </r>
  <r>
    <s v="MMR015CMP005"/>
    <x v="0"/>
    <s v="Mung Baw "/>
    <s v="Muse"/>
    <n v="0"/>
    <n v="0"/>
    <n v="0"/>
    <n v="0"/>
    <n v="0"/>
    <n v="0"/>
    <n v="0"/>
    <n v="0"/>
    <s v=""/>
    <n v="0"/>
  </r>
  <r>
    <s v="MMR015CMP012"/>
    <x v="0"/>
    <s v="Munekoe Pa (Giwang) - Hka San (Mung  Go  Pa ) "/>
    <s v="Muse"/>
    <n v="0"/>
    <n v="0"/>
    <n v="0"/>
    <n v="0"/>
    <n v="0"/>
    <n v="0"/>
    <n v="0"/>
    <n v="0"/>
    <s v=""/>
    <n v="0"/>
  </r>
  <r>
    <s v="MMR001CMP129"/>
    <x v="0"/>
    <s v="Bum Tsit Pa "/>
    <s v="Mansi"/>
    <n v="365"/>
    <n v="1729"/>
    <n v="0"/>
    <n v="0"/>
    <n v="0"/>
    <n v="730"/>
    <n v="365"/>
    <n v="365"/>
    <s v=""/>
    <n v="0"/>
  </r>
  <r>
    <s v="MMR001CMP226"/>
    <x v="0"/>
    <s v="Bum Tsit Pa Camp II"/>
    <s v="Mansi"/>
    <n v="0"/>
    <n v="0"/>
    <n v="0"/>
    <n v="0"/>
    <n v="0"/>
    <n v="0"/>
    <n v="0"/>
    <n v="0"/>
    <s v=""/>
    <n v="0"/>
  </r>
  <r>
    <s v="MMR001CMP128"/>
    <x v="0"/>
    <s v="Lana Zup Ja "/>
    <s v="Mansi"/>
    <n v="544"/>
    <n v="2424"/>
    <n v="0"/>
    <n v="0"/>
    <n v="0"/>
    <n v="1088"/>
    <n v="544"/>
    <n v="544"/>
    <s v=""/>
    <n v="0"/>
  </r>
  <r>
    <s v="MMR001CMP135"/>
    <x v="0"/>
    <s v="Lung Kawk  ( Hka Hkye Zup)"/>
    <s v="Mansi"/>
    <n v="0"/>
    <n v="0"/>
    <n v="0"/>
    <n v="0"/>
    <n v="0"/>
    <n v="0"/>
    <n v="0"/>
    <n v="0"/>
    <s v=""/>
    <n v="0"/>
  </r>
  <r>
    <s v="MMR001CMP122"/>
    <x v="0"/>
    <s v="Hpun Lum Yang "/>
    <s v="Momauk"/>
    <n v="719"/>
    <n v="3664"/>
    <n v="0"/>
    <n v="0"/>
    <n v="0"/>
    <n v="1438"/>
    <n v="719"/>
    <n v="719"/>
    <s v=""/>
    <n v="0"/>
  </r>
  <r>
    <s v="MMR001CMP121"/>
    <x v="0"/>
    <s v="Je Yang Hka "/>
    <s v="Momauk"/>
    <n v="1490"/>
    <n v="8486"/>
    <n v="0"/>
    <n v="0"/>
    <n v="0"/>
    <n v="2980"/>
    <n v="1490"/>
    <n v="1490"/>
    <s v=""/>
    <n v="0"/>
  </r>
  <r>
    <s v="MMR001CMP126"/>
    <x v="0"/>
    <s v="Pa Kahtawng "/>
    <s v="Momauk"/>
    <n v="632"/>
    <n v="3551"/>
    <n v="0"/>
    <n v="0"/>
    <n v="0"/>
    <n v="1264"/>
    <n v="632"/>
    <n v="632"/>
    <s v=""/>
    <n v="0"/>
  </r>
  <r>
    <s v="MMR001CMP123"/>
    <x v="0"/>
    <s v="Dum Bung "/>
    <s v="Momauk"/>
    <n v="88"/>
    <n v="338"/>
    <n v="0"/>
    <n v="0"/>
    <n v="0"/>
    <n v="176"/>
    <n v="88"/>
    <n v="88"/>
    <s v=""/>
    <n v="0"/>
  </r>
  <r>
    <s v="MMR001CMP208"/>
    <x v="0"/>
    <s v="IDP Boarding School, A Len Bum"/>
    <s v="Waingmaw"/>
    <n v="0"/>
    <n v="872"/>
    <n v="0"/>
    <n v="0"/>
    <n v="0"/>
    <n v="0"/>
    <n v="0"/>
    <n v="0"/>
    <s v=""/>
    <n v="0"/>
  </r>
  <r>
    <s v="MMR001CMP117"/>
    <x v="0"/>
    <s v="Laiza Market 3 - Laiza Gat"/>
    <s v="Waingmaw"/>
    <n v="0"/>
    <n v="0"/>
    <n v="0"/>
    <n v="0"/>
    <n v="0"/>
    <n v="0"/>
    <n v="0"/>
    <n v="0"/>
    <s v=""/>
    <n v="0"/>
  </r>
  <r>
    <s v="MMR001CMP111"/>
    <x v="0"/>
    <s v="Zai Awng - Mung Ga Zup"/>
    <s v="Waingmaw"/>
    <n v="0"/>
    <n v="0"/>
    <n v="0"/>
    <n v="0"/>
    <n v="0"/>
    <n v="0"/>
    <n v="0"/>
    <n v="0"/>
    <s v=""/>
    <n v="0"/>
  </r>
  <r>
    <s v="MMR001CMP119"/>
    <x v="0"/>
    <s v="Maga Yang "/>
    <s v="Waingmaw"/>
    <n v="415"/>
    <n v="1549"/>
    <n v="0"/>
    <n v="0"/>
    <n v="0"/>
    <n v="830"/>
    <n v="415"/>
    <n v="415"/>
    <s v=""/>
    <n v="0"/>
  </r>
  <r>
    <s v="MMR015CMP009"/>
    <x v="0"/>
    <s v="Mandung - Jinghpaw"/>
    <s v="Manton"/>
    <n v="33"/>
    <n v="182"/>
    <n v="0"/>
    <n v="0"/>
    <n v="0"/>
    <n v="66"/>
    <n v="33"/>
    <n v="33"/>
    <s v=""/>
    <n v="0"/>
  </r>
  <r>
    <s v="MMR015CMP139"/>
    <x v="0"/>
    <s v="Nam Hkawng"/>
    <s v="Muse"/>
    <n v="9"/>
    <n v="44"/>
    <n v="0"/>
    <n v="0"/>
    <n v="0"/>
    <n v="18"/>
    <n v="9"/>
    <n v="9"/>
    <s v=""/>
    <n v="0"/>
  </r>
  <r>
    <s v="MMR001CMP071"/>
    <x v="0"/>
    <s v="Loi Je Baptist Church"/>
    <s v="Momauk"/>
    <n v="41"/>
    <n v="241"/>
    <n v="0"/>
    <n v="0"/>
    <n v="0"/>
    <n v="82"/>
    <n v="41"/>
    <n v="41"/>
    <s v=""/>
    <n v="0"/>
  </r>
  <r>
    <s v="MMR001CMP069"/>
    <x v="0"/>
    <s v="Loi Je Catholic Church"/>
    <s v="Momauk"/>
    <n v="129"/>
    <n v="640"/>
    <n v="0"/>
    <n v="0"/>
    <n v="0"/>
    <n v="258"/>
    <n v="129"/>
    <n v="129"/>
    <s v=""/>
    <n v="0"/>
  </r>
  <r>
    <s v="MMR001CMP070"/>
    <x v="0"/>
    <s v="Loi Je Lisu Camp"/>
    <s v="Momauk"/>
    <n v="204"/>
    <n v="578"/>
    <n v="0"/>
    <n v="0"/>
    <n v="0"/>
    <n v="408"/>
    <n v="204"/>
    <n v="204"/>
    <s v=""/>
    <n v="0"/>
  </r>
  <r>
    <s v="MMR001CMP073"/>
    <x v="0"/>
    <s v="Seng Ja "/>
    <s v="Momauk"/>
    <n v="43"/>
    <n v="269"/>
    <n v="0"/>
    <n v="0"/>
    <n v="0"/>
    <n v="86"/>
    <n v="43"/>
    <n v="43"/>
    <s v=""/>
    <n v="0"/>
  </r>
  <r>
    <s v="MMR001CMP072"/>
    <x v="0"/>
    <s v="Nyaung Na Pin "/>
    <s v="Momauk"/>
    <n v="48"/>
    <n v="293"/>
    <n v="0"/>
    <n v="0"/>
    <n v="0"/>
    <n v="96"/>
    <n v="48"/>
    <n v="48"/>
    <s v=""/>
    <n v="0"/>
  </r>
  <r>
    <s v="MMR001CMP221"/>
    <x v="0"/>
    <s v="Machanbaw - KBC"/>
    <s v="Machanbaw"/>
    <n v="0"/>
    <n v="0"/>
    <n v="0"/>
    <n v="0"/>
    <n v="0"/>
    <n v="0"/>
    <n v="0"/>
    <n v="0"/>
    <s v=""/>
    <n v="0"/>
  </r>
  <r>
    <s v="MMR001CMP227"/>
    <x v="0"/>
    <s v="Inn Lel Yan - Host Families"/>
    <s v="Puta-O"/>
    <n v="10"/>
    <n v="56"/>
    <n v="0"/>
    <n v="0"/>
    <n v="0"/>
    <n v="20"/>
    <n v="10"/>
    <n v="10"/>
    <s v=""/>
    <n v="0"/>
  </r>
  <r>
    <s v="MMR001CMP220"/>
    <x v="0"/>
    <s v="Naung Khaing"/>
    <s v="Puta-O"/>
    <n v="0"/>
    <n v="0"/>
    <n v="0"/>
    <n v="0"/>
    <n v="0"/>
    <n v="0"/>
    <n v="0"/>
    <n v="0"/>
    <s v=""/>
    <n v="0"/>
  </r>
  <r>
    <s v="MMR001CMP075"/>
    <x v="0"/>
    <s v="Tote Tan Ward"/>
    <s v="Puta-O"/>
    <n v="14"/>
    <n v="75"/>
    <n v="0"/>
    <n v="0"/>
    <n v="0"/>
    <n v="28"/>
    <n v="14"/>
    <n v="14"/>
    <s v=""/>
    <n v="0"/>
  </r>
  <r>
    <s v="MMR015CMP015"/>
    <x v="0"/>
    <s v="Kone Khem Camp"/>
    <s v="Kutkai"/>
    <n v="0"/>
    <n v="0"/>
    <n v="0"/>
    <n v="0"/>
    <n v="0"/>
    <n v="0"/>
    <n v="0"/>
    <n v="0"/>
    <s v=""/>
    <n v="0"/>
  </r>
  <r>
    <s v="MMR015CMP016"/>
    <x v="0"/>
    <s v="Kutkai downtown (KBC Church)"/>
    <s v="Kutkai"/>
    <n v="56"/>
    <n v="265"/>
    <n v="0"/>
    <n v="0"/>
    <n v="0"/>
    <n v="112"/>
    <n v="56"/>
    <n v="56"/>
    <s v=""/>
    <n v="0"/>
  </r>
  <r>
    <s v="MMR015CMP017"/>
    <x v="0"/>
    <s v="Kutkai downtown (RC Church)"/>
    <s v="Kutkai"/>
    <n v="28"/>
    <n v="132"/>
    <n v="0"/>
    <n v="0"/>
    <n v="0"/>
    <n v="56"/>
    <n v="28"/>
    <n v="28"/>
    <s v=""/>
    <n v="0"/>
  </r>
  <r>
    <s v="MMR015CMP018"/>
    <x v="0"/>
    <s v="Mine Yu Lay village ( Old)"/>
    <s v="Kutkai"/>
    <n v="76"/>
    <n v="338"/>
    <n v="0"/>
    <n v="0"/>
    <n v="0"/>
    <n v="152"/>
    <n v="76"/>
    <n v="76"/>
    <s v=""/>
    <n v="0"/>
  </r>
  <r>
    <s v="MMR015CMP007"/>
    <x v="0"/>
    <s v="Nam Hpak Ka Mare "/>
    <s v="Kutkai"/>
    <n v="57"/>
    <n v="267"/>
    <n v="0"/>
    <n v="0"/>
    <n v="0"/>
    <n v="114"/>
    <n v="57"/>
    <n v="57"/>
    <s v=""/>
    <n v="0"/>
  </r>
  <r>
    <s v="MMR015CMP020"/>
    <x v="0"/>
    <s v="Zup Aung Camp"/>
    <s v="Kutkai"/>
    <n v="201"/>
    <n v="1009"/>
    <n v="0"/>
    <n v="0"/>
    <n v="0"/>
    <n v="402"/>
    <n v="201"/>
    <n v="201"/>
    <s v=""/>
    <n v="0"/>
  </r>
  <r>
    <s v="MMR015CMP209"/>
    <x v="0"/>
    <s v="Mandung - RC"/>
    <s v="Manton"/>
    <n v="29"/>
    <n v="171"/>
    <n v="0"/>
    <n v="0"/>
    <n v="0"/>
    <n v="58"/>
    <n v="29"/>
    <n v="29"/>
    <s v=""/>
    <n v="0"/>
  </r>
  <r>
    <s v="MMR015CMP010"/>
    <x v="0"/>
    <s v="Howa"/>
    <s v="Muse"/>
    <n v="0"/>
    <n v="0"/>
    <n v="0"/>
    <n v="0"/>
    <n v="0"/>
    <n v="0"/>
    <n v="0"/>
    <n v="0"/>
    <s v=""/>
    <n v="0"/>
  </r>
  <r>
    <s v="MMR015CMP011"/>
    <x v="0"/>
    <s v="Nam Hkyet"/>
    <s v="Muse"/>
    <n v="0"/>
    <n v="0"/>
    <n v="0"/>
    <n v="0"/>
    <n v="0"/>
    <n v="0"/>
    <n v="0"/>
    <n v="0"/>
    <s v=""/>
    <n v="0"/>
  </r>
  <r>
    <s v="MMR015CMP004"/>
    <x v="0"/>
    <s v="Nam Hkam - Nay Win Ni (Palawng)"/>
    <s v="Namhkan"/>
    <n v="75"/>
    <n v="369"/>
    <n v="0"/>
    <n v="0"/>
    <n v="0"/>
    <n v="150"/>
    <n v="75"/>
    <n v="75"/>
    <s v=""/>
    <n v="0"/>
  </r>
  <r>
    <s v="MMR015CMP001"/>
    <x v="0"/>
    <s v="Nam Hkam (KBC Jaw Wang)"/>
    <s v="Namhkan"/>
    <n v="68"/>
    <n v="345"/>
    <n v="0"/>
    <n v="0"/>
    <n v="0"/>
    <n v="136"/>
    <n v="68"/>
    <n v="68"/>
    <s v=""/>
    <n v="0"/>
  </r>
  <r>
    <s v="MMR015CMP003"/>
    <x v="0"/>
    <s v="Nam Hkam Catholic Church ( St. Thomas I)"/>
    <s v="Namhkan"/>
    <n v="42"/>
    <n v="218"/>
    <n v="0"/>
    <n v="0"/>
    <n v="0"/>
    <n v="84"/>
    <n v="42"/>
    <n v="42"/>
    <s v=""/>
    <n v="0"/>
  </r>
  <r>
    <s v="MMR015CMP014"/>
    <x v="0"/>
    <s v="Nam Tu Baptist"/>
    <s v="Namtu"/>
    <n v="41"/>
    <n v="180"/>
    <n v="0"/>
    <n v="0"/>
    <n v="0"/>
    <n v="82"/>
    <n v="41"/>
    <n v="41"/>
    <s v=""/>
    <n v="0"/>
  </r>
  <r>
    <s v="MMR015CMP210"/>
    <x v="0"/>
    <s v="Nam Tu RC"/>
    <s v="Namtu"/>
    <n v="118"/>
    <n v="520"/>
    <n v="0"/>
    <n v="0"/>
    <n v="0"/>
    <n v="236"/>
    <n v="118"/>
    <n v="118"/>
    <s v=""/>
    <n v="0"/>
  </r>
  <r>
    <s v="MMR001CMP179"/>
    <x v="0"/>
    <s v="5 Ward Baptist Church(lon Khin)"/>
    <s v="Hpakant"/>
    <n v="0"/>
    <n v="0"/>
    <n v="0"/>
    <n v="0"/>
    <n v="0"/>
    <n v="0"/>
    <n v="0"/>
    <n v="0"/>
    <s v=""/>
    <n v="0"/>
  </r>
  <r>
    <s v="MMR001CMP168"/>
    <x v="0"/>
    <s v="5 Ward RC Church(lon Khin)"/>
    <s v="Hpakant"/>
    <n v="68"/>
    <n v="335"/>
    <n v="0"/>
    <n v="0"/>
    <n v="0"/>
    <n v="136"/>
    <n v="68"/>
    <n v="68"/>
    <s v=""/>
    <n v="0"/>
  </r>
  <r>
    <s v="MMR001CMP050"/>
    <x v="0"/>
    <s v="AD-2000 Tharthana Compound"/>
    <s v="Bhamo"/>
    <n v="236"/>
    <n v="1171"/>
    <n v="0"/>
    <n v="0"/>
    <n v="0"/>
    <n v="472"/>
    <n v="236"/>
    <n v="236"/>
    <s v=""/>
    <n v="0"/>
  </r>
  <r>
    <s v="MMR001CMP176"/>
    <x v="0"/>
    <s v="AG Church, Hmaw Si Sa"/>
    <s v="Hpakant"/>
    <n v="70"/>
    <n v="367"/>
    <n v="0"/>
    <n v="0"/>
    <n v="0"/>
    <n v="140"/>
    <n v="70"/>
    <n v="70"/>
    <s v=""/>
    <n v="0"/>
  </r>
  <r>
    <s v="MMR001CMP190"/>
    <x v="0"/>
    <s v="AG Church, Maw Wan"/>
    <s v="Hpakant"/>
    <n v="14"/>
    <n v="82"/>
    <n v="0"/>
    <n v="0"/>
    <n v="0"/>
    <n v="28"/>
    <n v="14"/>
    <n v="14"/>
    <s v=""/>
    <n v="0"/>
  </r>
  <r>
    <s v="MMR001CMP194"/>
    <x v="0"/>
    <s v="Aung Thar Church"/>
    <s v="Bhamo"/>
    <n v="12"/>
    <n v="52"/>
    <n v="0"/>
    <n v="0"/>
    <n v="0"/>
    <n v="24"/>
    <n v="12"/>
    <n v="12"/>
    <s v=""/>
    <n v="0"/>
  </r>
  <r>
    <s v="MMR001CMP216"/>
    <x v="0"/>
    <s v="Ban Hkung Yang"/>
    <s v="Mansi"/>
    <n v="0"/>
    <n v="0"/>
    <n v="0"/>
    <n v="0"/>
    <n v="0"/>
    <n v="0"/>
    <n v="0"/>
    <n v="0"/>
    <s v=""/>
    <n v="0"/>
  </r>
  <r>
    <s v="MMR001CMP169"/>
    <x v="0"/>
    <s v="Baptist Church, Hmaw Si Sar(Lon Khin)"/>
    <s v="Hpakant"/>
    <n v="36"/>
    <n v="227"/>
    <n v="0"/>
    <n v="0"/>
    <n v="0"/>
    <n v="72"/>
    <n v="36"/>
    <n v="36"/>
    <s v=""/>
    <n v="0"/>
  </r>
  <r>
    <s v="MMR001CMP188"/>
    <x v="0"/>
    <s v="Baptist Church, Naung Hmee VT"/>
    <s v="Hpakant"/>
    <n v="0"/>
    <n v="0"/>
    <n v="0"/>
    <n v="0"/>
    <n v="0"/>
    <n v="0"/>
    <n v="0"/>
    <n v="0"/>
    <s v=""/>
    <n v="0"/>
  </r>
  <r>
    <s v="MMR001CMP109"/>
    <x v="0"/>
    <s v="Chin Church, Seik Mu"/>
    <s v="Hpakant"/>
    <n v="6"/>
    <n v="31"/>
    <n v="0"/>
    <n v="0"/>
    <n v="0"/>
    <n v="12"/>
    <n v="6"/>
    <n v="6"/>
    <s v=""/>
    <n v="0"/>
  </r>
  <r>
    <s v="MMR001CMP174"/>
    <x v="0"/>
    <s v="Dhama Rakhita, Nyein Chan Tar Yar Ward(Lon Khin)"/>
    <s v="Hpakant"/>
    <n v="70"/>
    <n v="376"/>
    <n v="0"/>
    <n v="0"/>
    <n v="0"/>
    <n v="140"/>
    <n v="70"/>
    <n v="70"/>
    <s v=""/>
    <n v="0"/>
  </r>
  <r>
    <s v="MMR001CMP012"/>
    <x v="0"/>
    <e v="#N/A"/>
    <e v="#N/A"/>
    <e v="#N/A"/>
    <e v="#N/A"/>
    <n v="0"/>
    <n v="0"/>
    <n v="0"/>
    <e v="#N/A"/>
    <e v="#N/A"/>
    <e v="#N/A"/>
    <s v=""/>
    <n v="0"/>
  </r>
  <r>
    <s v="MMR001CMP010"/>
    <x v="0"/>
    <s v="Du Kahtawng Baptist"/>
    <s v="Myitkyina"/>
    <n v="42"/>
    <n v="184"/>
    <n v="0"/>
    <n v="0"/>
    <n v="0"/>
    <n v="84"/>
    <n v="42"/>
    <n v="42"/>
    <s v=""/>
    <n v="0"/>
  </r>
  <r>
    <s v="MMR001CMP011"/>
    <x v="0"/>
    <e v="#N/A"/>
    <e v="#N/A"/>
    <e v="#N/A"/>
    <e v="#N/A"/>
    <n v="0"/>
    <n v="0"/>
    <n v="0"/>
    <e v="#N/A"/>
    <e v="#N/A"/>
    <e v="#N/A"/>
    <s v=""/>
    <n v="0"/>
  </r>
  <r>
    <s v="MMR001CMP028"/>
    <x v="0"/>
    <s v="Hkat Cho "/>
    <s v="Waingmaw"/>
    <n v="103"/>
    <n v="504"/>
    <n v="0"/>
    <n v="0"/>
    <n v="0"/>
    <n v="206"/>
    <n v="103"/>
    <n v="103"/>
    <s v=""/>
    <n v="0"/>
  </r>
  <r>
    <s v="MMR001CMP148"/>
    <x v="0"/>
    <s v="Hlaing Naung Baptist"/>
    <s v="Hpakant"/>
    <n v="46"/>
    <n v="190"/>
    <n v="0"/>
    <n v="0"/>
    <n v="0"/>
    <n v="92"/>
    <n v="46"/>
    <n v="46"/>
    <s v=""/>
    <n v="0"/>
  </r>
  <r>
    <s v="MMR001CMP191"/>
    <x v="0"/>
    <s v="Hmaw Wan, Anglican"/>
    <s v="Hpakant"/>
    <n v="2"/>
    <n v="14"/>
    <n v="0"/>
    <n v="0"/>
    <n v="0"/>
    <n v="4"/>
    <n v="2"/>
    <n v="2"/>
    <s v=""/>
    <n v="0"/>
  </r>
  <r>
    <s v="MMR001CMP163"/>
    <x v="0"/>
    <s v="Host Families"/>
    <s v="Bhamo"/>
    <n v="190"/>
    <n v="928"/>
    <n v="0"/>
    <n v="0"/>
    <n v="0"/>
    <n v="380"/>
    <n v="190"/>
    <n v="190"/>
    <s v=""/>
    <n v="0"/>
  </r>
  <r>
    <s v="MMR001CMP196"/>
    <x v="0"/>
    <s v="Host Families"/>
    <s v="Mansi"/>
    <n v="80"/>
    <n v="290"/>
    <n v="0"/>
    <n v="0"/>
    <n v="0"/>
    <n v="160"/>
    <n v="80"/>
    <n v="80"/>
    <s v=""/>
    <n v="0"/>
  </r>
  <r>
    <s v="MMR001CMP197"/>
    <x v="0"/>
    <s v="Host Families"/>
    <s v="Momauk"/>
    <n v="223"/>
    <n v="1067"/>
    <n v="0"/>
    <n v="0"/>
    <n v="0"/>
    <n v="446"/>
    <n v="223"/>
    <n v="223"/>
    <s v=""/>
    <n v="0"/>
  </r>
  <r>
    <s v="MMR001CMP199"/>
    <x v="0"/>
    <s v="Host Families"/>
    <s v="Shwegu"/>
    <n v="0"/>
    <n v="0"/>
    <n v="0"/>
    <n v="0"/>
    <n v="0"/>
    <n v="0"/>
    <n v="0"/>
    <n v="0"/>
    <s v=""/>
    <n v="0"/>
  </r>
  <r>
    <s v="MMR015CMP022"/>
    <x v="0"/>
    <s v="Hpai Kawng Mare"/>
    <s v="Muse"/>
    <n v="32"/>
    <n v="187"/>
    <n v="0"/>
    <n v="0"/>
    <n v="0"/>
    <n v="64"/>
    <n v="32"/>
    <n v="32"/>
    <s v=""/>
    <n v="0"/>
  </r>
  <r>
    <s v="MMR001CMP229"/>
    <x v="0"/>
    <s v="Hpakant Baptist Church, Nam Ma Hpit"/>
    <s v="Hpakant"/>
    <n v="104"/>
    <n v="510"/>
    <n v="0"/>
    <n v="0"/>
    <n v="0"/>
    <n v="208"/>
    <n v="104"/>
    <n v="104"/>
    <s v=""/>
    <n v="0"/>
  </r>
  <r>
    <s v="MMR001CMP052"/>
    <x v="0"/>
    <s v="Htoi San Church"/>
    <s v="Bhamo"/>
    <n v="41"/>
    <n v="230"/>
    <n v="0"/>
    <n v="0"/>
    <n v="0"/>
    <n v="82"/>
    <n v="41"/>
    <n v="41"/>
    <s v=""/>
    <n v="0"/>
  </r>
  <r>
    <s v="MMR001CMP018"/>
    <x v="0"/>
    <s v="Jan Mai Kawng Baptist Church"/>
    <s v="Myitkyina"/>
    <n v="199"/>
    <n v="1118"/>
    <n v="0"/>
    <n v="0"/>
    <n v="0"/>
    <n v="398"/>
    <n v="199"/>
    <n v="199"/>
    <s v=""/>
    <n v="0"/>
  </r>
  <r>
    <s v="MMR001CMP019"/>
    <x v="0"/>
    <s v="Jan Mai Kawng Catholic Church"/>
    <s v="Myitkyina"/>
    <n v="120"/>
    <n v="579"/>
    <n v="0"/>
    <n v="0"/>
    <n v="0"/>
    <n v="240"/>
    <n v="120"/>
    <n v="120"/>
    <s v=""/>
    <n v="0"/>
  </r>
  <r>
    <s v="MMR001CMP200"/>
    <x v="0"/>
    <s v="Khun Sint Village"/>
    <s v="Momauk"/>
    <n v="3"/>
    <n v="18"/>
    <n v="0"/>
    <n v="0"/>
    <n v="0"/>
    <n v="6"/>
    <n v="3"/>
    <n v="3"/>
    <s v=""/>
    <n v="0"/>
  </r>
  <r>
    <s v="MMR001CMP013"/>
    <x v="0"/>
    <s v="Kyun Pin Thar Baptist Church"/>
    <s v="Myitkyina"/>
    <n v="45"/>
    <n v="209"/>
    <n v="0"/>
    <n v="0"/>
    <n v="0"/>
    <n v="90"/>
    <n v="45"/>
    <n v="45"/>
    <s v=""/>
    <n v="0"/>
  </r>
  <r>
    <s v="MMR001CMP078"/>
    <x v="0"/>
    <s v="Kyun Taw Baptist Church "/>
    <s v="Mogaung"/>
    <n v="13"/>
    <n v="70"/>
    <n v="0"/>
    <n v="0"/>
    <n v="0"/>
    <n v="26"/>
    <n v="13"/>
    <n v="13"/>
    <s v=""/>
    <n v="0"/>
  </r>
  <r>
    <s v="MMR001CMP074"/>
    <x v="0"/>
    <s v="La Ja"/>
    <s v="Khaunglanhpu"/>
    <n v="0"/>
    <n v="0"/>
    <n v="0"/>
    <n v="0"/>
    <n v="0"/>
    <n v="0"/>
    <n v="0"/>
    <n v="0"/>
    <s v=""/>
    <n v="0"/>
  </r>
  <r>
    <s v="MMR001CMP202"/>
    <x v="0"/>
    <s v="Lagatyan "/>
    <s v="Mansi"/>
    <n v="0"/>
    <n v="0"/>
    <n v="0"/>
    <n v="0"/>
    <n v="0"/>
    <n v="0"/>
    <n v="0"/>
    <n v="0"/>
    <s v=""/>
    <n v="0"/>
  </r>
  <r>
    <s v="MMR001CMP149"/>
    <x v="0"/>
    <e v="#N/A"/>
    <e v="#N/A"/>
    <e v="#N/A"/>
    <e v="#N/A"/>
    <n v="0"/>
    <n v="0"/>
    <n v="0"/>
    <e v="#N/A"/>
    <e v="#N/A"/>
    <e v="#N/A"/>
    <s v=""/>
    <n v="0"/>
  </r>
  <r>
    <s v="MMR001CMP147"/>
    <x v="0"/>
    <s v="Lawk Awng Mare D. (Sinbo Area)"/>
    <s v="Myitkyina"/>
    <n v="375"/>
    <n v="1691"/>
    <n v="0"/>
    <n v="0"/>
    <n v="0"/>
    <n v="750"/>
    <n v="375"/>
    <n v="375"/>
    <s v=""/>
    <n v="0"/>
  </r>
  <r>
    <s v="MMR001CMP015"/>
    <x v="0"/>
    <s v="Le Kone Bethlehem Church"/>
    <s v="Myitkyina"/>
    <n v="105"/>
    <n v="559"/>
    <n v="0"/>
    <n v="0"/>
    <n v="0"/>
    <n v="210"/>
    <n v="105"/>
    <n v="105"/>
    <s v=""/>
    <n v="0"/>
  </r>
  <r>
    <s v="MMR001CMP014"/>
    <x v="0"/>
    <s v="Le Kone Ziun Baptist Church "/>
    <s v="Myitkyina"/>
    <n v="138"/>
    <n v="703"/>
    <n v="0"/>
    <n v="0"/>
    <n v="0"/>
    <n v="276"/>
    <n v="138"/>
    <n v="138"/>
    <s v=""/>
    <n v="0"/>
  </r>
  <r>
    <s v="MMR001CMP181"/>
    <x v="0"/>
    <s v="Lisu Baptist Church, Maw Shan Vil,. Seik Mu"/>
    <s v="Hpakant"/>
    <n v="18"/>
    <n v="102"/>
    <n v="0"/>
    <n v="0"/>
    <n v="0"/>
    <n v="36"/>
    <n v="18"/>
    <n v="18"/>
    <s v=""/>
    <n v="0"/>
  </r>
  <r>
    <s v="MMR001CMP167"/>
    <x v="0"/>
    <s v="Lisu Baptist Church, Maw Wan Ward"/>
    <s v="Hpakant"/>
    <n v="12"/>
    <n v="60"/>
    <n v="0"/>
    <n v="0"/>
    <n v="0"/>
    <n v="24"/>
    <n v="12"/>
    <n v="12"/>
    <s v=""/>
    <n v="0"/>
  </r>
  <r>
    <s v="MMR001CMP049"/>
    <x v="0"/>
    <s v="Lisu Boarding-House"/>
    <s v="Bhamo"/>
    <n v="129"/>
    <n v="759"/>
    <n v="0"/>
    <n v="0"/>
    <n v="0"/>
    <n v="258"/>
    <n v="129"/>
    <n v="129"/>
    <s v=""/>
    <n v="0"/>
  </r>
  <r>
    <s v="MMR001CMP027"/>
    <x v="0"/>
    <s v="Mading Baptist Church"/>
    <s v="Waingmaw"/>
    <n v="30"/>
    <n v="176"/>
    <n v="0"/>
    <n v="0"/>
    <n v="0"/>
    <n v="60"/>
    <n v="30"/>
    <n v="30"/>
    <s v=""/>
    <n v="0"/>
  </r>
  <r>
    <s v="MMR001CMP064"/>
    <x v="0"/>
    <s v="Mai Khat "/>
    <s v="Momauk"/>
    <n v="0"/>
    <n v="0"/>
    <n v="0"/>
    <n v="0"/>
    <n v="0"/>
    <n v="0"/>
    <n v="0"/>
    <n v="0"/>
    <s v=""/>
    <n v="0"/>
  </r>
  <r>
    <s v="MMR001CMP031"/>
    <x v="0"/>
    <s v="Maina AG Church"/>
    <s v="Waingmaw"/>
    <n v="354"/>
    <n v="2060"/>
    <n v="0"/>
    <n v="0"/>
    <n v="0"/>
    <n v="708"/>
    <n v="354"/>
    <n v="354"/>
    <s v=""/>
    <n v="0"/>
  </r>
  <r>
    <s v="MMR001CMP029"/>
    <x v="0"/>
    <s v="Maina Catholic Church (St. Joseph)"/>
    <s v="Waingmaw"/>
    <n v="350"/>
    <n v="1837"/>
    <n v="0"/>
    <n v="0"/>
    <n v="0"/>
    <n v="700"/>
    <n v="350"/>
    <n v="350"/>
    <s v=""/>
    <n v="0"/>
  </r>
  <r>
    <s v="MMR001CMP040"/>
    <x v="0"/>
    <s v="Maina KBC (Bawng Ring)"/>
    <s v="Waingmaw"/>
    <n v="529"/>
    <n v="2755"/>
    <n v="0"/>
    <n v="0"/>
    <n v="0"/>
    <n v="1058"/>
    <n v="529"/>
    <n v="529"/>
    <s v=""/>
    <n v="0"/>
  </r>
  <r>
    <s v="MMR001CMP039"/>
    <x v="0"/>
    <s v="Maina Lawang Baptist Church"/>
    <s v="Waingmaw"/>
    <n v="49"/>
    <n v="217"/>
    <n v="0"/>
    <n v="0"/>
    <n v="0"/>
    <n v="98"/>
    <n v="49"/>
    <n v="49"/>
    <s v=""/>
    <n v="0"/>
  </r>
  <r>
    <s v="MMR001CMP218"/>
    <x v="0"/>
    <s v="Maing Khaung"/>
    <s v="Mansi"/>
    <n v="433"/>
    <n v="2154"/>
    <n v="0"/>
    <n v="0"/>
    <n v="0"/>
    <n v="866"/>
    <n v="433"/>
    <n v="433"/>
    <s v=""/>
    <n v="0"/>
  </r>
  <r>
    <s v="MMR001CMP223"/>
    <x v="0"/>
    <s v="Maing Khaung Catholic Church"/>
    <s v="Mansi"/>
    <n v="170"/>
    <n v="810"/>
    <n v="0"/>
    <n v="0"/>
    <n v="0"/>
    <n v="340"/>
    <n v="170"/>
    <n v="170"/>
    <s v=""/>
    <n v="0"/>
  </r>
  <r>
    <s v="MMR001CMP016"/>
    <x v="0"/>
    <s v="Maliyang Baptist Church"/>
    <s v="Myitkyina"/>
    <n v="61"/>
    <n v="304"/>
    <n v="0"/>
    <n v="0"/>
    <n v="0"/>
    <n v="122"/>
    <n v="61"/>
    <n v="61"/>
    <s v=""/>
    <n v="0"/>
  </r>
  <r>
    <s v="MMR001CMP062"/>
    <x v="0"/>
    <s v="Man Bung Catholic compound"/>
    <s v="Momauk"/>
    <n v="294"/>
    <n v="1326"/>
    <n v="0"/>
    <n v="0"/>
    <n v="0"/>
    <n v="588"/>
    <n v="294"/>
    <n v="294"/>
    <s v=""/>
    <n v="0"/>
  </r>
  <r>
    <s v="MMR001CMP008"/>
    <x v="0"/>
    <s v="Man Hkring Baptist Church"/>
    <s v="Myitkyina"/>
    <n v="103"/>
    <n v="586"/>
    <n v="0"/>
    <n v="0"/>
    <n v="0"/>
    <n v="206"/>
    <n v="103"/>
    <n v="103"/>
    <s v=""/>
    <n v="0"/>
  </r>
  <r>
    <s v="MMR001CMP063"/>
    <x v="0"/>
    <s v="Man Nawng "/>
    <s v="Momauk"/>
    <n v="0"/>
    <n v="0"/>
    <n v="0"/>
    <n v="0"/>
    <n v="0"/>
    <n v="0"/>
    <n v="0"/>
    <n v="0"/>
    <s v=""/>
    <n v="0"/>
  </r>
  <r>
    <s v="MMR001CMP198"/>
    <x v="0"/>
    <s v="Man Ting"/>
    <s v="Momauk"/>
    <n v="0"/>
    <n v="0"/>
    <n v="0"/>
    <n v="0"/>
    <n v="0"/>
    <n v="0"/>
    <n v="0"/>
    <n v="0"/>
    <s v=""/>
    <n v="0"/>
  </r>
  <r>
    <s v="MMR001CMP133"/>
    <x v="0"/>
    <s v="Man Wing Baptist Church"/>
    <s v="Mansi"/>
    <n v="127"/>
    <n v="649"/>
    <n v="0"/>
    <n v="0"/>
    <n v="0"/>
    <n v="254"/>
    <n v="127"/>
    <n v="127"/>
    <s v=""/>
    <n v="0"/>
  </r>
  <r>
    <s v="MMR001CMP132"/>
    <x v="0"/>
    <s v="Man Wing Catholic Church"/>
    <s v="Mansi"/>
    <n v="444"/>
    <n v="2314"/>
    <n v="0"/>
    <n v="0"/>
    <n v="0"/>
    <n v="888"/>
    <n v="444"/>
    <n v="444"/>
    <s v=""/>
    <n v="0"/>
  </r>
  <r>
    <s v="MMR001CMP228"/>
    <x v="0"/>
    <s v="Man Wing Catholic Church II"/>
    <s v="Mansi"/>
    <n v="156"/>
    <n v="712"/>
    <n v="0"/>
    <n v="0"/>
    <n v="0"/>
    <n v="312"/>
    <n v="156"/>
    <n v="156"/>
    <s v=""/>
    <n v="0"/>
  </r>
  <r>
    <s v="MMR001CMP134"/>
    <x v="0"/>
    <s v="Man Wing Host Families"/>
    <s v="Mansi"/>
    <n v="175"/>
    <n v="834"/>
    <n v="0"/>
    <n v="0"/>
    <n v="0"/>
    <n v="350"/>
    <n v="175"/>
    <n v="175"/>
    <s v=""/>
    <n v="0"/>
  </r>
  <r>
    <s v="MMR001CMP058"/>
    <x v="0"/>
    <s v="Mandalay Monestry"/>
    <s v="Momauk"/>
    <n v="0"/>
    <n v="0"/>
    <n v="0"/>
    <n v="0"/>
    <n v="0"/>
    <n v="0"/>
    <n v="0"/>
    <n v="0"/>
    <s v=""/>
    <n v="0"/>
  </r>
  <r>
    <s v="MMR001CMP077"/>
    <x v="0"/>
    <s v="Ma Hawng Baptist Church"/>
    <s v="Mogaung"/>
    <n v="16"/>
    <n v="79"/>
    <n v="0"/>
    <n v="0"/>
    <n v="0"/>
    <n v="32"/>
    <n v="16"/>
    <n v="16"/>
    <s v=""/>
    <n v="0"/>
  </r>
  <r>
    <s v="MMR001CMP066"/>
    <x v="0"/>
    <s v="Mansi Baptist Church"/>
    <s v="Mansi"/>
    <n v="185"/>
    <n v="830"/>
    <n v="0"/>
    <n v="0"/>
    <n v="0"/>
    <n v="370"/>
    <n v="185"/>
    <n v="185"/>
    <s v=""/>
    <n v="0"/>
  </r>
  <r>
    <s v="MMR001CMP020"/>
    <x v="0"/>
    <s v="Maw Hpawng Hka Nan Baptist Church"/>
    <s v="Myitkyina"/>
    <n v="23"/>
    <n v="94"/>
    <n v="0"/>
    <n v="0"/>
    <n v="0"/>
    <n v="46"/>
    <n v="23"/>
    <n v="23"/>
    <s v=""/>
    <n v="0"/>
  </r>
  <r>
    <s v="MMR001CMP021"/>
    <x v="0"/>
    <s v="Maw Hpawng Lhaovo Baptist Church"/>
    <s v="Myitkyina"/>
    <n v="21"/>
    <n v="131"/>
    <n v="0"/>
    <n v="0"/>
    <n v="0"/>
    <n v="42"/>
    <n v="21"/>
    <n v="21"/>
    <s v=""/>
    <n v="0"/>
  </r>
  <r>
    <s v="MMR001CMP091"/>
    <x v="0"/>
    <s v="Maw Wan, Mu-yin Baptist Church"/>
    <s v="Hpakant"/>
    <n v="4"/>
    <n v="15"/>
    <n v="0"/>
    <n v="0"/>
    <n v="0"/>
    <n v="8"/>
    <n v="4"/>
    <n v="4"/>
    <s v=""/>
    <n v="0"/>
  </r>
  <r>
    <s v="MMR001CMP056"/>
    <x v="0"/>
    <s v="Momauk Baptist Church"/>
    <s v="Momauk"/>
    <n v="453"/>
    <n v="2054"/>
    <n v="0"/>
    <n v="0"/>
    <n v="0"/>
    <n v="906"/>
    <n v="453"/>
    <n v="453"/>
    <s v=""/>
    <n v="0"/>
  </r>
  <r>
    <s v="MMR001CMP057"/>
    <x v="0"/>
    <s v="Momauk Catholic Church (St. Patrick)"/>
    <s v="Momauk"/>
    <n v="0"/>
    <n v="0"/>
    <n v="0"/>
    <n v="0"/>
    <n v="0"/>
    <n v="0"/>
    <n v="0"/>
    <n v="0"/>
    <s v=""/>
    <n v="0"/>
  </r>
  <r>
    <s v="MMR015CMP213"/>
    <x v="0"/>
    <s v="Muse Baptist Church"/>
    <s v="Muse"/>
    <n v="41"/>
    <n v="190"/>
    <n v="0"/>
    <n v="0"/>
    <n v="0"/>
    <n v="82"/>
    <n v="41"/>
    <n v="41"/>
    <s v=""/>
    <n v="0"/>
  </r>
  <r>
    <s v="MMR015CMP216"/>
    <x v="0"/>
    <s v="Muse Catholic Church"/>
    <s v="Muse"/>
    <n v="18"/>
    <n v="80"/>
    <n v="0"/>
    <n v="0"/>
    <n v="0"/>
    <n v="36"/>
    <n v="18"/>
    <n v="18"/>
    <s v=""/>
    <n v="0"/>
  </r>
  <r>
    <s v="MMR001CMP051"/>
    <x v="0"/>
    <s v="Mu-yin Baptist Church"/>
    <s v="Bhamo"/>
    <n v="13"/>
    <n v="57"/>
    <n v="0"/>
    <n v="0"/>
    <n v="0"/>
    <n v="26"/>
    <n v="13"/>
    <n v="13"/>
    <s v=""/>
    <n v="0"/>
  </r>
  <r>
    <s v="MMR001CMP017"/>
    <x v="0"/>
    <s v="Myay Myint Baptist Church"/>
    <s v="Myitkyina"/>
    <n v="0"/>
    <n v="0"/>
    <n v="0"/>
    <n v="0"/>
    <n v="0"/>
    <n v="0"/>
    <n v="0"/>
    <n v="0"/>
    <s v=""/>
    <n v="0"/>
  </r>
  <r>
    <s v="MMR001CMP061"/>
    <x v="0"/>
    <s v="Myo Thit "/>
    <s v="Momauk"/>
    <n v="47"/>
    <n v="153"/>
    <n v="0"/>
    <n v="0"/>
    <n v="0"/>
    <n v="94"/>
    <n v="47"/>
    <n v="47"/>
    <s v=""/>
    <n v="0"/>
  </r>
  <r>
    <s v="MMR015CMP214"/>
    <x v="0"/>
    <s v="Nam Hkam (KBC Jaw Wang) II"/>
    <s v="Namhkan"/>
    <n v="37"/>
    <n v="193"/>
    <n v="0"/>
    <n v="0"/>
    <n v="0"/>
    <n v="74"/>
    <n v="37"/>
    <n v="37"/>
    <s v=""/>
    <n v="0"/>
  </r>
  <r>
    <s v="MMR001CMP192"/>
    <x v="0"/>
    <s v="Nam Ma Phyit, COC"/>
    <s v="Hpakant"/>
    <n v="11"/>
    <n v="46"/>
    <n v="0"/>
    <n v="0"/>
    <n v="0"/>
    <n v="22"/>
    <n v="11"/>
    <n v="11"/>
    <s v=""/>
    <n v="0"/>
  </r>
  <r>
    <s v="MMR015CMP215"/>
    <x v="0"/>
    <s v="Namhkan - Pang Long KBC"/>
    <s v="Namhkan"/>
    <n v="116"/>
    <n v="557"/>
    <n v="0"/>
    <n v="0"/>
    <n v="0"/>
    <n v="232"/>
    <n v="116"/>
    <n v="116"/>
    <s v=""/>
    <n v="0"/>
  </r>
  <r>
    <s v="MMR001CMP024"/>
    <x v="0"/>
    <s v="Nan Kway St. John Catholic Church"/>
    <s v="Myitkyina"/>
    <n v="59"/>
    <n v="309"/>
    <n v="0"/>
    <n v="0"/>
    <n v="0"/>
    <n v="118"/>
    <n v="59"/>
    <n v="59"/>
    <s v=""/>
    <n v="0"/>
  </r>
  <r>
    <s v="MMR001CMP054"/>
    <x v="0"/>
    <s v="Nant Hlaing Church"/>
    <s v="Bhamo"/>
    <n v="15"/>
    <n v="68"/>
    <n v="0"/>
    <n v="0"/>
    <n v="0"/>
    <n v="30"/>
    <n v="15"/>
    <n v="15"/>
    <s v=""/>
    <n v="0"/>
  </r>
  <r>
    <s v="MMR001CMP103"/>
    <x v="0"/>
    <s v="Nant Ma Hpit Catholic Church"/>
    <s v="Hpakant"/>
    <n v="50"/>
    <n v="237"/>
    <n v="0"/>
    <n v="0"/>
    <n v="0"/>
    <n v="100"/>
    <n v="50"/>
    <n v="50"/>
    <s v=""/>
    <n v="0"/>
  </r>
  <r>
    <s v="MMR001CMP081"/>
    <x v="0"/>
    <s v="Nant Mun"/>
    <s v="Mohnyin"/>
    <n v="0"/>
    <n v="0"/>
    <n v="0"/>
    <n v="0"/>
    <n v="0"/>
    <n v="0"/>
    <n v="0"/>
    <n v="0"/>
    <s v=""/>
    <n v="0"/>
  </r>
  <r>
    <s v="MMR015CMP207"/>
    <x v="0"/>
    <s v="Narte"/>
    <s v="Hseni"/>
    <n v="67"/>
    <n v="392"/>
    <n v="0"/>
    <n v="0"/>
    <n v="0"/>
    <n v="134"/>
    <n v="67"/>
    <n v="67"/>
    <s v=""/>
    <n v="0"/>
  </r>
  <r>
    <s v="MMR001CMP079"/>
    <x v="0"/>
    <s v="Nat Gyi Kone Baptist Church "/>
    <s v="Mogaung"/>
    <n v="10"/>
    <n v="42"/>
    <n v="0"/>
    <n v="0"/>
    <n v="0"/>
    <n v="20"/>
    <n v="10"/>
    <n v="10"/>
    <s v=""/>
    <n v="0"/>
  </r>
  <r>
    <s v="MMR001CMP033"/>
    <x v="0"/>
    <s v="Nawng Hee Village"/>
    <s v="Waingmaw"/>
    <n v="19"/>
    <n v="86"/>
    <n v="0"/>
    <n v="0"/>
    <n v="0"/>
    <n v="38"/>
    <n v="19"/>
    <n v="19"/>
    <s v=""/>
    <n v="0"/>
  </r>
  <r>
    <s v="MMR001CMP152"/>
    <x v="0"/>
    <s v="Nawng Ing (Indawgyi) Baptist Church  "/>
    <s v="Mohnyin"/>
    <n v="33"/>
    <n v="160"/>
    <n v="0"/>
    <n v="0"/>
    <n v="0"/>
    <n v="66"/>
    <n v="33"/>
    <n v="33"/>
    <s v=""/>
    <n v="0"/>
  </r>
  <r>
    <s v="MMR001CMP059"/>
    <x v="0"/>
    <s v="Ni Thaw Ka Monestry"/>
    <s v="Momauk"/>
    <n v="0"/>
    <n v="0"/>
    <n v="0"/>
    <n v="0"/>
    <n v="0"/>
    <n v="0"/>
    <n v="0"/>
    <n v="0"/>
    <s v=""/>
    <n v="0"/>
  </r>
  <r>
    <s v="MMR001CMP002"/>
    <x v="0"/>
    <s v="Njang Dung Baptist Church "/>
    <s v="Myitkyina"/>
    <n v="68"/>
    <n v="298"/>
    <n v="0"/>
    <n v="0"/>
    <n v="0"/>
    <n v="136"/>
    <n v="68"/>
    <n v="68"/>
    <s v=""/>
    <n v="0"/>
  </r>
  <r>
    <s v="MMR001CMP162"/>
    <x v="0"/>
    <s v="Pa Dauk Myaing(Pa La Na)"/>
    <s v="Myitkyina"/>
    <n v="137"/>
    <n v="771"/>
    <n v="0"/>
    <n v="0"/>
    <n v="0"/>
    <n v="274"/>
    <n v="137"/>
    <n v="137"/>
    <s v=""/>
    <n v="0"/>
  </r>
  <r>
    <s v="MMR001CMP193"/>
    <x v="0"/>
    <s v="Phan Khar Kone"/>
    <s v="Bhamo"/>
    <n v="145"/>
    <n v="765"/>
    <n v="0"/>
    <n v="0"/>
    <n v="0"/>
    <n v="290"/>
    <n v="145"/>
    <n v="145"/>
    <s v=""/>
    <n v="0"/>
  </r>
  <r>
    <s v="MMR001CMP065"/>
    <x v="0"/>
    <s v="Phar Kay/Nant Waing "/>
    <s v="Momauk"/>
    <n v="0"/>
    <n v="0"/>
    <n v="0"/>
    <n v="0"/>
    <n v="0"/>
    <n v="0"/>
    <n v="0"/>
    <n v="0"/>
    <s v=""/>
    <n v="0"/>
  </r>
  <r>
    <s v="MMR001CMP032"/>
    <x v="0"/>
    <s v="Qtr. 2 Lhaovo Baptist Church"/>
    <s v="Waingmaw"/>
    <n v="130"/>
    <n v="542"/>
    <n v="0"/>
    <n v="0"/>
    <n v="0"/>
    <n v="260"/>
    <n v="130"/>
    <n v="130"/>
    <s v=""/>
    <n v="0"/>
  </r>
  <r>
    <s v="MMR001CMP025"/>
    <x v="0"/>
    <s v="Qtr. 2 Myoma Baptist Church"/>
    <s v="Waingmaw"/>
    <n v="66"/>
    <n v="338"/>
    <n v="0"/>
    <n v="0"/>
    <n v="0"/>
    <n v="132"/>
    <n v="66"/>
    <n v="66"/>
    <s v=""/>
    <n v="0"/>
  </r>
  <r>
    <s v="MMR001CMP030"/>
    <x v="0"/>
    <s v="Qtr. 3 Mu-yin  Baptist Church"/>
    <s v="Waingmaw"/>
    <n v="34"/>
    <n v="189"/>
    <n v="0"/>
    <n v="0"/>
    <n v="0"/>
    <n v="68"/>
    <n v="34"/>
    <n v="34"/>
    <s v=""/>
    <n v="0"/>
  </r>
  <r>
    <s v="MMR001CMP026"/>
    <x v="0"/>
    <s v="Qtr. 4 Monestry (Thargaya Thayett Taw)"/>
    <s v="Waingmaw"/>
    <n v="92"/>
    <n v="505"/>
    <n v="0"/>
    <n v="0"/>
    <n v="0"/>
    <n v="184"/>
    <n v="92"/>
    <n v="92"/>
    <s v=""/>
    <n v="0"/>
  </r>
  <r>
    <s v="MMR001CMP182"/>
    <x v="0"/>
    <s v="Rawan Baptist Church, Maw Shan Vil., Seik Mu"/>
    <s v="Hpakant"/>
    <n v="10"/>
    <n v="38"/>
    <n v="0"/>
    <n v="0"/>
    <n v="0"/>
    <n v="20"/>
    <n v="10"/>
    <n v="10"/>
    <s v=""/>
    <n v="0"/>
  </r>
  <r>
    <s v="MMR001CMP047"/>
    <x v="0"/>
    <s v="Robert Church"/>
    <s v="Bhamo"/>
    <n v="641"/>
    <n v="4010"/>
    <n v="0"/>
    <n v="0"/>
    <n v="0"/>
    <n v="1282"/>
    <n v="641"/>
    <n v="641"/>
    <s v=""/>
    <n v="0"/>
  </r>
  <r>
    <s v="MMR001CMP183"/>
    <x v="0"/>
    <s v="Sai Nai Baptish Church, Maw Shan Vil., Seki Mu"/>
    <s v="Hpakant"/>
    <n v="8"/>
    <n v="32"/>
    <n v="0"/>
    <n v="0"/>
    <n v="0"/>
    <n v="16"/>
    <n v="8"/>
    <n v="8"/>
    <s v=""/>
    <n v="0"/>
  </r>
  <r>
    <s v="MMR001CMP006"/>
    <x v="0"/>
    <s v="Shatapru Sut Ngai Tawng"/>
    <s v="Myitkyina"/>
    <n v="120"/>
    <n v="582"/>
    <n v="0"/>
    <n v="0"/>
    <n v="0"/>
    <n v="240"/>
    <n v="120"/>
    <n v="120"/>
    <s v=""/>
    <n v="0"/>
  </r>
  <r>
    <s v="MMR001CMP007"/>
    <x v="0"/>
    <s v="Shatapru Thida Aye Baptist Church"/>
    <s v="Myitkyina"/>
    <n v="23"/>
    <n v="113"/>
    <n v="0"/>
    <n v="0"/>
    <n v="0"/>
    <n v="46"/>
    <n v="23"/>
    <n v="23"/>
    <s v=""/>
    <n v="0"/>
  </r>
  <r>
    <s v="MMR001CMP067"/>
    <x v="0"/>
    <s v="Shwe Gu Baptist Church"/>
    <s v="Shwegu"/>
    <n v="91"/>
    <n v="344"/>
    <n v="0"/>
    <n v="0"/>
    <n v="0"/>
    <n v="182"/>
    <n v="91"/>
    <n v="91"/>
    <s v=""/>
    <n v="0"/>
  </r>
  <r>
    <s v="MMR001CMP068"/>
    <x v="0"/>
    <s v="Shwe Gu Catholic Church"/>
    <s v="Shwegu"/>
    <n v="46"/>
    <n v="199"/>
    <n v="0"/>
    <n v="0"/>
    <n v="0"/>
    <n v="92"/>
    <n v="46"/>
    <n v="46"/>
    <s v=""/>
    <n v="0"/>
  </r>
  <r>
    <s v="MMR001CMP009"/>
    <x v="0"/>
    <s v="Shwe Zet Baptist Church"/>
    <s v="Myitkyina"/>
    <n v="91"/>
    <n v="511"/>
    <n v="0"/>
    <n v="0"/>
    <n v="0"/>
    <n v="182"/>
    <n v="91"/>
    <n v="91"/>
    <s v=""/>
    <n v="0"/>
  </r>
  <r>
    <s v="MMR001CMP080"/>
    <x v="0"/>
    <s v="St. Patrick Catholic Church "/>
    <s v="Mohnyin"/>
    <n v="11"/>
    <n v="55"/>
    <n v="0"/>
    <n v="0"/>
    <n v="0"/>
    <n v="22"/>
    <n v="11"/>
    <n v="11"/>
    <s v=""/>
    <n v="0"/>
  </r>
  <r>
    <s v="MMR001CMP206"/>
    <x v="0"/>
    <s v="Sumprabum"/>
    <s v="Sumprabum"/>
    <n v="5"/>
    <n v="32"/>
    <n v="0"/>
    <n v="0"/>
    <n v="0"/>
    <n v="10"/>
    <n v="5"/>
    <n v="5"/>
    <s v=""/>
    <n v="0"/>
  </r>
  <r>
    <s v="MMR001CMP055"/>
    <x v="0"/>
    <s v="Ta Gun Taing Monastery (Shwe Kyi Na)"/>
    <s v="Bhamo"/>
    <n v="20"/>
    <n v="95"/>
    <n v="0"/>
    <n v="0"/>
    <n v="0"/>
    <n v="40"/>
    <n v="20"/>
    <n v="20"/>
    <s v=""/>
    <n v="0"/>
  </r>
  <r>
    <s v="MMR001CMP060"/>
    <x v="0"/>
    <s v="Tarli "/>
    <s v="Momauk"/>
    <n v="0"/>
    <n v="0"/>
    <n v="0"/>
    <n v="0"/>
    <n v="0"/>
    <n v="0"/>
    <n v="0"/>
    <n v="0"/>
    <s v=""/>
    <n v="0"/>
  </r>
  <r>
    <s v="MMR001CMP001"/>
    <x v="0"/>
    <s v="Tat Kone Baptist Church"/>
    <s v="Myitkyina"/>
    <n v="75"/>
    <n v="415"/>
    <n v="0"/>
    <n v="0"/>
    <n v="0"/>
    <n v="150"/>
    <n v="75"/>
    <n v="75"/>
    <s v=""/>
    <n v="0"/>
  </r>
  <r>
    <s v="MMR001CMP023"/>
    <x v="0"/>
    <s v="Tat Kone COC Baptist - Tat Kone Htoi San"/>
    <s v="Myitkyina"/>
    <n v="57"/>
    <n v="274"/>
    <n v="0"/>
    <n v="0"/>
    <n v="0"/>
    <n v="114"/>
    <n v="57"/>
    <n v="57"/>
    <s v=""/>
    <n v="0"/>
  </r>
  <r>
    <s v="MMR001CMP004"/>
    <x v="0"/>
    <s v="Tat Kone Emanuel Church"/>
    <s v="Myitkyina"/>
    <n v="16"/>
    <n v="77"/>
    <n v="0"/>
    <n v="0"/>
    <n v="0"/>
    <n v="32"/>
    <n v="16"/>
    <n v="16"/>
    <s v=""/>
    <n v="0"/>
  </r>
  <r>
    <s v="MMR001CMP003"/>
    <x v="0"/>
    <s v="Tat Kone Galile Baptist Church"/>
    <s v="Myitkyina"/>
    <n v="32"/>
    <n v="174"/>
    <n v="0"/>
    <n v="0"/>
    <n v="0"/>
    <n v="64"/>
    <n v="32"/>
    <n v="32"/>
    <s v=""/>
    <n v="0"/>
  </r>
  <r>
    <s v="MMR001CMP005"/>
    <x v="0"/>
    <s v="Tat Kone San Pya Baptist Church"/>
    <s v="Myitkyina"/>
    <n v="46"/>
    <n v="241"/>
    <n v="0"/>
    <n v="0"/>
    <n v="0"/>
    <n v="92"/>
    <n v="46"/>
    <n v="46"/>
    <s v=""/>
    <n v="0"/>
  </r>
  <r>
    <s v="MMR001CMP037"/>
    <x v="0"/>
    <s v="Thargaya Lisu Baptist Church"/>
    <s v="Waingmaw"/>
    <n v="46"/>
    <n v="191"/>
    <n v="0"/>
    <n v="0"/>
    <n v="0"/>
    <n v="92"/>
    <n v="46"/>
    <n v="46"/>
    <s v=""/>
    <n v="0"/>
  </r>
  <r>
    <s v="MMR001CMP224"/>
    <x v="0"/>
    <s v="Tharthana Ahlin Yaung New Monastery"/>
    <s v="Bhamo"/>
    <n v="0"/>
    <n v="0"/>
    <n v="0"/>
    <n v="0"/>
    <n v="0"/>
    <n v="0"/>
    <n v="0"/>
    <n v="0"/>
    <s v=""/>
    <n v="0"/>
  </r>
  <r>
    <s v="MMR001CMP038"/>
    <x v="0"/>
    <s v="Waingmaw AG Church"/>
    <s v="Waingmaw"/>
    <n v="71"/>
    <n v="302"/>
    <n v="0"/>
    <n v="0"/>
    <n v="0"/>
    <n v="142"/>
    <n v="71"/>
    <n v="71"/>
    <s v=""/>
    <n v="0"/>
  </r>
  <r>
    <s v="MMR001CMP036"/>
    <x v="0"/>
    <s v="Waingmaw Baptist Zonal Office"/>
    <s v="Waingmaw"/>
    <n v="0"/>
    <n v="0"/>
    <n v="0"/>
    <n v="0"/>
    <n v="0"/>
    <n v="0"/>
    <n v="0"/>
    <n v="0"/>
    <s v=""/>
    <n v="0"/>
  </r>
  <r>
    <s v="MMR001CMP184"/>
    <x v="0"/>
    <s v="Ward 2 Sai Taung Baptist Church, Seik Mu "/>
    <s v="Hpakant"/>
    <n v="32"/>
    <n v="173"/>
    <n v="0"/>
    <n v="0"/>
    <n v="0"/>
    <n v="64"/>
    <n v="32"/>
    <n v="32"/>
    <s v=""/>
    <n v="0"/>
  </r>
  <r>
    <s v="MMR001CMP116"/>
    <x v="0"/>
    <s v="Woi Chyai "/>
    <s v="Waingmaw"/>
    <n v="1439"/>
    <n v="7148"/>
    <n v="0"/>
    <n v="0"/>
    <n v="0"/>
    <n v="2878"/>
    <n v="1439"/>
    <n v="1439"/>
    <s v=""/>
    <n v="0"/>
  </r>
  <r>
    <s v="MMR001CMP022"/>
    <x v="0"/>
    <s v="Wun Tho Buddhist Monastery"/>
    <s v="Myitkyina"/>
    <n v="7"/>
    <n v="37"/>
    <n v="0"/>
    <n v="0"/>
    <n v="0"/>
    <n v="14"/>
    <n v="7"/>
    <n v="7"/>
    <s v=""/>
    <n v="0"/>
  </r>
  <r>
    <s v="MMR001CMP053"/>
    <x v="0"/>
    <s v="Yoe Kyi Monastery"/>
    <s v="Bhamo"/>
    <n v="13"/>
    <n v="73"/>
    <n v="0"/>
    <n v="0"/>
    <n v="0"/>
    <n v="26"/>
    <n v="13"/>
    <n v="13"/>
    <s v=""/>
    <n v="0"/>
  </r>
  <r>
    <s v="MMR001CMP105"/>
    <x v="0"/>
    <s v="Yumar Baptist Church"/>
    <s v="Hpakant"/>
    <n v="16"/>
    <n v="68"/>
    <n v="0"/>
    <n v="0"/>
    <n v="0"/>
    <n v="32"/>
    <n v="16"/>
    <n v="16"/>
    <s v=""/>
    <n v="0"/>
  </r>
</pivotCacheRecords>
</file>

<file path=xl/pivotCache/pivotCacheRecords4.xml><?xml version="1.0" encoding="utf-8"?>
<pivotCacheRecords xmlns="http://schemas.openxmlformats.org/spreadsheetml/2006/main" xmlns:r="http://schemas.openxmlformats.org/officeDocument/2006/relationships" count="303">
  <r>
    <x v="0"/>
    <x v="0"/>
    <s v="MMR001"/>
    <s v="Myitkyina"/>
    <s v="MMR001D001"/>
    <x v="0"/>
    <s v="MMR001001"/>
    <s v="Myitkyina Town"/>
    <s v="MMR001001701"/>
    <s v="Tat Kone Ward"/>
    <s v="MMR001001701520"/>
    <x v="0"/>
    <x v="0"/>
    <x v="0"/>
    <n v="25.415482000000001"/>
    <n v="0"/>
    <n v="75"/>
    <n v="415"/>
    <n v="5.5333333333333332"/>
    <x v="0"/>
    <x v="0"/>
    <x v="0"/>
    <x v="0"/>
    <x v="0"/>
    <x v="0"/>
    <s v="IP"/>
    <d v="2018-11-01T00:00:00"/>
    <s v="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Myitkyina Town"/>
    <n v="3.1341427522963001"/>
    <n v="1"/>
  </r>
  <r>
    <x v="0"/>
    <x v="0"/>
    <s v="MMR001"/>
    <s v="Myitkyina"/>
    <s v="MMR001D001"/>
    <x v="0"/>
    <s v="MMR001001"/>
    <s v="Myitkyina Town"/>
    <s v="MMR001001701"/>
    <s v="N Jang Dung"/>
    <m/>
    <x v="1"/>
    <x v="1"/>
    <x v="1"/>
    <n v="25.422194000000001"/>
    <n v="0"/>
    <n v="68"/>
    <n v="298"/>
    <n v="4.382352941176471"/>
    <x v="0"/>
    <x v="0"/>
    <x v="0"/>
    <x v="0"/>
    <x v="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3.8820329084732199"/>
    <n v="1"/>
  </r>
  <r>
    <x v="0"/>
    <x v="0"/>
    <s v="MMR001"/>
    <s v="Myitkyina"/>
    <s v="MMR001D001"/>
    <x v="0"/>
    <s v="MMR001001"/>
    <s v="Myitkyina Town"/>
    <s v="MMR001001701"/>
    <s v="Tat Kone Ward"/>
    <s v="MMR001001701520"/>
    <x v="2"/>
    <x v="2"/>
    <x v="2"/>
    <n v="25.404752999999999"/>
    <n v="0"/>
    <n v="32"/>
    <n v="174"/>
    <n v="5.4375"/>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Myitkyina Town"/>
    <n v="2.30454782591254"/>
    <n v="1"/>
  </r>
  <r>
    <x v="0"/>
    <x v="0"/>
    <s v="MMR001"/>
    <s v="Myitkyina"/>
    <s v="MMR001D001"/>
    <x v="0"/>
    <s v="MMR001001"/>
    <s v="Myitkyina Town"/>
    <s v="MMR001001701"/>
    <s v="Tat Kone Ward"/>
    <s v="MMR001001701520"/>
    <x v="3"/>
    <x v="3"/>
    <x v="3"/>
    <n v="25.417733999999999"/>
    <n v="0"/>
    <n v="16"/>
    <n v="77"/>
    <n v="4.8125"/>
    <x v="0"/>
    <x v="0"/>
    <x v="1"/>
    <x v="0"/>
    <x v="2"/>
    <x v="1"/>
    <s v="IP"/>
    <d v="2018-11-01T00:00:00"/>
    <s v="1/Nov/2018: Population update. Data source: Shalom_x000a_31/August/2018: Population update. Data source: Shalom_x000a_31/July/2018: Population update. Data source: Shalom_x000a_30/June/2018: Population update. Data source: Shalom_x000a_30/Apr/2018: Population update. Data source: Shalom_x000a_27/Mar/2018: Population update. Data source: Shalom_x000a_5/Mar/2018: Population update. Data source: Shalom_x000a_From Jan 2018: Camp status change to Camp like setting as none of the Camp management Agency covered anymore_x000a_20/Dec/2017: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3.3637010801853577"/>
    <n v="1"/>
  </r>
  <r>
    <x v="0"/>
    <x v="0"/>
    <s v="MMR001"/>
    <s v="Myitkyina"/>
    <s v="MMR001D001"/>
    <x v="0"/>
    <s v="MMR001001"/>
    <s v="Myitkyina Town"/>
    <s v="MMR001001701"/>
    <s v="Tat Kone Ward"/>
    <s v="MMR001001701520"/>
    <x v="4"/>
    <x v="4"/>
    <x v="4"/>
    <n v="25.404015000000001"/>
    <n v="0"/>
    <n v="46"/>
    <n v="242"/>
    <n v="5.2608695652173916"/>
    <x v="0"/>
    <x v="0"/>
    <x v="0"/>
    <x v="0"/>
    <x v="3"/>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Myitkyina Town"/>
    <n v="2.0123527499589278"/>
    <n v="1"/>
  </r>
  <r>
    <x v="0"/>
    <x v="0"/>
    <s v="MMR001"/>
    <s v="Myitkyina"/>
    <s v="MMR001D001"/>
    <x v="0"/>
    <s v="MMR001001"/>
    <s v="Myitkyina Town"/>
    <s v="MMR001001701"/>
    <s v="Si Tar Pu Ward"/>
    <s v="MMR001001701521"/>
    <x v="5"/>
    <x v="5"/>
    <x v="5"/>
    <n v="25.412313000000001"/>
    <n v="0"/>
    <n v="120"/>
    <n v="582"/>
    <n v="4.8499999999999996"/>
    <x v="0"/>
    <x v="0"/>
    <x v="0"/>
    <x v="0"/>
    <x v="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 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Myitkyina Town"/>
    <n v="2.9133254097712102"/>
    <n v="1"/>
  </r>
  <r>
    <x v="0"/>
    <x v="0"/>
    <s v="MMR001"/>
    <s v="Myitkyina"/>
    <s v="MMR001D001"/>
    <x v="0"/>
    <s v="MMR001001"/>
    <s v="Myitkyina Town"/>
    <s v="MMR001001701"/>
    <s v="Si Tar Pu Ward"/>
    <s v="MMR001001701521"/>
    <x v="6"/>
    <x v="6"/>
    <x v="6"/>
    <n v="25.423817"/>
    <n v="0"/>
    <n v="23"/>
    <n v="112"/>
    <n v="4.8695652173913047"/>
    <x v="0"/>
    <x v="0"/>
    <x v="0"/>
    <x v="0"/>
    <x v="4"/>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1/May/2018: Population update. Data source: Shalom_x000a_30/Apr/2018: Population update. Data source: Shalom_x000a_27/Mar/2018: Population update. Data source: Shalom_x000a_5/Mar/2018: Population update. Data source: Shalom_x000a_20/Dec/2017: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Myitkyina Town"/>
    <n v="4.9021696969220816"/>
    <n v="1"/>
  </r>
  <r>
    <x v="0"/>
    <x v="0"/>
    <s v="MMR001"/>
    <s v="Myitkyina"/>
    <s v="MMR001D001"/>
    <x v="0"/>
    <s v="MMR001001"/>
    <s v="Myitkyina Town"/>
    <s v="MMR001001701"/>
    <s v="Man Khein Ward"/>
    <s v="MMR001001701519"/>
    <x v="7"/>
    <x v="7"/>
    <x v="7"/>
    <n v="25.428910999999999"/>
    <n v="0"/>
    <n v="103"/>
    <n v="586"/>
    <n v="5.6893203883495147"/>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5.4145379230647226"/>
    <n v="2"/>
  </r>
  <r>
    <x v="0"/>
    <x v="0"/>
    <s v="MMR001"/>
    <s v="Myitkyina"/>
    <s v="MMR001D001"/>
    <x v="0"/>
    <s v="MMR001001"/>
    <s v="Myitkyina Town"/>
    <s v="MMR001001701"/>
    <s v="Shwe Set Ward"/>
    <s v="MMR001001701518"/>
    <x v="8"/>
    <x v="8"/>
    <x v="8"/>
    <n v="25.440928"/>
    <n v="0"/>
    <n v="91"/>
    <n v="511"/>
    <n v="5.615384615384615"/>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Myitkyina Town"/>
    <n v="6.6198004689728469"/>
    <n v="2"/>
  </r>
  <r>
    <x v="0"/>
    <x v="0"/>
    <s v="MMR001"/>
    <s v="Myitkyina"/>
    <s v="MMR001D001"/>
    <x v="0"/>
    <s v="MMR001001"/>
    <s v="Myitkyina Town"/>
    <s v="MMR001001701"/>
    <s v="Du Ka Htaung Ward"/>
    <s v="MMR001001701504"/>
    <x v="9"/>
    <x v="9"/>
    <x v="9"/>
    <n v="25.3959740909091"/>
    <n v="0"/>
    <n v="42"/>
    <n v="187"/>
    <n v="4.4523809523809526"/>
    <x v="0"/>
    <x v="0"/>
    <x v="0"/>
    <x v="0"/>
    <x v="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Myitkyina Town"/>
    <n v="1.1985969617964649"/>
    <n v="1"/>
  </r>
  <r>
    <x v="0"/>
    <x v="0"/>
    <s v="MMR001"/>
    <s v="Myitkyina"/>
    <s v="MMR001D001"/>
    <x v="0"/>
    <s v="MMR001001"/>
    <s v="Myitkyina Town"/>
    <s v="MMR001001701"/>
    <s v="Kyun Pin Thar Ward"/>
    <s v="MMR001001701510"/>
    <x v="10"/>
    <x v="10"/>
    <x v="10"/>
    <n v="25.3660036111111"/>
    <n v="0"/>
    <n v="46"/>
    <n v="217"/>
    <n v="4.7173913043478262"/>
    <x v="0"/>
    <x v="0"/>
    <x v="0"/>
    <x v="0"/>
    <x v="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Three locations in Du Kahtawng merged as per 1st of July "/>
    <s v="Myitkyina Town"/>
    <n v="2.8164250706222882"/>
    <n v="1"/>
  </r>
  <r>
    <x v="0"/>
    <x v="0"/>
    <s v="MMR001"/>
    <s v="Myitkyina"/>
    <s v="MMR001D001"/>
    <x v="0"/>
    <s v="MMR001001"/>
    <s v="Myitkyina Town"/>
    <s v="MMR001001701"/>
    <s v="Lel Kone Ward"/>
    <s v="MMR001001701525"/>
    <x v="11"/>
    <x v="11"/>
    <x v="11"/>
    <n v="25.3510167948718"/>
    <n v="0"/>
    <n v="138"/>
    <n v="705"/>
    <n v="5.1086956521739131"/>
    <x v="0"/>
    <x v="0"/>
    <x v="0"/>
    <x v="0"/>
    <x v="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Myitkyina Town"/>
    <n v="4.262018365878137"/>
    <n v="1"/>
  </r>
  <r>
    <x v="0"/>
    <x v="0"/>
    <s v="MMR001"/>
    <s v="Myitkyina"/>
    <s v="MMR001D001"/>
    <x v="0"/>
    <s v="MMR001001"/>
    <s v="Myitkyina Town"/>
    <s v="MMR001001701"/>
    <s v="Lel Kone Ward"/>
    <s v="MMR001001701525"/>
    <x v="12"/>
    <x v="12"/>
    <x v="12"/>
    <n v="25.360463124999999"/>
    <n v="0"/>
    <n v="62"/>
    <n v="310"/>
    <n v="5"/>
    <x v="0"/>
    <x v="0"/>
    <x v="0"/>
    <x v="0"/>
    <x v="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Waingmaw Town"/>
    <n v="3.3362307375127798"/>
    <n v="1"/>
  </r>
  <r>
    <x v="0"/>
    <x v="0"/>
    <s v="MMR001"/>
    <s v="Myitkyina"/>
    <s v="MMR001D001"/>
    <x v="0"/>
    <s v="MMR001001"/>
    <s v="Myitkyina Town"/>
    <s v="MMR001001701"/>
    <s v="Jan Mai Kawng"/>
    <m/>
    <x v="13"/>
    <x v="13"/>
    <x v="13"/>
    <n v="25.403476999999999"/>
    <n v="0"/>
    <n v="199"/>
    <n v="1118"/>
    <n v="5.6180904522613062"/>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2.4647367211404561"/>
    <n v="1"/>
  </r>
  <r>
    <x v="1"/>
    <x v="0"/>
    <s v="MMR001"/>
    <s v="Myitkyina"/>
    <s v="MMR001D001"/>
    <x v="0"/>
    <s v="MMR001001"/>
    <s v="Myitkyina Town"/>
    <s v="MMR001001701"/>
    <s v="Myay Myint Ward"/>
    <s v="MMR001001701517"/>
    <x v="14"/>
    <x v="14"/>
    <x v="14"/>
    <n v="25.387862999999999"/>
    <n v="0"/>
    <m/>
    <m/>
    <s v="NA"/>
    <x v="0"/>
    <x v="0"/>
    <x v="0"/>
    <x v="0"/>
    <x v="3"/>
    <x v="2"/>
    <s v="IP"/>
    <d v="2015-06-25T00:00:00"/>
    <s v="25-Jun-15 Relocate to Shatapru Thida Aye Baptist Church_x000a_Population update: Source: Camp Profile Round 2."/>
    <s v="Myitkyina Town"/>
    <n v="1.3751794210741128"/>
    <n v="1"/>
  </r>
  <r>
    <x v="0"/>
    <x v="0"/>
    <s v="MMR001"/>
    <s v="Myitkyina"/>
    <s v="MMR001D001"/>
    <x v="0"/>
    <s v="MMR001001"/>
    <s v="Myitkyina Town"/>
    <s v="MMR001001701"/>
    <s v="Jan Mai Kawng"/>
    <m/>
    <x v="15"/>
    <x v="15"/>
    <x v="15"/>
    <n v="25.401061110000001"/>
    <m/>
    <n v="117"/>
    <n v="576"/>
    <n v="4.9230769230769234"/>
    <x v="0"/>
    <x v="0"/>
    <x v="0"/>
    <x v="0"/>
    <x v="1"/>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Myitkyina Town"/>
    <n v="1.8563710010113432"/>
    <n v="1"/>
  </r>
  <r>
    <x v="0"/>
    <x v="0"/>
    <s v="MMR001"/>
    <s v="Myitkyina"/>
    <s v="MMR001D001"/>
    <x v="0"/>
    <s v="MMR001001"/>
    <s v="Maw Hpawng"/>
    <s v="MMR001001007"/>
    <s v="Maw Hpawng"/>
    <n v="165698"/>
    <x v="16"/>
    <x v="16"/>
    <x v="16"/>
    <n v="25.374343974359"/>
    <n v="0"/>
    <n v="22"/>
    <n v="92"/>
    <n v="4.1818181818181817"/>
    <x v="0"/>
    <x v="0"/>
    <x v="0"/>
    <x v="1"/>
    <x v="3"/>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Myitkyina Town"/>
    <n v="10.744749696609457"/>
    <n v="3"/>
  </r>
  <r>
    <x v="0"/>
    <x v="0"/>
    <s v="MMR001"/>
    <s v="Myitkyina"/>
    <s v="MMR001D001"/>
    <x v="0"/>
    <s v="MMR001001"/>
    <s v="Maw Hpawng"/>
    <s v="MMR001001007"/>
    <s v="Maw Hpawng"/>
    <n v="165698"/>
    <x v="17"/>
    <x v="17"/>
    <x v="17"/>
    <n v="25.371049444444399"/>
    <n v="476"/>
    <n v="21"/>
    <n v="123"/>
    <n v="5.8571428571428568"/>
    <x v="0"/>
    <x v="0"/>
    <x v="0"/>
    <x v="1"/>
    <x v="3"/>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Myitkyina Town"/>
    <n v="10.15228229456989"/>
    <n v="3"/>
  </r>
  <r>
    <x v="0"/>
    <x v="0"/>
    <s v="MMR001"/>
    <s v="Myitkyina"/>
    <s v="MMR001D001"/>
    <x v="0"/>
    <s v="MMR001001"/>
    <s v="Myitkyina Town"/>
    <s v="MMR001001701"/>
    <s v="Tat Kone Ward"/>
    <s v="MMR001001701520"/>
    <x v="18"/>
    <x v="18"/>
    <x v="18"/>
    <n v="25.423209"/>
    <n v="0"/>
    <n v="54"/>
    <n v="254"/>
    <n v="4.7037037037037033"/>
    <x v="0"/>
    <x v="0"/>
    <x v="0"/>
    <x v="0"/>
    <x v="5"/>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2.6190942927115026"/>
    <n v="1"/>
  </r>
  <r>
    <x v="1"/>
    <x v="0"/>
    <s v="MMR001"/>
    <s v="Myitkyina"/>
    <s v="MMR001D001"/>
    <x v="0"/>
    <s v="MMR001001"/>
    <s v="Myitkyina Town"/>
    <s v="MMR001001701"/>
    <s v="Kachin Su Ward"/>
    <s v="MMR001001701509"/>
    <x v="19"/>
    <x v="19"/>
    <x v="19"/>
    <n v="25.377038166666701"/>
    <n v="0"/>
    <n v="7"/>
    <n v="37"/>
    <n v="5.2857142857142856"/>
    <x v="0"/>
    <x v="0"/>
    <x v="0"/>
    <x v="0"/>
    <x v="5"/>
    <x v="2"/>
    <s v="IP"/>
    <d v="2017-06-29T00:00:00"/>
    <s v="Closed july 2017"/>
    <s v="Myitkyina Town"/>
    <n v="1.7877148351104664"/>
    <n v="1"/>
  </r>
  <r>
    <x v="0"/>
    <x v="0"/>
    <s v="MMR001"/>
    <s v="Myitkyina"/>
    <s v="MMR001D001"/>
    <x v="0"/>
    <s v="MMR001001"/>
    <s v="Nam Koi"/>
    <s v="MMR001001005"/>
    <s v="Nam Koi"/>
    <n v="165695"/>
    <x v="20"/>
    <x v="20"/>
    <x v="20"/>
    <n v="25.410569299999999"/>
    <m/>
    <n v="59"/>
    <n v="309"/>
    <n v="5.2372881355932206"/>
    <x v="0"/>
    <x v="0"/>
    <x v="0"/>
    <x v="0"/>
    <x v="4"/>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Myitkyina Town"/>
    <n v="4.037940696665812"/>
    <n v="1"/>
  </r>
  <r>
    <x v="0"/>
    <x v="0"/>
    <s v="MMR001"/>
    <s v="Myitkyina"/>
    <s v="MMR001D001"/>
    <x v="1"/>
    <s v="MMR001002"/>
    <s v="Waingmaw Town"/>
    <s v="MMR001002701"/>
    <s v="No (2) Ward"/>
    <s v="MMR001002701502"/>
    <x v="21"/>
    <x v="21"/>
    <x v="21"/>
    <n v="25.351724999999998"/>
    <n v="0"/>
    <n v="66"/>
    <n v="338"/>
    <n v="5.1212121212121211"/>
    <x v="0"/>
    <x v="0"/>
    <x v="0"/>
    <x v="0"/>
    <x v="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Waingmaw Town"/>
    <n v="0.4474205416025816"/>
    <n v="1"/>
  </r>
  <r>
    <x v="0"/>
    <x v="0"/>
    <s v="MMR001"/>
    <s v="Myitkyina"/>
    <s v="MMR001D001"/>
    <x v="1"/>
    <s v="MMR001002"/>
    <s v="Mading"/>
    <s v="MMR001002001"/>
    <s v="Mading/Hka Kun"/>
    <n v="165730"/>
    <x v="22"/>
    <x v="22"/>
    <x v="22"/>
    <n v="25.356632000000001"/>
    <n v="0"/>
    <n v="31"/>
    <n v="181"/>
    <n v="5.838709677419355"/>
    <x v="0"/>
    <x v="0"/>
    <x v="0"/>
    <x v="0"/>
    <x v="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Waingmaw Town"/>
    <n v="1.1134935940025397"/>
    <n v="1"/>
  </r>
  <r>
    <x v="1"/>
    <x v="0"/>
    <s v="MMR001"/>
    <s v="Myitkyina"/>
    <s v="MMR001D001"/>
    <x v="1"/>
    <s v="MMR001002"/>
    <s v="Waingmaw Town"/>
    <s v="MMR001002701"/>
    <s v="No (4) Ward"/>
    <s v="MMR001002701504"/>
    <x v="23"/>
    <x v="23"/>
    <x v="23"/>
    <n v="25.350809000000002"/>
    <n v="0"/>
    <n v="92"/>
    <n v="505"/>
    <n v="5.4891304347826084"/>
    <x v="0"/>
    <x v="0"/>
    <x v="0"/>
    <x v="0"/>
    <x v="7"/>
    <x v="2"/>
    <s v="IP"/>
    <d v="2018-06-30T00:00:00"/>
    <s v="22/June/2018: camp status change to Closed Camp. 44 HHs shifted to Maina Governent plan low cost housing. 35 HHs stayed in the host community where they already bought land and constructed houses. 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1.0367202051285227"/>
    <n v="1"/>
  </r>
  <r>
    <x v="0"/>
    <x v="0"/>
    <s v="MMR001"/>
    <s v="Myitkyina"/>
    <s v="MMR001D001"/>
    <x v="1"/>
    <s v="MMR001002"/>
    <s v="Hkat Shu"/>
    <s v="MMR001002003"/>
    <s v="Hkat Shu"/>
    <n v="165735"/>
    <x v="24"/>
    <x v="24"/>
    <x v="24"/>
    <n v="25.321710740740698"/>
    <n v="0"/>
    <n v="92"/>
    <n v="447"/>
    <n v="4.8586956521739131"/>
    <x v="0"/>
    <x v="0"/>
    <x v="0"/>
    <x v="1"/>
    <x v="0"/>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5.0655036329811631"/>
    <n v="2"/>
  </r>
  <r>
    <x v="0"/>
    <x v="0"/>
    <s v="MMR001"/>
    <s v="Myitkyina"/>
    <s v="MMR001D001"/>
    <x v="1"/>
    <s v="MMR001002"/>
    <s v="Mai Na"/>
    <s v="MMR001002006"/>
    <s v="Mai Na"/>
    <n v="165740"/>
    <x v="25"/>
    <x v="25"/>
    <x v="25"/>
    <n v="25.415667500000001"/>
    <m/>
    <n v="335"/>
    <n v="1774"/>
    <n v="5.2955223880597018"/>
    <x v="0"/>
    <x v="0"/>
    <x v="0"/>
    <x v="0"/>
    <x v="8"/>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Myitkyina Town"/>
    <n v="5.7019834469756479"/>
    <n v="2"/>
  </r>
  <r>
    <x v="0"/>
    <x v="0"/>
    <s v="MMR001"/>
    <s v="Myitkyina"/>
    <s v="MMR001D001"/>
    <x v="1"/>
    <s v="MMR001002"/>
    <s v="Waingmaw Town"/>
    <s v="MMR001002701"/>
    <s v="No (3) Ward"/>
    <s v="MMR001002701503"/>
    <x v="26"/>
    <x v="26"/>
    <x v="26"/>
    <n v="25.345918166666699"/>
    <m/>
    <n v="36"/>
    <n v="185"/>
    <n v="5.1388888888888893"/>
    <x v="0"/>
    <x v="0"/>
    <x v="0"/>
    <x v="0"/>
    <x v="0"/>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Waingmaw Town"/>
    <n v="0.77827912736780092"/>
    <n v="1"/>
  </r>
  <r>
    <x v="0"/>
    <x v="0"/>
    <s v="MMR001"/>
    <s v="Myitkyina"/>
    <s v="MMR001D001"/>
    <x v="1"/>
    <s v="MMR001002"/>
    <s v="Mai Na"/>
    <s v="MMR001002006"/>
    <s v="Mai Na"/>
    <n v="165740"/>
    <x v="27"/>
    <x v="27"/>
    <x v="27"/>
    <n v="25.424529444444399"/>
    <n v="0"/>
    <n v="347"/>
    <n v="2047"/>
    <n v="5.8991354466858787"/>
    <x v="0"/>
    <x v="0"/>
    <x v="0"/>
    <x v="1"/>
    <x v="9"/>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Myitkyina Town"/>
    <n v="5.9727739497559158"/>
    <n v="2"/>
  </r>
  <r>
    <x v="0"/>
    <x v="0"/>
    <s v="MMR001"/>
    <s v="Myitkyina"/>
    <s v="MMR001D001"/>
    <x v="1"/>
    <s v="MMR001002"/>
    <s v="Waingmaw Town"/>
    <s v="MMR001002701"/>
    <s v="No (2) Ward"/>
    <s v="MMR001002701502"/>
    <x v="28"/>
    <x v="28"/>
    <x v="28"/>
    <n v="25.3540362037037"/>
    <n v="0"/>
    <n v="121"/>
    <n v="510"/>
    <n v="4.214876033057851"/>
    <x v="0"/>
    <x v="0"/>
    <x v="0"/>
    <x v="0"/>
    <x v="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24/Apr/2017: Pop update. Data source: KMSS_Myitkyina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Waingmaw Town"/>
    <n v="0.37684287609457234"/>
    <n v="1"/>
  </r>
  <r>
    <x v="0"/>
    <x v="0"/>
    <s v="MMR001"/>
    <s v="Myitkyina"/>
    <s v="MMR001D001"/>
    <x v="1"/>
    <s v="MMR001002"/>
    <s v="Ma Hkan Tee"/>
    <s v="MMR001002009"/>
    <s v="Nawng Hee"/>
    <n v="165745"/>
    <x v="29"/>
    <x v="29"/>
    <x v="29"/>
    <n v="25.351965"/>
    <m/>
    <n v="19"/>
    <n v="85"/>
    <n v="4.4736842105263159"/>
    <x v="0"/>
    <x v="0"/>
    <x v="0"/>
    <x v="1"/>
    <x v="6"/>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Myitkyina Town"/>
    <n v="6.0275881703713861"/>
    <n v="2"/>
  </r>
  <r>
    <x v="0"/>
    <x v="0"/>
    <s v="MMR001"/>
    <s v="Myitkyina"/>
    <s v="MMR001D001"/>
    <x v="1"/>
    <s v="MMR001002"/>
    <s v="Waingmaw Town"/>
    <s v="MMR001002701"/>
    <s v="No (4) Ward"/>
    <s v="MMR001002701504"/>
    <x v="30"/>
    <x v="30"/>
    <x v="30"/>
    <n v="25.333683333333301"/>
    <m/>
    <n v="45"/>
    <n v="188"/>
    <n v="4.177777777777778"/>
    <x v="0"/>
    <x v="0"/>
    <x v="0"/>
    <x v="0"/>
    <x v="10"/>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2.4174307716662291"/>
    <n v="1"/>
  </r>
  <r>
    <x v="1"/>
    <x v="0"/>
    <s v="MMR001"/>
    <s v="Myitkyina"/>
    <s v="MMR001D001"/>
    <x v="1"/>
    <s v="MMR001002"/>
    <s v="Nawng Si Paw"/>
    <s v="MMR001002013"/>
    <s v="Nawng Si Paw"/>
    <n v="165750"/>
    <x v="31"/>
    <x v="31"/>
    <x v="31"/>
    <m/>
    <m/>
    <m/>
    <m/>
    <s v="NA"/>
    <x v="0"/>
    <x v="0"/>
    <x v="0"/>
    <x v="2"/>
    <x v="11"/>
    <x v="4"/>
    <m/>
    <m/>
    <s v=" "/>
    <s v=""/>
    <s v=""/>
    <s v=""/>
  </r>
  <r>
    <x v="1"/>
    <x v="0"/>
    <s v="MMR001"/>
    <s v="Myitkyina"/>
    <s v="MMR001D001"/>
    <x v="1"/>
    <s v="MMR001002"/>
    <s v="Hkat Shu"/>
    <s v="MMR001002003"/>
    <s v="Hkat Shu"/>
    <n v="165735"/>
    <x v="32"/>
    <x v="32"/>
    <x v="32"/>
    <n v="25.328987000000001"/>
    <m/>
    <m/>
    <m/>
    <s v="NA"/>
    <x v="0"/>
    <x v="0"/>
    <x v="0"/>
    <x v="2"/>
    <x v="11"/>
    <x v="4"/>
    <m/>
    <m/>
    <s v=" "/>
    <s v=""/>
    <s v=""/>
    <s v=""/>
  </r>
  <r>
    <x v="1"/>
    <x v="0"/>
    <s v="MMR001"/>
    <s v="Myitkyina"/>
    <s v="MMR001D001"/>
    <x v="1"/>
    <s v="MMR001002"/>
    <s v="Waingmaw Town"/>
    <s v="MMR001002701"/>
    <s v="No (2) Ward"/>
    <s v="MMR001002701502"/>
    <x v="33"/>
    <x v="33"/>
    <x v="33"/>
    <n v="25.355841999999999"/>
    <n v="0"/>
    <m/>
    <m/>
    <s v="NA"/>
    <x v="0"/>
    <x v="0"/>
    <x v="2"/>
    <x v="0"/>
    <x v="10"/>
    <x v="0"/>
    <s v="IP"/>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Waingmaw Town"/>
    <n v="0.70725493400809891"/>
    <n v="1"/>
  </r>
  <r>
    <x v="0"/>
    <x v="0"/>
    <s v="MMR001"/>
    <s v="Myitkyina"/>
    <s v="MMR001D001"/>
    <x v="1"/>
    <s v="MMR001002"/>
    <s v="Waingmaw Town"/>
    <s v="MMR001002701"/>
    <s v="No (3) Ward"/>
    <s v="MMR001002701503"/>
    <x v="34"/>
    <x v="34"/>
    <x v="34"/>
    <n v="25.351250396825399"/>
    <n v="476"/>
    <n v="67"/>
    <n v="273"/>
    <n v="4.0746268656716422"/>
    <x v="0"/>
    <x v="0"/>
    <x v="0"/>
    <x v="0"/>
    <x v="10"/>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0.15089472113650237"/>
    <n v="1"/>
  </r>
  <r>
    <x v="0"/>
    <x v="0"/>
    <s v="MMR001"/>
    <s v="Myitkyina"/>
    <s v="MMR001D001"/>
    <x v="2"/>
    <s v="MMR001005"/>
    <s v="Chipwi Town"/>
    <s v="MMR001005701"/>
    <s v="Ba Leit Dan Ward"/>
    <s v="MMR001005701503"/>
    <x v="35"/>
    <x v="35"/>
    <x v="35"/>
    <n v="25.889410000000002"/>
    <n v="304"/>
    <n v="161"/>
    <n v="804"/>
    <n v="4.9937888198757765"/>
    <x v="0"/>
    <x v="0"/>
    <x v="0"/>
    <x v="0"/>
    <x v="12"/>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Chipwi Town"/>
    <n v="0.15809623370782155"/>
    <n v="1"/>
  </r>
  <r>
    <x v="0"/>
    <x v="0"/>
    <s v="MMR001"/>
    <s v="Bhamo"/>
    <s v="MMR001D003"/>
    <x v="3"/>
    <s v="MMR001010"/>
    <s v="Moe Hping"/>
    <s v="MMR001010009"/>
    <s v="Moe Hping"/>
    <n v="166836"/>
    <x v="36"/>
    <x v="36"/>
    <x v="36"/>
    <n v="24.2631743589744"/>
    <n v="0"/>
    <n v="132"/>
    <n v="774"/>
    <n v="5.8636363636363633"/>
    <x v="0"/>
    <x v="0"/>
    <x v="0"/>
    <x v="0"/>
    <x v="0"/>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Bhamo Town"/>
    <n v="1.0876401420946245"/>
    <n v="1"/>
  </r>
  <r>
    <x v="0"/>
    <x v="0"/>
    <s v="MMR001"/>
    <s v="Bhamo"/>
    <s v="MMR001D003"/>
    <x v="3"/>
    <s v="MMR001010"/>
    <s v="Moe Hping"/>
    <s v="MMR001010009"/>
    <s v="Moe Hping"/>
    <n v="166836"/>
    <x v="37"/>
    <x v="37"/>
    <x v="37"/>
    <n v="24.260719999999999"/>
    <m/>
    <n v="235"/>
    <n v="1166"/>
    <n v="4.9617021276595743"/>
    <x v="0"/>
    <x v="0"/>
    <x v="0"/>
    <x v="0"/>
    <x v="10"/>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24 HHs with around 100 Return to VoO Ga Ra Yang  as per camp leader of the camp)_x000a_31/May/2018: Population update. Data source: KMSS_Bhamo_x000a_10/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15 (Population Update. Data Source: KMSS-BMO)_x000a_Population update: Source: Camp Profile Round 2."/>
    <s v="Bhamo Town"/>
    <n v="0.78440046838596356"/>
    <n v="1"/>
  </r>
  <r>
    <x v="0"/>
    <x v="0"/>
    <s v="MMR001"/>
    <s v="Bhamo"/>
    <s v="MMR001D003"/>
    <x v="3"/>
    <s v="MMR001010"/>
    <s v="Bhamo Town"/>
    <s v="MMR001010701"/>
    <s v="Pauk Kone Ward"/>
    <s v="MMR001010701506"/>
    <x v="38"/>
    <x v="38"/>
    <x v="38"/>
    <n v="24.253067000000001"/>
    <n v="0"/>
    <n v="13"/>
    <n v="57"/>
    <n v="4.384615384615385"/>
    <x v="0"/>
    <x v="0"/>
    <x v="0"/>
    <x v="0"/>
    <x v="13"/>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Bhamo Town"/>
    <n v="0.20824727902294948"/>
    <n v="1"/>
  </r>
  <r>
    <x v="0"/>
    <x v="0"/>
    <s v="MMR001"/>
    <s v="Bhamo"/>
    <s v="MMR001D003"/>
    <x v="3"/>
    <s v="MMR001010"/>
    <s v="Bhamo Town"/>
    <s v="MMR001010701"/>
    <s v="Pauk Kone Ward"/>
    <s v="MMR001010701506"/>
    <x v="39"/>
    <x v="39"/>
    <x v="39"/>
    <n v="24.24766"/>
    <n v="0"/>
    <n v="42"/>
    <n v="234"/>
    <n v="5.5714285714285712"/>
    <x v="0"/>
    <x v="0"/>
    <x v="0"/>
    <x v="0"/>
    <x v="1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Bhamo Town"/>
    <n v="0.84749304721635399"/>
    <n v="1"/>
  </r>
  <r>
    <x v="0"/>
    <x v="0"/>
    <s v="MMR001"/>
    <s v="Bhamo"/>
    <s v="MMR001D003"/>
    <x v="3"/>
    <s v="MMR001010"/>
    <s v="Han Te"/>
    <s v="MMR001010024"/>
    <s v="Han Te"/>
    <n v="166851"/>
    <x v="40"/>
    <x v="40"/>
    <x v="40"/>
    <n v="24.24953"/>
    <n v="0"/>
    <n v="13"/>
    <n v="63"/>
    <n v="4.8461538461538458"/>
    <x v="0"/>
    <x v="0"/>
    <x v="0"/>
    <x v="0"/>
    <x v="15"/>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Bhamo Town"/>
    <n v="0.87147615879849294"/>
    <n v="1"/>
  </r>
  <r>
    <x v="1"/>
    <x v="0"/>
    <s v="MMR001"/>
    <s v="Myitkyina"/>
    <s v="MMR001D001"/>
    <x v="2"/>
    <s v="MMR001005"/>
    <m/>
    <m/>
    <m/>
    <m/>
    <x v="41"/>
    <x v="41"/>
    <x v="31"/>
    <m/>
    <m/>
    <m/>
    <m/>
    <s v="NA"/>
    <x v="0"/>
    <x v="0"/>
    <x v="0"/>
    <x v="2"/>
    <x v="11"/>
    <x v="4"/>
    <m/>
    <m/>
    <s v=" "/>
    <s v=""/>
    <s v=""/>
    <s v=""/>
  </r>
  <r>
    <x v="1"/>
    <x v="0"/>
    <s v="MMR001"/>
    <s v="Myitkyina"/>
    <s v="MMR001D001"/>
    <x v="2"/>
    <s v="MMR001005"/>
    <s v="Lang Jaw (Pang War Sub-township)"/>
    <s v="MMR001005022"/>
    <s v="Lang Jaw"/>
    <n v="166337"/>
    <x v="42"/>
    <x v="42"/>
    <x v="41"/>
    <n v="25.708763000000001"/>
    <m/>
    <m/>
    <m/>
    <s v="NA"/>
    <x v="0"/>
    <x v="0"/>
    <x v="3"/>
    <x v="1"/>
    <x v="11"/>
    <x v="4"/>
    <s v="IP"/>
    <d v="2017-07-11T00:00:00"/>
    <s v="11/Jul/2017: Change status to Close as no update available since December 2016"/>
    <s v="Pang War Town"/>
    <n v="12.486065224161463"/>
    <n v="3"/>
  </r>
  <r>
    <x v="1"/>
    <x v="0"/>
    <s v="MMR001"/>
    <s v="Myitkyina"/>
    <s v="MMR001D001"/>
    <x v="2"/>
    <s v="MMR001005"/>
    <m/>
    <m/>
    <m/>
    <m/>
    <x v="43"/>
    <x v="43"/>
    <x v="31"/>
    <m/>
    <m/>
    <m/>
    <m/>
    <s v="NA"/>
    <x v="0"/>
    <x v="0"/>
    <x v="0"/>
    <x v="1"/>
    <x v="11"/>
    <x v="3"/>
    <s v="IP"/>
    <d v="2015-04-02T00:00:00"/>
    <s v="2-Apr-15 (Closed. Source: GAD)_x000a_Responsible Agency update. KMSS-BMO to KMSS-MYT."/>
    <s v=""/>
    <s v=""/>
    <s v=""/>
  </r>
  <r>
    <x v="0"/>
    <x v="0"/>
    <s v="MMR001"/>
    <s v="Bhamo"/>
    <s v="MMR001D003"/>
    <x v="3"/>
    <s v="MMR001010"/>
    <s v="Nam Hlaing"/>
    <s v="MMR001010015"/>
    <s v="Nam Hlaing"/>
    <n v="166844"/>
    <x v="44"/>
    <x v="44"/>
    <x v="42"/>
    <n v="24.32638"/>
    <m/>
    <n v="17"/>
    <n v="76"/>
    <n v="4.4705882352941178"/>
    <x v="0"/>
    <x v="0"/>
    <x v="0"/>
    <x v="0"/>
    <x v="10"/>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Update population. Source UNHCR Bhamo"/>
    <s v="Momauk Town"/>
    <n v="8.3788619521763046"/>
    <n v="2"/>
  </r>
  <r>
    <x v="1"/>
    <x v="0"/>
    <s v="MMR001"/>
    <s v="Bhamo"/>
    <s v="MMR001D003"/>
    <x v="3"/>
    <s v="MMR001010"/>
    <m/>
    <m/>
    <m/>
    <m/>
    <x v="45"/>
    <x v="45"/>
    <x v="43"/>
    <n v="24.262418020999998"/>
    <m/>
    <m/>
    <m/>
    <s v="NA"/>
    <x v="0"/>
    <x v="0"/>
    <x v="0"/>
    <x v="2"/>
    <x v="11"/>
    <x v="4"/>
    <s v="IP"/>
    <d v="2014-01-22T00:00:00"/>
    <s v="Closed: Source UNHCR-Bhamo"/>
    <s v=""/>
    <s v=""/>
    <s v=""/>
  </r>
  <r>
    <x v="0"/>
    <x v="0"/>
    <s v="MMR001"/>
    <s v="Bhamo"/>
    <s v="MMR001D003"/>
    <x v="4"/>
    <s v="MMR001012"/>
    <s v="Momauk Town"/>
    <s v="MMR001012701"/>
    <s v="Ah Lin Kawng Ward"/>
    <s v="MMR001012701502"/>
    <x v="46"/>
    <x v="46"/>
    <x v="44"/>
    <n v="24.250689999999999"/>
    <n v="0"/>
    <n v="427"/>
    <n v="2054"/>
    <n v="4.8103044496487115"/>
    <x v="0"/>
    <x v="0"/>
    <x v="0"/>
    <x v="0"/>
    <x v="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Momauk Town"/>
    <n v="0.62513510418653162"/>
    <n v="1"/>
  </r>
  <r>
    <x v="0"/>
    <x v="0"/>
    <s v="MMR001"/>
    <s v="Bhamo"/>
    <s v="MMR001D003"/>
    <x v="4"/>
    <s v="MMR001012"/>
    <s v="Myo Thit"/>
    <s v="MMR001012010"/>
    <s v="Myo Thit"/>
    <n v="167048"/>
    <x v="47"/>
    <x v="47"/>
    <x v="45"/>
    <n v="24.404876999999999"/>
    <m/>
    <n v="47"/>
    <n v="153"/>
    <n v="3.2553191489361701"/>
    <x v="0"/>
    <x v="0"/>
    <x v="3"/>
    <x v="1"/>
    <x v="11"/>
    <x v="1"/>
    <s v="RRD"/>
    <d v="2017-12-21T00:00:00"/>
    <s v="21/Dec/2017: Population update. Data source: WFP_x000a_7/April/2017: Population update. Data source: WFP_x000a_Geo-Info, HH/Pop data was updated from Google Earth."/>
    <s v="Momauk Town"/>
    <n v="17.689123339899055"/>
    <n v="4"/>
  </r>
  <r>
    <x v="0"/>
    <x v="0"/>
    <s v="MMR001"/>
    <s v="Bhamo"/>
    <s v="MMR001D003"/>
    <x v="4"/>
    <s v="MMR001012"/>
    <s v="Man Pon"/>
    <s v="MMR001012001"/>
    <s v="Man Pon"/>
    <n v="167009"/>
    <x v="48"/>
    <x v="48"/>
    <x v="46"/>
    <n v="24.245100000000001"/>
    <m/>
    <n v="304"/>
    <n v="1389"/>
    <n v="4.5690789473684212"/>
    <x v="0"/>
    <x v="0"/>
    <x v="0"/>
    <x v="0"/>
    <x v="6"/>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 (23 HHs new arrived from Aung Nan village, Mansi township due to conflict in April 2018.)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Momauk Town"/>
    <n v="2.4411071835305544"/>
    <n v="1"/>
  </r>
  <r>
    <x v="0"/>
    <x v="0"/>
    <s v="MMR001"/>
    <s v="Bhamo"/>
    <s v="MMR001D003"/>
    <x v="5"/>
    <s v="MMR001013"/>
    <s v="Mansi Town"/>
    <s v="MMR001013701"/>
    <s v="Kawng Yar Ward"/>
    <s v="MMR001013701504"/>
    <x v="49"/>
    <x v="49"/>
    <x v="47"/>
    <n v="24.129059999999999"/>
    <n v="0"/>
    <n v="189"/>
    <n v="834"/>
    <n v="4.412698412698413"/>
    <x v="0"/>
    <x v="0"/>
    <x v="0"/>
    <x v="0"/>
    <x v="1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
    <s v="Mansi Town"/>
    <n v="1.0576516850656514"/>
    <n v="1"/>
  </r>
  <r>
    <x v="0"/>
    <x v="0"/>
    <s v="MMR001"/>
    <s v="Bhamo"/>
    <s v="MMR001D003"/>
    <x v="6"/>
    <s v="MMR001011"/>
    <s v="Shwegu Town"/>
    <s v="MMR001011701"/>
    <s v="Shwegu Town"/>
    <s v="MMR001011701504"/>
    <x v="50"/>
    <x v="50"/>
    <x v="48"/>
    <n v="24.200361000000001"/>
    <n v="0"/>
    <n v="47"/>
    <n v="345"/>
    <n v="7.3404255319148932"/>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Shwegu Town"/>
    <n v="0.74396039478864395"/>
    <n v="1"/>
  </r>
  <r>
    <x v="0"/>
    <x v="0"/>
    <s v="MMR001"/>
    <s v="Bhamo"/>
    <s v="MMR001D003"/>
    <x v="6"/>
    <s v="MMR001011"/>
    <s v="Shwegu Town"/>
    <s v="MMR001011701"/>
    <s v="Shwegu Town"/>
    <s v="MMR001011701504"/>
    <x v="51"/>
    <x v="51"/>
    <x v="48"/>
    <n v="24.200367"/>
    <m/>
    <n v="47"/>
    <n v="197"/>
    <n v="4.1914893617021276"/>
    <x v="0"/>
    <x v="0"/>
    <x v="0"/>
    <x v="0"/>
    <x v="1"/>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pdate Population. Data Source; KMSS-BMO_x000a_Population update: Source UNHCR-Bhamo"/>
    <s v="Shwegu Town"/>
    <n v="0.74330366237812662"/>
    <n v="1"/>
  </r>
  <r>
    <x v="1"/>
    <x v="0"/>
    <s v="MMR001"/>
    <s v="Bhamo"/>
    <s v="MMR001D003"/>
    <x v="3"/>
    <s v="MMR001010"/>
    <s v="Bhamo Town"/>
    <s v="MMR001010701"/>
    <s v="Shwe Kyee Nar Ward"/>
    <s v="MMR001010701513"/>
    <x v="52"/>
    <x v="52"/>
    <x v="49"/>
    <n v="24.29138"/>
    <n v="0"/>
    <n v="20"/>
    <n v="95"/>
    <n v="4.75"/>
    <x v="0"/>
    <x v="0"/>
    <x v="0"/>
    <x v="0"/>
    <x v="6"/>
    <x v="2"/>
    <s v="IP"/>
    <d v="2018-05-31T00:00:00"/>
    <s v="31/May/2018: Population update. Data source: Shalom ( Camp Status change to Closed Camp, As per Shalom, the camp was closed on 28 May 2018). 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Bhamo Town"/>
    <n v="4.108228790802368"/>
    <n v="1"/>
  </r>
  <r>
    <x v="0"/>
    <x v="0"/>
    <s v="MMR001"/>
    <s v="Bhamo"/>
    <s v="MMR001D003"/>
    <x v="4"/>
    <s v="MMR001012"/>
    <s v="Lwegel Town"/>
    <s v="MMR001012702"/>
    <s v="Aung Chan Thar Ward"/>
    <s v="MMR001012702503"/>
    <x v="53"/>
    <x v="53"/>
    <x v="50"/>
    <n v="24.205417000000001"/>
    <m/>
    <n v="129"/>
    <n v="643"/>
    <n v="4.9844961240310077"/>
    <x v="0"/>
    <x v="0"/>
    <x v="0"/>
    <x v="0"/>
    <x v="10"/>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27/Mar/2018: Population update. Data Source: KMSS_Myitkyina_x000a_27/Mar/2018: Population update. Data Source: KMSS_Myitkyina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date Population. Date Source; KMSS-BMO_x000a_Population update: Source: KMSS-BMO"/>
    <s v="Lwegel Town"/>
    <n v="0.77978735578277303"/>
    <n v="1"/>
  </r>
  <r>
    <x v="1"/>
    <x v="0"/>
    <s v="MMR001"/>
    <s v="Bhamo"/>
    <s v="MMR001D003"/>
    <x v="4"/>
    <s v="MMR001012"/>
    <s v="Momauk Town"/>
    <s v="MMR001012701"/>
    <s v="Kyay Nan Waing Ward"/>
    <s v="MMR001012701503"/>
    <x v="54"/>
    <x v="54"/>
    <x v="51"/>
    <n v="24.25177"/>
    <n v="0"/>
    <m/>
    <m/>
    <s v="NA"/>
    <x v="0"/>
    <x v="0"/>
    <x v="0"/>
    <x v="0"/>
    <x v="2"/>
    <x v="5"/>
    <s v="IP"/>
    <d v="2014-11-28T00:00:00"/>
    <s v="Closed. Population relocated to Man Bung Catholic Compound (MMR001CMP062)"/>
    <s v=""/>
    <s v=""/>
    <s v=""/>
  </r>
  <r>
    <x v="1"/>
    <x v="0"/>
    <s v="MMR001"/>
    <s v="Bhamo"/>
    <s v="MMR001D003"/>
    <x v="4"/>
    <s v="MMR001012"/>
    <s v="Momauk Town"/>
    <s v="MMR001012701"/>
    <s v="Ah Lin Kawng Ward"/>
    <s v="MMR001012701502"/>
    <x v="55"/>
    <x v="55"/>
    <x v="52"/>
    <n v="24.251860000000001"/>
    <n v="0"/>
    <m/>
    <m/>
    <s v="NA"/>
    <x v="0"/>
    <x v="0"/>
    <x v="0"/>
    <x v="0"/>
    <x v="3"/>
    <x v="4"/>
    <s v="IP"/>
    <d v="2015-11-09T00:00:00"/>
    <s v="9/Nov/2015. updated camp status (Closed). Data Source; Lu Lu Awng by mail._x000a_19-Aug-15 Population update. Source: Shalom_x000a_25-Jun-15 (Population update. Source : Shalom)_x000a_Checked with Shalom data, IDPs figure do not change"/>
    <m/>
    <m/>
    <m/>
  </r>
  <r>
    <x v="1"/>
    <x v="0"/>
    <s v="MMR001"/>
    <s v="Bhamo"/>
    <s v="MMR001D003"/>
    <x v="4"/>
    <s v="MMR001012"/>
    <s v="Momauk Town"/>
    <s v="MMR001012701"/>
    <s v="Ah Lin Kawng Ward"/>
    <s v="MMR001012701502"/>
    <x v="56"/>
    <x v="56"/>
    <x v="53"/>
    <n v="24.253769999999999"/>
    <n v="0"/>
    <m/>
    <m/>
    <s v="NA"/>
    <x v="0"/>
    <x v="0"/>
    <x v="0"/>
    <x v="0"/>
    <x v="3"/>
    <x v="2"/>
    <s v="IP"/>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Momauk Town"/>
    <n v="0.32830807173487342"/>
    <n v="1"/>
  </r>
  <r>
    <x v="1"/>
    <x v="0"/>
    <s v="MMR001"/>
    <s v="Bhamo"/>
    <s v="MMR001D003"/>
    <x v="4"/>
    <s v="MMR001012"/>
    <s v="Tar Li"/>
    <s v="MMR001012021"/>
    <s v="Tar Li"/>
    <n v="167086"/>
    <x v="57"/>
    <x v="57"/>
    <x v="54"/>
    <n v="24.492493"/>
    <m/>
    <m/>
    <m/>
    <s v="NA"/>
    <x v="0"/>
    <x v="0"/>
    <x v="3"/>
    <x v="1"/>
    <x v="11"/>
    <x v="4"/>
    <s v="RRD"/>
    <d v="2017-07-11T00:00:00"/>
    <s v="11/Jul/2017: Change status to Close as no update available since June 2014_x000a_Geo-Info, HH/Pop data was updated from Google Earth."/>
    <s v="Dawthponeyan  Town"/>
    <n v="14.236592976936194"/>
    <n v="3"/>
  </r>
  <r>
    <x v="0"/>
    <x v="0"/>
    <s v="MMR001"/>
    <s v="Bhamo"/>
    <s v="MMR001D003"/>
    <x v="4"/>
    <s v="MMR001012"/>
    <s v="Lwegel Town"/>
    <s v="MMR001012702"/>
    <s v="Aung Zay Yar Ward"/>
    <s v="MMR001012702505"/>
    <x v="58"/>
    <x v="58"/>
    <x v="55"/>
    <n v="24.200433"/>
    <n v="0"/>
    <n v="204"/>
    <n v="1146"/>
    <n v="5.617647058823529"/>
    <x v="0"/>
    <x v="0"/>
    <x v="0"/>
    <x v="0"/>
    <x v="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 and camp manager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7/Apr/2017: Population update. Data source: Camp focal point through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Lwegel Town"/>
    <n v="0.38934692601696641"/>
    <n v="1"/>
  </r>
  <r>
    <x v="0"/>
    <x v="0"/>
    <s v="MMR001"/>
    <s v="Bhamo"/>
    <s v="MMR001D003"/>
    <x v="4"/>
    <s v="MMR001012"/>
    <s v="Lwegel Town"/>
    <s v="MMR001012702"/>
    <s v="Aung Chan Thar Ward"/>
    <s v="MMR001012702503"/>
    <x v="59"/>
    <x v="59"/>
    <x v="56"/>
    <n v="24.200972"/>
    <m/>
    <n v="41"/>
    <n v="241"/>
    <n v="5.8780487804878048"/>
    <x v="0"/>
    <x v="0"/>
    <x v="0"/>
    <x v="0"/>
    <x v="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 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28829825866869707"/>
    <n v="1"/>
  </r>
  <r>
    <x v="1"/>
    <x v="0"/>
    <s v="MMR001"/>
    <s v="Bhamo"/>
    <s v="MMR001D003"/>
    <x v="4"/>
    <s v="MMR001012"/>
    <s v="Man Nawng"/>
    <s v="MMR001012014"/>
    <s v="Man Nawng"/>
    <n v="167063"/>
    <x v="60"/>
    <x v="60"/>
    <x v="57"/>
    <n v="24.410008999999999"/>
    <m/>
    <m/>
    <m/>
    <s v="NA"/>
    <x v="0"/>
    <x v="0"/>
    <x v="3"/>
    <x v="1"/>
    <x v="11"/>
    <x v="4"/>
    <s v="RRD"/>
    <d v="2017-07-11T00:00:00"/>
    <s v="11/Jul/17: Change status to Close as no update available."/>
    <s v="Momauk Town"/>
    <n v="17.282528446236295"/>
    <n v="4"/>
  </r>
  <r>
    <x v="1"/>
    <x v="0"/>
    <s v="MMR001"/>
    <s v="Bhamo"/>
    <s v="MMR001D003"/>
    <x v="4"/>
    <s v="MMR001012"/>
    <s v="Maing Khat"/>
    <s v="MMR001012020"/>
    <s v="Maing Khat"/>
    <n v="167078"/>
    <x v="61"/>
    <x v="61"/>
    <x v="58"/>
    <n v="24.441697000000001"/>
    <m/>
    <m/>
    <m/>
    <s v="NA"/>
    <x v="0"/>
    <x v="0"/>
    <x v="3"/>
    <x v="1"/>
    <x v="11"/>
    <x v="4"/>
    <s v="RRD"/>
    <d v="2017-07-11T00:00:00"/>
    <s v="11/Jul/2017: Change status to Close as no update available since June/2017._x000a_Geo-Info, HH/Pop data was updated from Google Earth."/>
    <s v="Dawthponeyan  Town"/>
    <n v="19.860265975801305"/>
    <n v="4"/>
  </r>
  <r>
    <x v="1"/>
    <x v="0"/>
    <s v="MMR001"/>
    <s v="Bhamo"/>
    <s v="MMR001D003"/>
    <x v="4"/>
    <s v="MMR001012"/>
    <s v="Hpar Kei (Dawthponeyan Sub-township)"/>
    <s v="MMR001012046"/>
    <s v="Hpar Kei"/>
    <n v="167242"/>
    <x v="62"/>
    <x v="62"/>
    <x v="59"/>
    <n v="24.630859999999998"/>
    <m/>
    <m/>
    <m/>
    <s v="NA"/>
    <x v="0"/>
    <x v="0"/>
    <x v="3"/>
    <x v="1"/>
    <x v="11"/>
    <x v="4"/>
    <s v="RRD"/>
    <d v="2017-07-11T00:00:00"/>
    <s v="11/Jul/2017: Change status to Close as no update available since Jan/2017._x000a_Update from OCHA Data (2 Jan 2014)"/>
    <s v="Dawthponeyan  Town"/>
    <n v="3.6887624513681017"/>
    <n v="1"/>
  </r>
  <r>
    <x v="0"/>
    <x v="0"/>
    <s v="MMR001"/>
    <s v="Bhamo"/>
    <s v="MMR001D003"/>
    <x v="4"/>
    <s v="MMR001012"/>
    <s v="Lwegel Town"/>
    <s v="MMR001012039"/>
    <s v="Aung Zay Yar Ward"/>
    <s v="MMR001012702505"/>
    <x v="63"/>
    <x v="63"/>
    <x v="60"/>
    <n v="24.205417000000001"/>
    <n v="0"/>
    <n v="48"/>
    <n v="294"/>
    <n v="6.125"/>
    <x v="0"/>
    <x v="0"/>
    <x v="0"/>
    <x v="0"/>
    <x v="1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 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77561767807574999"/>
    <n v="1"/>
  </r>
  <r>
    <x v="0"/>
    <x v="0"/>
    <s v="MMR001"/>
    <s v="Bhamo"/>
    <s v="MMR001D003"/>
    <x v="4"/>
    <s v="MMR001012"/>
    <s v="Lwegel Town"/>
    <s v="MMR001012702"/>
    <s v="Saing Gyar Ward"/>
    <s v="MMR001012702506"/>
    <x v="64"/>
    <x v="64"/>
    <x v="61"/>
    <n v="24.207332999999998"/>
    <n v="0"/>
    <n v="43"/>
    <n v="269"/>
    <n v="6.2558139534883717"/>
    <x v="0"/>
    <x v="0"/>
    <x v="0"/>
    <x v="0"/>
    <x v="1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1.343152344964242"/>
    <n v="1"/>
  </r>
  <r>
    <x v="0"/>
    <x v="0"/>
    <s v="MMR001"/>
    <s v="Puta-O"/>
    <s v="MMR001D004"/>
    <x v="7"/>
    <s v="MMR001014"/>
    <s v="Puta-O Town"/>
    <s v="MMR001014701"/>
    <s v="Doke Tan Ward"/>
    <s v="MMR001014701509"/>
    <x v="65"/>
    <x v="65"/>
    <x v="62"/>
    <n v="27.311699999999998"/>
    <n v="476.7"/>
    <n v="14"/>
    <n v="75"/>
    <n v="5.3571428571428568"/>
    <x v="0"/>
    <x v="0"/>
    <x v="3"/>
    <x v="1"/>
    <x v="11"/>
    <x v="1"/>
    <s v="IP"/>
    <d v="2017-05-19T00:00:00"/>
    <s v="19/May/2017: Population update. Data source: Shelter Associate (UNHCR)_x000a_Changed Camp to Host Families. Source: Camp Profile Questionnaire."/>
    <s v="Puta-O Town"/>
    <n v="1.3759254000531889"/>
    <n v="1"/>
  </r>
  <r>
    <x v="0"/>
    <x v="0"/>
    <s v="MMR001"/>
    <s v="Mohnyin"/>
    <s v="MMR001D002"/>
    <x v="8"/>
    <s v="MMR001008"/>
    <s v="Nawng Kaing Htaw"/>
    <s v="MMR001008002"/>
    <s v="Ma Haung"/>
    <n v="166676"/>
    <x v="66"/>
    <x v="66"/>
    <x v="63"/>
    <n v="25.296579999999999"/>
    <n v="0"/>
    <n v="15"/>
    <n v="75"/>
    <n v="5"/>
    <x v="0"/>
    <x v="0"/>
    <x v="0"/>
    <x v="0"/>
    <x v="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0.71141459237180937"/>
    <n v="1"/>
  </r>
  <r>
    <x v="0"/>
    <x v="0"/>
    <s v="MMR001"/>
    <s v="Mohnyin"/>
    <s v="MMR001D002"/>
    <x v="8"/>
    <s v="MMR001008"/>
    <s v="Mogaung Town"/>
    <s v="MMR001008701"/>
    <s v="Kyun Taw Ward"/>
    <s v="MMR001008701510"/>
    <x v="67"/>
    <x v="67"/>
    <x v="64"/>
    <n v="25.305669999999999"/>
    <n v="470"/>
    <n v="13"/>
    <n v="71"/>
    <n v="5.4615384615384617"/>
    <x v="0"/>
    <x v="0"/>
    <x v="0"/>
    <x v="0"/>
    <x v="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1.815139598767344"/>
    <n v="1"/>
  </r>
  <r>
    <x v="0"/>
    <x v="0"/>
    <s v="MMR001"/>
    <s v="Mohnyin"/>
    <s v="MMR001D002"/>
    <x v="8"/>
    <s v="MMR001008"/>
    <s v="Mogaung Town"/>
    <s v="MMR001008701"/>
    <s v="Nat Gyi Kone Ward"/>
    <s v="MMR001008701506"/>
    <x v="68"/>
    <x v="68"/>
    <x v="65"/>
    <n v="25.30442"/>
    <n v="100"/>
    <n v="10"/>
    <n v="42"/>
    <n v="4.2"/>
    <x v="0"/>
    <x v="0"/>
    <x v="0"/>
    <x v="0"/>
    <x v="17"/>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Mogaung Town"/>
    <n v="0.86042374061342075"/>
    <n v="1"/>
  </r>
  <r>
    <x v="0"/>
    <x v="0"/>
    <s v="MMR001"/>
    <s v="Mohnyin"/>
    <s v="MMR001D002"/>
    <x v="9"/>
    <s v="MMR001007"/>
    <s v="Mohnyin Town"/>
    <s v="MMR001007701"/>
    <s v="Aung Tha Pyay Ward"/>
    <s v="MMR001007701505"/>
    <x v="69"/>
    <x v="69"/>
    <x v="66"/>
    <n v="24.764800000000001"/>
    <m/>
    <n v="11"/>
    <n v="55"/>
    <n v="5"/>
    <x v="0"/>
    <x v="0"/>
    <x v="0"/>
    <x v="0"/>
    <x v="18"/>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Mohnyin Town"/>
    <n v="1.7021273757523427"/>
    <n v="1"/>
  </r>
  <r>
    <x v="0"/>
    <x v="0"/>
    <s v="MMR001"/>
    <s v="Mohnyin"/>
    <s v="MMR001D002"/>
    <x v="10"/>
    <s v="MMR001009"/>
    <s v="Hpakan Town"/>
    <s v="MMR001009701"/>
    <s v="Maw Wam Ward"/>
    <s v="MMR001009701501"/>
    <x v="70"/>
    <x v="70"/>
    <x v="67"/>
    <n v="25.6145"/>
    <n v="65"/>
    <n v="3"/>
    <n v="15"/>
    <n v="5"/>
    <x v="0"/>
    <x v="0"/>
    <x v="1"/>
    <x v="0"/>
    <x v="15"/>
    <x v="1"/>
    <s v="IP"/>
    <d v="2018-11-01T00:00:00"/>
    <s v="1/Nov/2018: Population update. Data source: Shalom_x000a_31/August/2018: Population update. Data source: Shalom_x000a_31/July/2018: Population update. Data source: Shalom_x000a_30/June/2018: Population update. Data source: Shalom_x000a_30/Apr/2018: Population update. Data source: Shalom_x000a_27/Mar/2018: Population update. Data source: Shalom_x000a_5/Mar/2018: Population update. Data source: Shalom_x000a_From Jan 2018: Camp status change to Camp like setting as none of the Camp management Agency covered anymore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25-Jun-15 (Population update. Source : Shalom)_x000a_Population update: Source: Camp Profile Round 2."/>
    <s v="Hpakant Town"/>
    <n v="0.79577754007276646"/>
    <n v="1"/>
  </r>
  <r>
    <x v="1"/>
    <x v="0"/>
    <s v="MMR001"/>
    <s v="Puta-O"/>
    <s v="MMR001D004"/>
    <x v="11"/>
    <s v="MMR001018"/>
    <s v="La Ja Ga"/>
    <s v="MMR001018021"/>
    <s v="La Ja"/>
    <n v="168236"/>
    <x v="71"/>
    <x v="71"/>
    <x v="68"/>
    <n v="26.890058"/>
    <n v="1393"/>
    <m/>
    <m/>
    <s v="NA"/>
    <x v="0"/>
    <x v="0"/>
    <x v="0"/>
    <x v="1"/>
    <x v="11"/>
    <x v="4"/>
    <s v="RRD"/>
    <d v="2017-02-02T00:00:00"/>
    <s v="Closed Camp_x000a_Update data from OCHA IDPs List"/>
    <s v="Khaunglanhpu Town"/>
    <n v="28.422357500443528"/>
    <n v="6"/>
  </r>
  <r>
    <x v="0"/>
    <x v="0"/>
    <s v="MMR001"/>
    <s v="Mohnyin"/>
    <s v="MMR001D002"/>
    <x v="10"/>
    <s v="MMR001009"/>
    <s v="Nam Ma Hpyit"/>
    <s v="MMR001009002"/>
    <s v="Nam Ma Hpyit"/>
    <n v="166776"/>
    <x v="72"/>
    <x v="72"/>
    <x v="69"/>
    <n v="25.613894999999999"/>
    <n v="251"/>
    <n v="50"/>
    <n v="237"/>
    <n v="4.74"/>
    <x v="0"/>
    <x v="0"/>
    <x v="0"/>
    <x v="0"/>
    <x v="19"/>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Hpakant Town"/>
    <n v="2.9334852607184256"/>
    <n v="1"/>
  </r>
  <r>
    <x v="0"/>
    <x v="0"/>
    <s v="MMR001"/>
    <s v="Mohnyin"/>
    <s v="MMR001D002"/>
    <x v="10"/>
    <s v="MMR001009"/>
    <s v="Nam Ma Hpyit"/>
    <s v="MMR001009002"/>
    <s v="Nam Ma Hpyit"/>
    <n v="166776"/>
    <x v="73"/>
    <x v="73"/>
    <x v="70"/>
    <n v="25.599250000000001"/>
    <n v="0"/>
    <n v="16"/>
    <n v="68"/>
    <n v="4.25"/>
    <x v="0"/>
    <x v="0"/>
    <x v="0"/>
    <x v="0"/>
    <x v="1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Hpakant Town"/>
    <n v="1.5942018764815451"/>
    <n v="1"/>
  </r>
  <r>
    <x v="0"/>
    <x v="0"/>
    <s v="MMR001"/>
    <s v="Mohnyin"/>
    <s v="MMR001D002"/>
    <x v="10"/>
    <s v="MMR001009"/>
    <s v="Seik Mu"/>
    <s v="MMR001009003"/>
    <s v="Seik Mu"/>
    <n v="166783"/>
    <x v="74"/>
    <x v="74"/>
    <x v="71"/>
    <n v="25.582065"/>
    <n v="0"/>
    <n v="6"/>
    <n v="31"/>
    <n v="5.166666666666667"/>
    <x v="0"/>
    <x v="0"/>
    <x v="1"/>
    <x v="0"/>
    <x v="19"/>
    <x v="1"/>
    <s v="IP"/>
    <d v="2018-11-01T00:00:00"/>
    <s v="1/Nov/2018: Population update. Data source: Shalom_x000a_31/August/2018: Population update. Data source: Shalom_x000a_31/July/2018: Population update. Data source: Shalom_x000a_30/June/2018: Population update. Data source: Shalom_x000a_30/Apr/2018: Population update. Data source: Shalom_x000a_27/Mar/2018: Population update. Data source: Shalom_x000a_27/Mar/2018: Population update. Data source: Shalom_x000a_5/Mar/2018: Population update. Data source: Shalom_x000a_From Jan 2018: Camp status change to Camp like setting as none of the Camp management Agency covered anymore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4.4704963044882238"/>
    <n v="1"/>
  </r>
  <r>
    <x v="0"/>
    <x v="0"/>
    <s v="MMR001"/>
    <s v="Myitkyina"/>
    <s v="MMR001D001"/>
    <x v="1"/>
    <s v="MMR001002"/>
    <s v="Saga Pa (Sadung Sub-township)"/>
    <s v="MMR001002040"/>
    <s v="Saga Pa"/>
    <n v="165895"/>
    <x v="75"/>
    <x v="75"/>
    <x v="72"/>
    <n v="25.220278"/>
    <n v="2404"/>
    <n v="125"/>
    <n v="486"/>
    <n v="3.8879999999999999"/>
    <x v="1"/>
    <x v="0"/>
    <x v="0"/>
    <x v="3"/>
    <x v="10"/>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Sadung Town"/>
    <n v="18.198335991626355"/>
    <n v="4"/>
  </r>
  <r>
    <x v="0"/>
    <x v="0"/>
    <s v="MMR001"/>
    <s v="Myitkyina"/>
    <s v="MMR001D001"/>
    <x v="1"/>
    <s v="MMR001002"/>
    <s v="Saga Pa"/>
    <s v="MMR001002040"/>
    <s v="Hkau Shau"/>
    <m/>
    <x v="76"/>
    <x v="76"/>
    <x v="73"/>
    <n v="25.200333000000001"/>
    <n v="1023"/>
    <n v="136"/>
    <n v="985"/>
    <n v="7.242647058823529"/>
    <x v="1"/>
    <x v="0"/>
    <x v="0"/>
    <x v="1"/>
    <x v="1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 HH and Pop changed a lot because they moved to GCA (Myitkyina and Waingmaw towns)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21.287604662770121"/>
    <n v="5"/>
  </r>
  <r>
    <x v="1"/>
    <x v="0"/>
    <s v="MMR001"/>
    <s v="Mohnyin"/>
    <s v="MMR001D002"/>
    <x v="9"/>
    <s v="MMR001007"/>
    <s v="Nam Mun"/>
    <s v="MMR001007016"/>
    <s v="Nam Mun"/>
    <n v="166591"/>
    <x v="77"/>
    <x v="77"/>
    <x v="74"/>
    <n v="24.998349999999999"/>
    <n v="0"/>
    <n v="0"/>
    <n v="0"/>
    <s v="NA"/>
    <x v="0"/>
    <x v="0"/>
    <x v="0"/>
    <x v="1"/>
    <x v="17"/>
    <x v="0"/>
    <s v="RRD"/>
    <d v="2014-07-17T00:00:00"/>
    <s v="Closed. Duplicate with (Nawng Ing (Indawgyi) Baptist Church)"/>
    <s v=""/>
    <s v=""/>
    <s v=""/>
  </r>
  <r>
    <x v="1"/>
    <x v="0"/>
    <s v="MMR001"/>
    <s v="Mohnyin"/>
    <s v="MMR001D002"/>
    <x v="10"/>
    <s v="MMR001009"/>
    <s v="Hpakan Town"/>
    <s v="MMR001009701"/>
    <s v="Hnget Pyaw Taw Ward"/>
    <s v="MMR001009701502"/>
    <x v="78"/>
    <x v="78"/>
    <x v="75"/>
    <n v="25.611160000000002"/>
    <n v="0"/>
    <n v="0"/>
    <n v="0"/>
    <s v="NA"/>
    <x v="0"/>
    <x v="0"/>
    <x v="0"/>
    <x v="0"/>
    <x v="15"/>
    <x v="0"/>
    <s v="IP"/>
    <d v="2014-05-15T00:00:00"/>
    <s v="Closed.Moved to Na Ma Pyit KBC."/>
    <s v=""/>
    <s v=""/>
    <s v=""/>
  </r>
  <r>
    <x v="1"/>
    <x v="0"/>
    <s v="MMR001"/>
    <s v="Mohnyin"/>
    <s v="MMR001D002"/>
    <x v="10"/>
    <s v="MMR001009"/>
    <s v="Hpakan Town"/>
    <s v="MMR001009701"/>
    <s v="Hnget Pyaw Taw Ward"/>
    <s v="MMR001009701502"/>
    <x v="79"/>
    <x v="79"/>
    <x v="76"/>
    <n v="25.611899999999999"/>
    <m/>
    <n v="0"/>
    <n v="0"/>
    <s v="NA"/>
    <x v="0"/>
    <x v="0"/>
    <x v="0"/>
    <x v="2"/>
    <x v="11"/>
    <x v="4"/>
    <m/>
    <m/>
    <s v=" "/>
    <s v=""/>
    <s v=""/>
    <s v=""/>
  </r>
  <r>
    <x v="1"/>
    <x v="0"/>
    <s v="MMR001"/>
    <s v="Mohnyin"/>
    <s v="MMR001D002"/>
    <x v="10"/>
    <s v="MMR001009"/>
    <s v="Hpakan Town"/>
    <s v="MMR001009701"/>
    <s v="Maw Wam Ward"/>
    <s v="MMR001009701501"/>
    <x v="80"/>
    <x v="80"/>
    <x v="31"/>
    <m/>
    <m/>
    <n v="0"/>
    <n v="0"/>
    <s v="NA"/>
    <x v="0"/>
    <x v="0"/>
    <x v="0"/>
    <x v="2"/>
    <x v="11"/>
    <x v="4"/>
    <m/>
    <m/>
    <s v=" "/>
    <s v=""/>
    <s v=""/>
    <s v=""/>
  </r>
  <r>
    <x v="1"/>
    <x v="0"/>
    <s v="MMR001"/>
    <s v="Mohnyin"/>
    <s v="MMR001D002"/>
    <x v="10"/>
    <s v="MMR001009"/>
    <s v="Hpakan Town"/>
    <s v="MMR001009701"/>
    <s v="Maw Wam Ward"/>
    <s v="MMR001009701501"/>
    <x v="81"/>
    <x v="81"/>
    <x v="77"/>
    <n v="25.619221"/>
    <m/>
    <n v="0"/>
    <n v="0"/>
    <s v="NA"/>
    <x v="0"/>
    <x v="0"/>
    <x v="0"/>
    <x v="2"/>
    <x v="11"/>
    <x v="4"/>
    <m/>
    <m/>
    <s v=" "/>
    <s v=""/>
    <s v=""/>
    <s v=""/>
  </r>
  <r>
    <x v="1"/>
    <x v="0"/>
    <s v="MMR001"/>
    <s v="Mohnyin"/>
    <s v="MMR001D002"/>
    <x v="10"/>
    <s v="MMR001009"/>
    <m/>
    <m/>
    <m/>
    <m/>
    <x v="82"/>
    <x v="82"/>
    <x v="31"/>
    <m/>
    <m/>
    <m/>
    <m/>
    <s v="NA"/>
    <x v="0"/>
    <x v="0"/>
    <x v="0"/>
    <x v="2"/>
    <x v="11"/>
    <x v="4"/>
    <m/>
    <m/>
    <s v=" "/>
    <s v=""/>
    <s v=""/>
    <s v=""/>
  </r>
  <r>
    <x v="1"/>
    <x v="0"/>
    <s v="MMR001"/>
    <s v="Mohnyin"/>
    <s v="MMR001D002"/>
    <x v="10"/>
    <s v="MMR001009"/>
    <s v="Hpakan Town"/>
    <s v="MMR001009701"/>
    <s v="Maw Wam Ward"/>
    <s v="MMR001009701501"/>
    <x v="83"/>
    <x v="83"/>
    <x v="31"/>
    <m/>
    <m/>
    <n v="0"/>
    <n v="0"/>
    <s v="NA"/>
    <x v="0"/>
    <x v="0"/>
    <x v="0"/>
    <x v="2"/>
    <x v="11"/>
    <x v="4"/>
    <m/>
    <m/>
    <s v=" "/>
    <s v=""/>
    <s v=""/>
    <s v=""/>
  </r>
  <r>
    <x v="1"/>
    <x v="0"/>
    <s v="MMR001"/>
    <s v="Mohnyin"/>
    <s v="MMR001D002"/>
    <x v="10"/>
    <s v="MMR001009"/>
    <s v="Hpakan Town"/>
    <s v="MMR001009701"/>
    <s v="Maw Wam Ward"/>
    <s v="MMR001009701501"/>
    <x v="84"/>
    <x v="84"/>
    <x v="31"/>
    <m/>
    <m/>
    <n v="0"/>
    <n v="0"/>
    <s v="NA"/>
    <x v="0"/>
    <x v="0"/>
    <x v="0"/>
    <x v="2"/>
    <x v="11"/>
    <x v="4"/>
    <m/>
    <m/>
    <s v=" "/>
    <s v=""/>
    <s v=""/>
    <s v=""/>
  </r>
  <r>
    <x v="0"/>
    <x v="0"/>
    <s v="MMR001"/>
    <s v="Myitkyina"/>
    <s v="MMR001D001"/>
    <x v="1"/>
    <s v="MMR001002"/>
    <s v="Sa Ma"/>
    <s v="MMR001002031"/>
    <s v="Nar Gu"/>
    <n v="165790"/>
    <x v="85"/>
    <x v="85"/>
    <x v="78"/>
    <n v="24.980250000000002"/>
    <n v="984"/>
    <n v="414"/>
    <n v="1551"/>
    <n v="3.7463768115942031"/>
    <x v="1"/>
    <x v="0"/>
    <x v="0"/>
    <x v="1"/>
    <x v="0"/>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Laiza town"/>
    <n v="28.888856599204185"/>
    <n v="6"/>
  </r>
  <r>
    <x v="1"/>
    <x v="0"/>
    <s v="MMR001"/>
    <s v="Mohnyin"/>
    <s v="MMR001D002"/>
    <x v="10"/>
    <s v="MMR001009"/>
    <s v="Hpakan Town"/>
    <s v="MMR001009701"/>
    <s v="Aye Mya Thar Yar Ward"/>
    <s v="MMR001009701504"/>
    <x v="86"/>
    <x v="86"/>
    <x v="31"/>
    <m/>
    <m/>
    <m/>
    <m/>
    <s v="NA"/>
    <x v="0"/>
    <x v="0"/>
    <x v="0"/>
    <x v="2"/>
    <x v="11"/>
    <x v="4"/>
    <m/>
    <m/>
    <s v=" "/>
    <s v=""/>
    <s v=""/>
    <s v=""/>
  </r>
  <r>
    <x v="1"/>
    <x v="0"/>
    <s v="MMR001"/>
    <s v="Mohnyin"/>
    <s v="MMR001D002"/>
    <x v="10"/>
    <s v="MMR001009"/>
    <s v="Hpakan Town"/>
    <s v="MMR001009701"/>
    <s v="Ma Shi Ka Htaung Ward"/>
    <s v="MMR001009701505"/>
    <x v="87"/>
    <x v="87"/>
    <x v="31"/>
    <m/>
    <m/>
    <n v="0"/>
    <n v="0"/>
    <s v="NA"/>
    <x v="0"/>
    <x v="0"/>
    <x v="0"/>
    <x v="2"/>
    <x v="11"/>
    <x v="4"/>
    <m/>
    <m/>
    <s v=" "/>
    <s v=""/>
    <s v=""/>
    <s v=""/>
  </r>
  <r>
    <x v="1"/>
    <x v="0"/>
    <s v="MMR001"/>
    <s v="Mohnyin"/>
    <s v="MMR001D002"/>
    <x v="10"/>
    <s v="MMR001009"/>
    <s v="Hpakan Town"/>
    <s v="MMR001009701"/>
    <s v="Ma Shi Ka Htaung Ward"/>
    <s v="MMR001009701505"/>
    <x v="88"/>
    <x v="88"/>
    <x v="79"/>
    <n v="25.609179999999999"/>
    <m/>
    <n v="0"/>
    <n v="0"/>
    <s v="NA"/>
    <x v="0"/>
    <x v="0"/>
    <x v="0"/>
    <x v="2"/>
    <x v="11"/>
    <x v="4"/>
    <m/>
    <m/>
    <s v=" "/>
    <s v=""/>
    <s v=""/>
    <s v=""/>
  </r>
  <r>
    <x v="1"/>
    <x v="0"/>
    <s v="MMR001"/>
    <s v="Mohnyin"/>
    <s v="MMR001D002"/>
    <x v="10"/>
    <s v="MMR001009"/>
    <s v="Hpakan Town"/>
    <s v="MMR001009701"/>
    <s v="Ma Shi Ka Htaung Ward"/>
    <s v="MMR001009701505"/>
    <x v="89"/>
    <x v="89"/>
    <x v="31"/>
    <m/>
    <m/>
    <n v="0"/>
    <n v="0"/>
    <s v="NA"/>
    <x v="0"/>
    <x v="0"/>
    <x v="0"/>
    <x v="2"/>
    <x v="11"/>
    <x v="4"/>
    <m/>
    <m/>
    <s v=" "/>
    <s v=""/>
    <s v=""/>
    <s v=""/>
  </r>
  <r>
    <x v="1"/>
    <x v="0"/>
    <s v="MMR001"/>
    <s v="Mohnyin"/>
    <s v="MMR001D002"/>
    <x v="10"/>
    <s v="MMR001009"/>
    <s v="Hpakan Town"/>
    <s v="MMR001009701"/>
    <s v="Ma Shi Ka Htaung Ward"/>
    <s v="MMR001009701505"/>
    <x v="90"/>
    <x v="90"/>
    <x v="31"/>
    <m/>
    <m/>
    <n v="0"/>
    <n v="0"/>
    <s v="NA"/>
    <x v="0"/>
    <x v="0"/>
    <x v="0"/>
    <x v="2"/>
    <x v="11"/>
    <x v="4"/>
    <m/>
    <m/>
    <s v=" "/>
    <s v=""/>
    <s v=""/>
    <s v=""/>
  </r>
  <r>
    <x v="1"/>
    <x v="0"/>
    <s v="MMR001"/>
    <s v="Mohnyin"/>
    <s v="MMR001D002"/>
    <x v="10"/>
    <s v="MMR001009"/>
    <s v="Hpakan Town"/>
    <s v="MMR001009701"/>
    <s v="Ma Shi Ka Htaung Ward"/>
    <s v="MMR001009701505"/>
    <x v="91"/>
    <x v="91"/>
    <x v="31"/>
    <m/>
    <m/>
    <n v="0"/>
    <n v="0"/>
    <s v="NA"/>
    <x v="0"/>
    <x v="0"/>
    <x v="0"/>
    <x v="2"/>
    <x v="11"/>
    <x v="4"/>
    <m/>
    <m/>
    <s v=" "/>
    <s v=""/>
    <s v=""/>
    <s v=""/>
  </r>
  <r>
    <x v="1"/>
    <x v="0"/>
    <s v="MMR001"/>
    <s v="Mohnyin"/>
    <s v="MMR001D002"/>
    <x v="10"/>
    <s v="MMR001009"/>
    <s v="Hpakan Town"/>
    <s v="MMR001009701"/>
    <s v="Ma Shi Ka Htaung Ward"/>
    <s v="MMR001009701505"/>
    <x v="92"/>
    <x v="92"/>
    <x v="31"/>
    <m/>
    <m/>
    <n v="0"/>
    <n v="0"/>
    <s v="NA"/>
    <x v="0"/>
    <x v="0"/>
    <x v="0"/>
    <x v="2"/>
    <x v="11"/>
    <x v="4"/>
    <m/>
    <m/>
    <s v=" "/>
    <s v=""/>
    <s v=""/>
    <s v=""/>
  </r>
  <r>
    <x v="1"/>
    <x v="0"/>
    <s v="MMR001"/>
    <s v="Mohnyin"/>
    <s v="MMR001D002"/>
    <x v="10"/>
    <s v="MMR001009"/>
    <s v="Hpakan Town"/>
    <s v="MMR001009701"/>
    <s v="Ma Shi Ka Htaung Ward"/>
    <s v="MMR001009701505"/>
    <x v="93"/>
    <x v="93"/>
    <x v="31"/>
    <m/>
    <m/>
    <n v="0"/>
    <n v="0"/>
    <s v="NA"/>
    <x v="0"/>
    <x v="0"/>
    <x v="0"/>
    <x v="2"/>
    <x v="11"/>
    <x v="4"/>
    <m/>
    <m/>
    <s v=" "/>
    <s v=""/>
    <s v=""/>
    <s v=""/>
  </r>
  <r>
    <x v="1"/>
    <x v="0"/>
    <s v="MMR001"/>
    <s v="Mohnyin"/>
    <s v="MMR001D002"/>
    <x v="10"/>
    <s v="MMR001009"/>
    <s v="Hpakan Town"/>
    <s v="MMR001009701"/>
    <s v="Ma Shi Ka Htaung Ward"/>
    <s v="MMR001009701505"/>
    <x v="94"/>
    <x v="94"/>
    <x v="31"/>
    <m/>
    <m/>
    <n v="0"/>
    <n v="0"/>
    <s v="NA"/>
    <x v="0"/>
    <x v="0"/>
    <x v="0"/>
    <x v="2"/>
    <x v="11"/>
    <x v="4"/>
    <m/>
    <m/>
    <s v=" "/>
    <s v=""/>
    <s v=""/>
    <s v=""/>
  </r>
  <r>
    <x v="1"/>
    <x v="0"/>
    <s v="MMR001"/>
    <s v="Mohnyin"/>
    <s v="MMR001D002"/>
    <x v="10"/>
    <s v="MMR001009"/>
    <s v="Hpakan Town"/>
    <s v="MMR001009701"/>
    <s v="Myo Ma Ward"/>
    <s v="MMR001009701503"/>
    <x v="95"/>
    <x v="95"/>
    <x v="31"/>
    <m/>
    <m/>
    <m/>
    <m/>
    <s v="NA"/>
    <x v="0"/>
    <x v="0"/>
    <x v="0"/>
    <x v="2"/>
    <x v="11"/>
    <x v="4"/>
    <m/>
    <m/>
    <s v=" "/>
    <s v=""/>
    <s v=""/>
    <s v=""/>
  </r>
  <r>
    <x v="1"/>
    <x v="0"/>
    <s v="MMR001"/>
    <s v="Mohnyin"/>
    <s v="MMR001D002"/>
    <x v="10"/>
    <s v="MMR001009"/>
    <s v="Hpakan Town"/>
    <s v="MMR001009701"/>
    <s v="Myo Ma Ward"/>
    <s v="MMR001009701503"/>
    <x v="96"/>
    <x v="96"/>
    <x v="31"/>
    <m/>
    <m/>
    <n v="0"/>
    <n v="0"/>
    <s v="NA"/>
    <x v="0"/>
    <x v="0"/>
    <x v="0"/>
    <x v="2"/>
    <x v="11"/>
    <x v="4"/>
    <m/>
    <m/>
    <s v=" "/>
    <s v=""/>
    <s v=""/>
    <s v=""/>
  </r>
  <r>
    <x v="0"/>
    <x v="0"/>
    <s v="MMR001"/>
    <s v="Myitkyina"/>
    <s v="MMR001D001"/>
    <x v="1"/>
    <s v="MMR001002"/>
    <s v="Sa Ma"/>
    <s v="MMR001002031"/>
    <s v="Par Jaung"/>
    <n v="165792"/>
    <x v="97"/>
    <x v="97"/>
    <x v="80"/>
    <n v="24.831944"/>
    <n v="2330"/>
    <n v="185"/>
    <n v="931"/>
    <n v="5.0324324324324321"/>
    <x v="1"/>
    <x v="0"/>
    <x v="0"/>
    <x v="1"/>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Laiza town"/>
    <n v="20.599512012485512"/>
    <n v="5"/>
  </r>
  <r>
    <x v="1"/>
    <x v="0"/>
    <s v="MMR001"/>
    <s v="Mohnyin"/>
    <s v="MMR001D002"/>
    <x v="10"/>
    <s v="MMR001009"/>
    <m/>
    <m/>
    <m/>
    <m/>
    <x v="98"/>
    <x v="98"/>
    <x v="31"/>
    <m/>
    <m/>
    <n v="0"/>
    <n v="0"/>
    <s v="NA"/>
    <x v="0"/>
    <x v="0"/>
    <x v="0"/>
    <x v="2"/>
    <x v="11"/>
    <x v="4"/>
    <m/>
    <m/>
    <s v=" "/>
    <s v=""/>
    <s v=""/>
    <s v=""/>
  </r>
  <r>
    <x v="0"/>
    <x v="0"/>
    <s v="MMR001"/>
    <s v="Bhamo"/>
    <s v="MMR001D003"/>
    <x v="4"/>
    <s v="MMR001012"/>
    <s v="In Baw Mai Kyin (Dawthponeyan Sub-township)"/>
    <s v="MMR001012042"/>
    <s v="Hpun Lum Yang"/>
    <n v="167223"/>
    <x v="99"/>
    <x v="99"/>
    <x v="81"/>
    <n v="24.688338999999999"/>
    <n v="314"/>
    <n v="1492"/>
    <n v="8514"/>
    <n v="5.7064343163538878"/>
    <x v="1"/>
    <x v="0"/>
    <x v="0"/>
    <x v="1"/>
    <x v="18"/>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6/June/2017: Change the township, village tract and village.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Laiza town"/>
    <n v="7.985347533011188"/>
    <n v="2"/>
  </r>
  <r>
    <x v="1"/>
    <x v="0"/>
    <s v="MMR001"/>
    <s v="Mohnyin"/>
    <s v="MMR001D002"/>
    <x v="10"/>
    <s v="MMR001009"/>
    <m/>
    <m/>
    <m/>
    <m/>
    <x v="100"/>
    <x v="100"/>
    <x v="82"/>
    <n v="25.6447"/>
    <m/>
    <n v="0"/>
    <n v="0"/>
    <s v="NA"/>
    <x v="0"/>
    <x v="0"/>
    <x v="0"/>
    <x v="2"/>
    <x v="11"/>
    <x v="4"/>
    <m/>
    <m/>
    <s v=" "/>
    <s v=""/>
    <s v=""/>
    <s v=""/>
  </r>
  <r>
    <x v="1"/>
    <x v="0"/>
    <s v="MMR001"/>
    <s v="Mohnyin"/>
    <s v="MMR001D002"/>
    <x v="10"/>
    <s v="MMR001009"/>
    <s v="Seik Mu"/>
    <s v="MMR001009003"/>
    <s v="Ma Mon"/>
    <n v="166790"/>
    <x v="101"/>
    <x v="101"/>
    <x v="31"/>
    <m/>
    <m/>
    <n v="0"/>
    <n v="0"/>
    <s v="NA"/>
    <x v="0"/>
    <x v="0"/>
    <x v="0"/>
    <x v="2"/>
    <x v="11"/>
    <x v="4"/>
    <m/>
    <m/>
    <s v=" "/>
    <s v=""/>
    <s v=""/>
    <s v=""/>
  </r>
  <r>
    <x v="1"/>
    <x v="0"/>
    <s v="MMR001"/>
    <s v="Mohnyin"/>
    <s v="MMR001D002"/>
    <x v="10"/>
    <s v="MMR001009"/>
    <m/>
    <m/>
    <m/>
    <m/>
    <x v="102"/>
    <x v="102"/>
    <x v="31"/>
    <m/>
    <m/>
    <n v="0"/>
    <n v="0"/>
    <s v="NA"/>
    <x v="0"/>
    <x v="0"/>
    <x v="0"/>
    <x v="2"/>
    <x v="11"/>
    <x v="4"/>
    <m/>
    <m/>
    <m/>
    <s v=""/>
    <s v=""/>
    <s v=""/>
  </r>
  <r>
    <x v="0"/>
    <x v="0"/>
    <s v="MMR001"/>
    <s v="Bhamo"/>
    <s v="MMR001D003"/>
    <x v="4"/>
    <s v="MMR001012"/>
    <s v="In Baw Mai Kyin (Dawthponeyan Sub-township)"/>
    <s v="MMR001012042"/>
    <s v="Hpun Lum Yang"/>
    <n v="167223"/>
    <x v="103"/>
    <x v="103"/>
    <x v="83"/>
    <n v="24.661905999999998"/>
    <n v="415"/>
    <n v="719"/>
    <n v="3641"/>
    <n v="5.0639777468706537"/>
    <x v="1"/>
    <x v="0"/>
    <x v="0"/>
    <x v="1"/>
    <x v="0"/>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Laiza town"/>
    <n v="10.953347686331073"/>
    <n v="3"/>
  </r>
  <r>
    <x v="1"/>
    <x v="0"/>
    <s v="MMR001"/>
    <s v="Mohnyin"/>
    <s v="MMR001D002"/>
    <x v="10"/>
    <s v="MMR001009"/>
    <s v="Haung Par"/>
    <s v="MMR001009004"/>
    <s v="Haung Par"/>
    <n v="166794"/>
    <x v="104"/>
    <x v="104"/>
    <x v="31"/>
    <m/>
    <m/>
    <n v="0"/>
    <n v="0"/>
    <s v="NA"/>
    <x v="0"/>
    <x v="0"/>
    <x v="0"/>
    <x v="2"/>
    <x v="11"/>
    <x v="4"/>
    <m/>
    <m/>
    <m/>
    <s v=""/>
    <s v=""/>
    <s v=""/>
  </r>
  <r>
    <x v="1"/>
    <x v="0"/>
    <s v="MMR001"/>
    <s v="Myitkyina"/>
    <s v="MMR001D001"/>
    <x v="1"/>
    <s v="MMR001002"/>
    <s v="Hpawt Dawt"/>
    <s v="MMR001002032"/>
    <s v="Mon Gar Zut"/>
    <n v="220360"/>
    <x v="105"/>
    <x v="105"/>
    <x v="84"/>
    <n v="25.106670000000001"/>
    <n v="756"/>
    <m/>
    <m/>
    <s v="NA"/>
    <x v="1"/>
    <x v="0"/>
    <x v="0"/>
    <x v="1"/>
    <x v="10"/>
    <x v="0"/>
    <s v="IP"/>
    <d v="2017-06-02T00:00:00"/>
    <s v="6/June/2017: Changed camp status as &quot;Closed&quot; because of the conflict on Dec, 2016. So IDPs ( from Zai Awng - Mung Ga Zup) flew to Lung Byen. They stay awhile at Lung Byen and then they moved to Shait Yang on 17 Jan 2017. Added as a new camp (Shait Yang) instead of Zai Awng-Mung Ga Zup&quot;.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32.827754639406997"/>
    <n v="7"/>
  </r>
  <r>
    <x v="0"/>
    <x v="0"/>
    <s v="MMR001"/>
    <s v="Bhamo"/>
    <s v="MMR001D003"/>
    <x v="4"/>
    <s v="MMR001012"/>
    <s v="Zee Wone Gawt"/>
    <s v="MMR001012023"/>
    <s v="Dum Bung"/>
    <n v="167343"/>
    <x v="106"/>
    <x v="106"/>
    <x v="85"/>
    <n v="24.461033"/>
    <n v="360"/>
    <n v="88"/>
    <n v="338"/>
    <n v="3.8409090909090908"/>
    <x v="1"/>
    <x v="0"/>
    <x v="0"/>
    <x v="3"/>
    <x v="2"/>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 ( Some shifted to GCA Camps and some students went for study) 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Dawthponeyan  Town"/>
    <n v="18.65617244319267"/>
    <n v="4"/>
  </r>
  <r>
    <x v="1"/>
    <x v="0"/>
    <s v="MMR001"/>
    <s v="Myitkyina"/>
    <s v="MMR001D001"/>
    <x v="1"/>
    <s v="MMR001002"/>
    <s v="Saga Pa (Sadung Sub-township)"/>
    <m/>
    <m/>
    <m/>
    <x v="107"/>
    <x v="107"/>
    <x v="86"/>
    <n v="25.273333000000001"/>
    <m/>
    <n v="0"/>
    <n v="0"/>
    <s v="NA"/>
    <x v="1"/>
    <x v="0"/>
    <x v="0"/>
    <x v="2"/>
    <x v="11"/>
    <x v="4"/>
    <m/>
    <m/>
    <m/>
    <s v=""/>
    <s v=""/>
    <s v=""/>
  </r>
  <r>
    <x v="0"/>
    <x v="0"/>
    <s v="MMR001"/>
    <s v="Bhamo"/>
    <s v="MMR001D003"/>
    <x v="4"/>
    <s v="MMR001012"/>
    <s v="Kawng Hsa (Lwegel Sub-township)"/>
    <s v="MMR001012033"/>
    <s v="Mai Gyar Yang"/>
    <n v="216913"/>
    <x v="108"/>
    <x v="108"/>
    <x v="87"/>
    <n v="24.2744"/>
    <n v="978"/>
    <n v="632"/>
    <n v="3551"/>
    <n v="5.6186708860759493"/>
    <x v="1"/>
    <x v="0"/>
    <x v="0"/>
    <x v="1"/>
    <x v="5"/>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 (79 populations shifted from Pakahtawng camp to Momouk KBC camo)_x000a_31/May/2018: Population update. Data source: KMSS_Bhamo ( 20 HHs 79 PP moved to Momauk Baptist Church as per KMSS-B inf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Lwegel Town"/>
    <n v="8.953204937938569"/>
    <n v="2"/>
  </r>
  <r>
    <x v="0"/>
    <x v="0"/>
    <s v="MMR001"/>
    <s v="Bhamo"/>
    <s v="MMR001D003"/>
    <x v="5"/>
    <s v="MMR001013"/>
    <s v="In Ba Pa"/>
    <s v="MMR001013012"/>
    <s v="La Na"/>
    <n v="216948"/>
    <x v="109"/>
    <x v="109"/>
    <x v="88"/>
    <n v="24.056132999999999"/>
    <n v="866"/>
    <n v="535"/>
    <n v="2490"/>
    <n v="4.6542056074766354"/>
    <x v="1"/>
    <x v="0"/>
    <x v="0"/>
    <x v="1"/>
    <x v="3"/>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Population update: Source UNHCR-Bhamo"/>
    <s v="Lwegel Town"/>
    <n v="18.620903555062636"/>
    <n v="4"/>
  </r>
  <r>
    <x v="1"/>
    <x v="0"/>
    <s v="MMR001"/>
    <s v="Myitkyina"/>
    <s v="MMR001D001"/>
    <x v="1"/>
    <s v="MMR001002"/>
    <s v="Nam Sang Yang"/>
    <s v="MMR001002024"/>
    <s v="Nam Sang Yang"/>
    <n v="165772"/>
    <x v="110"/>
    <x v="110"/>
    <x v="89"/>
    <n v="24.747212999999999"/>
    <n v="221"/>
    <n v="0"/>
    <n v="0"/>
    <s v="NA"/>
    <x v="1"/>
    <x v="0"/>
    <x v="0"/>
    <x v="1"/>
    <x v="0"/>
    <x v="3"/>
    <s v="IP"/>
    <d v="2015-06-25T00:00:00"/>
    <s v="25-Jun-15 (Relocated to Hpum Lone Yan and Wai Choi)_x000a_Population Update. Source: UNHCR Cross-Line Mission Report. (July 2014)"/>
    <s v="Laiza town"/>
    <n v="1.857513522619473"/>
    <n v="1"/>
  </r>
  <r>
    <x v="1"/>
    <x v="0"/>
    <s v="MMR001"/>
    <s v="Myitkyina"/>
    <s v="MMR001D001"/>
    <x v="1"/>
    <s v="MMR001002"/>
    <s v="Nam Sang Yang"/>
    <s v="MMR001002024"/>
    <s v="Nam Sang Yang"/>
    <n v="165772"/>
    <x v="111"/>
    <x v="111"/>
    <x v="90"/>
    <n v="24.747966999999999"/>
    <m/>
    <n v="0"/>
    <n v="0"/>
    <s v="NA"/>
    <x v="0"/>
    <x v="0"/>
    <x v="0"/>
    <x v="2"/>
    <x v="11"/>
    <x v="4"/>
    <m/>
    <m/>
    <s v="Changed to closed"/>
    <s v=""/>
    <s v=""/>
    <s v=""/>
  </r>
  <r>
    <x v="0"/>
    <x v="0"/>
    <s v="MMR001"/>
    <s v="Bhamo"/>
    <s v="MMR001D003"/>
    <x v="5"/>
    <s v="MMR001013"/>
    <s v="Dum Buk"/>
    <s v="MMR001013014"/>
    <s v="Dum Buk"/>
    <s v="Dum Buk"/>
    <x v="112"/>
    <x v="112"/>
    <x v="91"/>
    <n v="24.002433"/>
    <n v="854"/>
    <n v="358"/>
    <n v="1680"/>
    <n v="4.6927374301675977"/>
    <x v="1"/>
    <x v="0"/>
    <x v="0"/>
    <x v="1"/>
    <x v="3"/>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Namhkan Town"/>
    <n v="19.796407430638478"/>
    <n v="4"/>
  </r>
  <r>
    <x v="0"/>
    <x v="0"/>
    <s v="MMR001"/>
    <s v="Bhamo"/>
    <s v="MMR001D003"/>
    <x v="4"/>
    <s v="MMR001012"/>
    <s v="Ba Lawng Kawng (Lwegel Sub-township)"/>
    <s v="MMR001012030"/>
    <s v="Hpa Lum"/>
    <n v="167138"/>
    <x v="113"/>
    <x v="113"/>
    <x v="92"/>
    <n v="24.378167000000001"/>
    <n v="1149"/>
    <n v="354"/>
    <n v="1547"/>
    <n v="4.370056497175141"/>
    <x v="1"/>
    <x v="0"/>
    <x v="0"/>
    <x v="1"/>
    <x v="5"/>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 and CCCM unit  (according to PPA)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Lwegel Town"/>
    <n v="20.558236360788097"/>
    <n v="5"/>
  </r>
  <r>
    <x v="0"/>
    <x v="0"/>
    <s v="MMR001"/>
    <s v="Bhamo"/>
    <s v="MMR001D003"/>
    <x v="5"/>
    <s v="MMR001013"/>
    <s v="Man Wein"/>
    <s v="MMR001013021"/>
    <s v="Man Wein"/>
    <n v="167405"/>
    <x v="114"/>
    <x v="114"/>
    <x v="93"/>
    <n v="23.835319999999999"/>
    <n v="795"/>
    <n v="442"/>
    <n v="2301"/>
    <n v="5.2058823529411766"/>
    <x v="0"/>
    <x v="0"/>
    <x v="0"/>
    <x v="1"/>
    <x v="10"/>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 &amp; OCHA_x000a_29/Jun/2017: Population update. Data source: KMSS_Bhamo_x000a_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Namhkan Town"/>
    <n v="10.509375400480517"/>
    <n v="3"/>
  </r>
  <r>
    <x v="0"/>
    <x v="0"/>
    <s v="MMR001"/>
    <s v="Bhamo"/>
    <s v="MMR001D003"/>
    <x v="5"/>
    <s v="MMR001013"/>
    <s v="Man Wein"/>
    <s v="MMR001013021"/>
    <s v="Man Wein"/>
    <n v="167405"/>
    <x v="115"/>
    <x v="115"/>
    <x v="94"/>
    <n v="23.83013"/>
    <n v="741"/>
    <n v="127"/>
    <n v="653"/>
    <n v="5.1417322834645667"/>
    <x v="0"/>
    <x v="0"/>
    <x v="0"/>
    <x v="1"/>
    <x v="7"/>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 &amp; OCHA Lashio 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Namhkan Town"/>
    <n v="9.3704379947870464"/>
    <n v="2"/>
  </r>
  <r>
    <x v="0"/>
    <x v="0"/>
    <s v="MMR001"/>
    <s v="Bhamo"/>
    <s v="MMR001D003"/>
    <x v="5"/>
    <s v="MMR001013"/>
    <s v="Man Wein"/>
    <s v="MMR001013021"/>
    <s v="Man Wein"/>
    <n v="167405"/>
    <x v="116"/>
    <x v="116"/>
    <x v="95"/>
    <n v="23.827870999999998"/>
    <m/>
    <n v="175"/>
    <n v="834"/>
    <n v="4.765714285714286"/>
    <x v="0"/>
    <x v="0"/>
    <x v="3"/>
    <x v="1"/>
    <x v="11"/>
    <x v="1"/>
    <s v="IP"/>
    <d v="2017-12-21T00:00:00"/>
    <s v="21/Dec/2017: Population update. Data source: WFP_x000a_28/Jan/2016. Population update. Data source: KBC &amp; UNHCR_x000a_13/Dec/15. Population update. Data source: UNHCR. Reason for pop changes: IDP in the host who were registered in the Man Win Bapitst Church (cultural compound) camp established their own separate entity as IDP in the host. _x000a_Population Update. Source: Save The Children."/>
    <s v="Namhkan Town"/>
    <n v="9.5650381623500511"/>
    <n v="2"/>
  </r>
  <r>
    <x v="0"/>
    <x v="0"/>
    <s v="MMR001"/>
    <s v="Myitkyina"/>
    <s v="MMR001D001"/>
    <x v="0"/>
    <s v="MMR001001"/>
    <s v="Sinbo  Town"/>
    <s v="MMR001001702"/>
    <m/>
    <m/>
    <x v="117"/>
    <x v="117"/>
    <x v="31"/>
    <m/>
    <m/>
    <n v="375"/>
    <n v="1691"/>
    <n v="4.5093333333333332"/>
    <x v="0"/>
    <x v="0"/>
    <x v="3"/>
    <x v="1"/>
    <x v="20"/>
    <x v="1"/>
    <s v="IRRC"/>
    <d v="2017-06-02T00:00:00"/>
    <s v="2/June/2017: Updated Accessibility NGCA to GCA. Data source: UNOCHA._x000a_Change to Host Families."/>
    <s v="Sinbo Town"/>
    <n v="0"/>
    <n v="1"/>
  </r>
  <r>
    <x v="0"/>
    <x v="0"/>
    <s v="MMR001"/>
    <s v="Mohnyin"/>
    <s v="MMR001D002"/>
    <x v="10"/>
    <s v="MMR001009"/>
    <s v="Nam Si In (Karmaing Sub-township)"/>
    <s v="MMR001009012"/>
    <s v="Htwe San Yang"/>
    <n v="220512"/>
    <x v="118"/>
    <x v="118"/>
    <x v="96"/>
    <n v="25.51352"/>
    <n v="0"/>
    <n v="34"/>
    <n v="136"/>
    <n v="4"/>
    <x v="0"/>
    <x v="0"/>
    <x v="0"/>
    <x v="0"/>
    <x v="13"/>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Kamaing Town"/>
    <n v="1.1537462444167914"/>
    <n v="1"/>
  </r>
  <r>
    <x v="0"/>
    <x v="0"/>
    <s v="MMR001"/>
    <s v="Myitkyina"/>
    <s v="MMR001D001"/>
    <x v="1"/>
    <s v="MMR001002"/>
    <s v="Saga Pa"/>
    <s v="MMR001002040"/>
    <s v="Saga Pa"/>
    <n v="165895"/>
    <x v="119"/>
    <x v="119"/>
    <x v="97"/>
    <n v="25.265277999999999"/>
    <n v="2764"/>
    <n v="82"/>
    <n v="518"/>
    <n v="6.3170731707317076"/>
    <x v="1"/>
    <x v="0"/>
    <x v="0"/>
    <x v="3"/>
    <x v="10"/>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Sadung Town"/>
    <n v="17.035515422123492"/>
    <n v="4"/>
  </r>
  <r>
    <x v="0"/>
    <x v="0"/>
    <s v="MMR001"/>
    <s v="Myitkyina"/>
    <s v="MMR001D001"/>
    <x v="0"/>
    <s v="MMR001001"/>
    <s v="Pa La Na Sa Khan Myar"/>
    <s v="MMR001001003"/>
    <s v="Pi Tauk Myaing"/>
    <n v="165685"/>
    <x v="120"/>
    <x v="120"/>
    <x v="98"/>
    <n v="25.493819999999999"/>
    <m/>
    <n v="138"/>
    <n v="800"/>
    <n v="5.7971014492753623"/>
    <x v="0"/>
    <x v="0"/>
    <x v="0"/>
    <x v="0"/>
    <x v="12"/>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Myitkyina Town"/>
    <n v="12.627188913244609"/>
    <n v="3"/>
  </r>
  <r>
    <x v="0"/>
    <x v="0"/>
    <s v="MMR001"/>
    <s v="Bhamo"/>
    <s v="MMR001D003"/>
    <x v="3"/>
    <s v="MMR001010"/>
    <s v="Bhamo Town"/>
    <s v="MMR001010701"/>
    <m/>
    <m/>
    <x v="121"/>
    <x v="121"/>
    <x v="99"/>
    <n v="24.263786"/>
    <m/>
    <n v="190"/>
    <n v="928"/>
    <n v="4.8842105263157896"/>
    <x v="0"/>
    <x v="0"/>
    <x v="3"/>
    <x v="0"/>
    <x v="11"/>
    <x v="1"/>
    <s v="IP"/>
    <d v="2017-12-21T00:00:00"/>
    <s v="7/April/2017: Population update. Data source: WFP_x000a_9/Nov/15. Population update. Data source: WFP_x000a_Update IDP increased in Oct and Nov 2013 (UNHCR - Bhamo)"/>
    <s v="Bhamo Town"/>
    <n v="1.1354007641426449"/>
    <n v="1"/>
  </r>
  <r>
    <x v="0"/>
    <x v="0"/>
    <s v="MMR001"/>
    <s v="Mohnyin"/>
    <s v="MMR001D002"/>
    <x v="10"/>
    <s v="MMR001009"/>
    <s v="Hpakan Town"/>
    <s v="MMR001009701"/>
    <s v="Maw Wam Ward"/>
    <s v="MMR001009701501"/>
    <x v="122"/>
    <x v="122"/>
    <x v="100"/>
    <n v="25.61842"/>
    <n v="250"/>
    <n v="11"/>
    <n v="55"/>
    <n v="5"/>
    <x v="0"/>
    <x v="0"/>
    <x v="0"/>
    <x v="0"/>
    <x v="2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Hpakant Town"/>
    <n v="0.75842119772531946"/>
    <n v="1"/>
  </r>
  <r>
    <x v="0"/>
    <x v="0"/>
    <s v="MMR001"/>
    <s v="Mohnyin"/>
    <s v="MMR001D002"/>
    <x v="10"/>
    <s v="MMR001009"/>
    <s v="Lone Khin"/>
    <s v="MMR001009001"/>
    <s v="Lone Khin"/>
    <n v="166773"/>
    <x v="123"/>
    <x v="123"/>
    <x v="101"/>
    <n v="25.656009999999998"/>
    <n v="317"/>
    <n v="68"/>
    <n v="335"/>
    <n v="4.9264705882352944"/>
    <x v="0"/>
    <x v="0"/>
    <x v="0"/>
    <x v="1"/>
    <x v="21"/>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Hpakant Town"/>
    <n v="6.3039408411778268"/>
    <n v="2"/>
  </r>
  <r>
    <x v="1"/>
    <x v="0"/>
    <s v="MMR001"/>
    <s v="Bhamo"/>
    <s v="MMR001D003"/>
    <x v="5"/>
    <s v="MMR001013"/>
    <s v="La Gat Dawt"/>
    <s v="MMR001013027"/>
    <m/>
    <m/>
    <x v="124"/>
    <x v="124"/>
    <x v="102"/>
    <n v="23.9055"/>
    <n v="745"/>
    <n v="0"/>
    <n v="0"/>
    <s v="NA"/>
    <x v="1"/>
    <x v="0"/>
    <x v="0"/>
    <x v="3"/>
    <x v="15"/>
    <x v="5"/>
    <s v="IP"/>
    <d v="2015-08-19T00:00:00"/>
    <s v="19-Aug-15 Close. Source: CCCM Unit._x000a_Population source: KMSS-BMO"/>
    <s v="Namhkan Town"/>
    <n v="12.392289083396149"/>
    <n v="3"/>
  </r>
  <r>
    <x v="1"/>
    <x v="0"/>
    <s v="MMR001"/>
    <s v="Bhamo"/>
    <s v="MMR001D003"/>
    <x v="5"/>
    <s v="MMR001013"/>
    <s v="Man Wein"/>
    <s v="MMR001013021"/>
    <m/>
    <m/>
    <x v="125"/>
    <x v="125"/>
    <x v="31"/>
    <m/>
    <m/>
    <n v="0"/>
    <n v="0"/>
    <s v="NA"/>
    <x v="1"/>
    <x v="0"/>
    <x v="0"/>
    <x v="2"/>
    <x v="11"/>
    <x v="4"/>
    <s v="IP"/>
    <d v="2014-04-08T00:00:00"/>
    <s v="Closed. Move to Bum Tist Pa II and Man Wing. HH113/Pop837"/>
    <s v=""/>
    <s v=""/>
    <s v=""/>
  </r>
  <r>
    <x v="1"/>
    <x v="0"/>
    <s v="MMR001"/>
    <s v="Bhamo"/>
    <s v="MMR001D003"/>
    <x v="5"/>
    <s v="MMR001013"/>
    <s v="Nam Lin Pa"/>
    <s v="MMR001013037"/>
    <m/>
    <m/>
    <x v="126"/>
    <x v="126"/>
    <x v="103"/>
    <n v="23.75817"/>
    <m/>
    <n v="0"/>
    <n v="0"/>
    <s v="NA"/>
    <x v="1"/>
    <x v="0"/>
    <x v="0"/>
    <x v="2"/>
    <x v="11"/>
    <x v="4"/>
    <s v="IRRC"/>
    <m/>
    <s v="This IDP are registered in Nam Lim pa (Boarder) (MMR001CMP204). We should not calculate this number in total. "/>
    <s v=""/>
    <s v=""/>
    <s v=""/>
  </r>
  <r>
    <x v="1"/>
    <x v="0"/>
    <s v="MMR001"/>
    <s v="Myitkyina"/>
    <s v="MMR001D001"/>
    <x v="12"/>
    <s v="MMR001003"/>
    <m/>
    <m/>
    <m/>
    <m/>
    <x v="127"/>
    <x v="127"/>
    <x v="31"/>
    <m/>
    <m/>
    <n v="0"/>
    <n v="0"/>
    <s v="NA"/>
    <x v="0"/>
    <x v="0"/>
    <x v="0"/>
    <x v="2"/>
    <x v="11"/>
    <x v="4"/>
    <m/>
    <d v="2014-03-14T00:00:00"/>
    <s v="Close. According to RRC's info, this camp does not include in reported list."/>
    <s v=""/>
    <s v=""/>
    <s v=""/>
  </r>
  <r>
    <x v="0"/>
    <x v="0"/>
    <s v="MMR001"/>
    <s v="Mohnyin"/>
    <s v="MMR001D002"/>
    <x v="10"/>
    <s v="MMR001009"/>
    <s v="Lone Khin"/>
    <s v="MMR001009001"/>
    <s v="Hmaw Si Zar"/>
    <n v="166775"/>
    <x v="128"/>
    <x v="128"/>
    <x v="104"/>
    <n v="25.647649999999999"/>
    <n v="0"/>
    <n v="36"/>
    <n v="226"/>
    <n v="6.2777777777777777"/>
    <x v="0"/>
    <x v="0"/>
    <x v="0"/>
    <x v="1"/>
    <x v="2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 (kate maw)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Hpakant Town"/>
    <n v="5.184483270539272"/>
    <n v="2"/>
  </r>
  <r>
    <x v="0"/>
    <x v="0"/>
    <s v="MMR001"/>
    <s v="Mohnyin"/>
    <s v="MMR001D002"/>
    <x v="10"/>
    <s v="MMR001009"/>
    <s v="Lone Khin"/>
    <s v="MMR001009001"/>
    <s v="Nyein Chan Thar Yar"/>
    <n v="216876"/>
    <x v="129"/>
    <x v="129"/>
    <x v="105"/>
    <n v="25.637309999999999"/>
    <n v="277.60000000000002"/>
    <n v="70"/>
    <n v="375"/>
    <n v="5.3571428571428568"/>
    <x v="0"/>
    <x v="0"/>
    <x v="0"/>
    <x v="0"/>
    <x v="2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Hpakant Town"/>
    <n v="4.8862832644478198"/>
    <n v="1"/>
  </r>
  <r>
    <x v="0"/>
    <x v="0"/>
    <s v="MMR001"/>
    <s v="Mohnyin"/>
    <s v="MMR001D002"/>
    <x v="10"/>
    <s v="MMR001009"/>
    <s v="Lone Khin"/>
    <s v="MMR001009001"/>
    <s v="Lone Khin"/>
    <n v="166773"/>
    <x v="130"/>
    <x v="130"/>
    <x v="106"/>
    <n v="25.635300000000001"/>
    <n v="0"/>
    <n v="70"/>
    <n v="374"/>
    <n v="5.3428571428571425"/>
    <x v="0"/>
    <x v="0"/>
    <x v="0"/>
    <x v="0"/>
    <x v="2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4.1842484710239098"/>
    <n v="1"/>
  </r>
  <r>
    <x v="1"/>
    <x v="0"/>
    <s v="MMR001"/>
    <s v="Bhamo"/>
    <s v="MMR001D003"/>
    <x v="3"/>
    <s v="MMR001010"/>
    <m/>
    <m/>
    <m/>
    <m/>
    <x v="131"/>
    <x v="131"/>
    <x v="31"/>
    <m/>
    <m/>
    <n v="0"/>
    <n v="0"/>
    <s v="NA"/>
    <x v="0"/>
    <x v="0"/>
    <x v="3"/>
    <x v="2"/>
    <x v="11"/>
    <x v="4"/>
    <m/>
    <d v="2014-01-27T00:00:00"/>
    <s v="Closed : Source, OCHA"/>
    <s v=""/>
    <s v=""/>
    <s v=""/>
  </r>
  <r>
    <x v="0"/>
    <x v="0"/>
    <s v="MMR001"/>
    <s v="Mohnyin"/>
    <s v="MMR001D002"/>
    <x v="10"/>
    <s v="MMR001009"/>
    <s v="Seik Mu"/>
    <s v="MMR001009003"/>
    <s v="Maw Shan"/>
    <n v="166785"/>
    <x v="132"/>
    <x v="132"/>
    <x v="107"/>
    <n v="25.566510000000001"/>
    <n v="278"/>
    <n v="18"/>
    <n v="102"/>
    <n v="5.666666666666667"/>
    <x v="0"/>
    <x v="0"/>
    <x v="0"/>
    <x v="1"/>
    <x v="2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 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6.7094919928483892"/>
    <n v="2"/>
  </r>
  <r>
    <x v="0"/>
    <x v="0"/>
    <s v="MMR001"/>
    <s v="Mohnyin"/>
    <s v="MMR001D002"/>
    <x v="10"/>
    <s v="MMR001009"/>
    <s v="Seik Mu"/>
    <s v="MMR001009003"/>
    <s v="Maw Shan"/>
    <n v="166785"/>
    <x v="133"/>
    <x v="133"/>
    <x v="108"/>
    <n v="25.56551"/>
    <n v="259"/>
    <n v="10"/>
    <n v="38"/>
    <n v="3.8"/>
    <x v="0"/>
    <x v="0"/>
    <x v="1"/>
    <x v="1"/>
    <x v="21"/>
    <x v="1"/>
    <s v="IP"/>
    <d v="2018-11-01T00:00:00"/>
    <s v="1/Nov/2018: Population update. Data source: Shalom_x000a_31/August/2018: Population update. Data source: Shalom_x000a_31/July/2018: Population update. Data source: Shalom_x000a_30/June/2018: Population update. Data source: Shalom_x000a_27/Mar/2018: Population update. Data source: Shalom_x000a_5/Mar/2018: Population update. Data source: Shalom_x000a_From Jan 2018: Camp status change to Camp like setting as none of the Camp management Agency covered anymore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Hpakant Town"/>
    <n v="6.2085564346706201"/>
    <n v="2"/>
  </r>
  <r>
    <x v="0"/>
    <x v="0"/>
    <s v="MMR001"/>
    <s v="Mohnyin"/>
    <s v="MMR001D002"/>
    <x v="10"/>
    <s v="MMR001009"/>
    <s v="Seik Mu"/>
    <s v="MMR001009003"/>
    <s v="Sai Taung (Ywar Haung)"/>
    <n v="166788"/>
    <x v="134"/>
    <x v="134"/>
    <x v="109"/>
    <n v="25.577559999999998"/>
    <n v="0"/>
    <n v="32"/>
    <n v="173"/>
    <n v="5.40625"/>
    <x v="0"/>
    <x v="0"/>
    <x v="0"/>
    <x v="0"/>
    <x v="2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Hpakant Town"/>
    <n v="4.6754712546149264"/>
    <n v="1"/>
  </r>
  <r>
    <x v="0"/>
    <x v="0"/>
    <s v="MMR001"/>
    <s v="Mohnyin"/>
    <s v="MMR001D002"/>
    <x v="10"/>
    <s v="MMR001009"/>
    <s v="Hpakan Town"/>
    <s v="MMR001009701"/>
    <s v="Maw Wam Ward"/>
    <s v="MMR001009701501"/>
    <x v="135"/>
    <x v="135"/>
    <x v="110"/>
    <n v="25.616509000000001"/>
    <n v="264"/>
    <n v="13"/>
    <n v="83"/>
    <n v="6.384615384615385"/>
    <x v="0"/>
    <x v="0"/>
    <x v="0"/>
    <x v="0"/>
    <x v="21"/>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0.66733171900141897"/>
    <n v="1"/>
  </r>
  <r>
    <x v="0"/>
    <x v="0"/>
    <s v="MMR001"/>
    <s v="Mohnyin"/>
    <s v="MMR001D002"/>
    <x v="10"/>
    <s v="MMR001009"/>
    <s v="Hpakan Town"/>
    <s v="MMR001009701"/>
    <s v="Maw Wam Ward"/>
    <s v="MMR001009701501"/>
    <x v="136"/>
    <x v="136"/>
    <x v="111"/>
    <n v="25.615960999999999"/>
    <n v="281"/>
    <n v="2"/>
    <n v="14"/>
    <n v="7"/>
    <x v="0"/>
    <x v="0"/>
    <x v="1"/>
    <x v="0"/>
    <x v="15"/>
    <x v="1"/>
    <s v="IP"/>
    <d v="2018-11-01T00:00:00"/>
    <s v="1/Nov/2018: Population update. Data source: Shalom_x000a_31/August/2018: Population update. Data source: Shalom_x000a_31/July/2018: Population update. Data source: Shalom_x000a_30/June/2018: Population update. Data source: Shalom_x000a_30/Apr/2018: Population update. Data source: Shalom_x000a_27/Mar/2018: Population update. Data source: Shalom_x000a_5/Mar/2018: Population update. Data source: Shalom_x000a_From Jan 2018: Camp status change to Camp like setting as none of the Camp management Agency covered anymore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Hpakant Town"/>
    <n v="0.56771790814545575"/>
    <n v="1"/>
  </r>
  <r>
    <x v="0"/>
    <x v="0"/>
    <s v="MMR001"/>
    <s v="Mohnyin"/>
    <s v="MMR001D002"/>
    <x v="10"/>
    <s v="MMR001009"/>
    <s v="Nam Ma Hpyit"/>
    <s v="MMR001009002"/>
    <s v="Nam Ma Hpyit"/>
    <n v="166776"/>
    <x v="137"/>
    <x v="137"/>
    <x v="112"/>
    <n v="25.617998"/>
    <m/>
    <n v="11"/>
    <n v="43"/>
    <n v="3.9090909090909092"/>
    <x v="0"/>
    <x v="0"/>
    <x v="1"/>
    <x v="0"/>
    <x v="21"/>
    <x v="1"/>
    <s v="IP"/>
    <d v="2018-11-01T00:00:00"/>
    <s v="1/Nov/2018: Population update. Data source: Shalom_x000a_31/August/2018: Population update. Data source: Shalom_x000a_31/July/2018: Population update. Data source: Shalom_x000a_30/June/2018: Population update. Data source: Shalom_x000a_30/Apr/2018: Population update. Data source: Shalom_x000a_27/Mar/2018: Population update. Data source: Shalom_x000a_27/Mar/2018: Population update. Data source: Shalom_x000a_5/Mar/2018: Population update. Data source: Shalom_x000a_From Jan 2018: Camp status change to Camp like setting as none of the Camp management Agency covered anymore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Hpakant Town"/>
    <n v="2.814225084976667"/>
    <n v="1"/>
  </r>
  <r>
    <x v="1"/>
    <x v="0"/>
    <s v="MMR001"/>
    <s v="Mohnyin"/>
    <s v="MMR001D002"/>
    <x v="10"/>
    <s v="MMR001009"/>
    <s v="Lone Khin"/>
    <s v="MMR001009001"/>
    <s v="Ku Day"/>
    <n v="216877"/>
    <x v="138"/>
    <x v="138"/>
    <x v="113"/>
    <n v="25.655989999999999"/>
    <m/>
    <m/>
    <m/>
    <s v="NA"/>
    <x v="0"/>
    <x v="0"/>
    <x v="0"/>
    <x v="2"/>
    <x v="11"/>
    <x v="4"/>
    <m/>
    <m/>
    <s v=" "/>
    <s v=""/>
    <s v=""/>
    <s v=""/>
  </r>
  <r>
    <x v="1"/>
    <x v="0"/>
    <s v="MMR001"/>
    <s v="Mohnyin"/>
    <s v="MMR001D002"/>
    <x v="10"/>
    <s v="MMR001009"/>
    <s v="Lone Khin"/>
    <s v="MMR001009001"/>
    <s v="Lone Khin"/>
    <n v="166773"/>
    <x v="139"/>
    <x v="139"/>
    <x v="114"/>
    <n v="25.658650000000002"/>
    <m/>
    <n v="0"/>
    <n v="0"/>
    <s v="NA"/>
    <x v="0"/>
    <x v="0"/>
    <x v="0"/>
    <x v="2"/>
    <x v="11"/>
    <x v="4"/>
    <m/>
    <m/>
    <s v=" "/>
    <s v=""/>
    <s v=""/>
    <s v=""/>
  </r>
  <r>
    <x v="1"/>
    <x v="0"/>
    <s v="MMR001"/>
    <s v="Mohnyin"/>
    <s v="MMR001D002"/>
    <x v="10"/>
    <s v="MMR001009"/>
    <s v="Lone Khin"/>
    <s v="MMR001009001"/>
    <s v="Ma Sut Yang"/>
    <n v="216880"/>
    <x v="140"/>
    <x v="140"/>
    <x v="115"/>
    <n v="25.668469999999999"/>
    <n v="256"/>
    <m/>
    <m/>
    <s v="NA"/>
    <x v="0"/>
    <x v="0"/>
    <x v="0"/>
    <x v="1"/>
    <x v="21"/>
    <x v="4"/>
    <s v="RRD"/>
    <d v="2014-05-15T00:00:00"/>
    <s v="Only one HH left, included in Lon Khin Baptist distribution list."/>
    <s v=""/>
    <s v=""/>
    <s v=""/>
  </r>
  <r>
    <x v="1"/>
    <x v="0"/>
    <s v="MMR001"/>
    <s v="Mohnyin"/>
    <s v="MMR001D002"/>
    <x v="10"/>
    <s v="MMR001009"/>
    <s v="Lone Khin"/>
    <s v="MMR001009001"/>
    <s v="Hmaw Si Zar"/>
    <n v="166775"/>
    <x v="141"/>
    <x v="141"/>
    <x v="31"/>
    <m/>
    <m/>
    <m/>
    <m/>
    <s v="NA"/>
    <x v="0"/>
    <x v="0"/>
    <x v="0"/>
    <x v="2"/>
    <x v="11"/>
    <x v="4"/>
    <m/>
    <m/>
    <s v=" "/>
    <s v=""/>
    <s v=""/>
    <s v=""/>
  </r>
  <r>
    <x v="0"/>
    <x v="0"/>
    <s v="MMR001"/>
    <s v="Bhamo"/>
    <s v="MMR001D003"/>
    <x v="3"/>
    <s v="MMR001010"/>
    <s v="Han Te"/>
    <s v="MMR001010024"/>
    <s v="Hpan Hkar Kone"/>
    <n v="166854"/>
    <x v="142"/>
    <x v="142"/>
    <x v="116"/>
    <n v="24.222349999999999"/>
    <n v="0"/>
    <n v="147"/>
    <n v="764"/>
    <n v="5.1972789115646263"/>
    <x v="0"/>
    <x v="0"/>
    <x v="0"/>
    <x v="0"/>
    <x v="2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Bhamo Town"/>
    <n v="4.067486452659054"/>
    <n v="1"/>
  </r>
  <r>
    <x v="1"/>
    <x v="0"/>
    <s v="MMR001"/>
    <s v="Mohnyin"/>
    <s v="MMR001D002"/>
    <x v="10"/>
    <s v="MMR001009"/>
    <s v="Hpakan Town"/>
    <s v="MMR001009701"/>
    <s v="Ma Shi Ka Htaung Ward"/>
    <s v="MMR001009701505"/>
    <x v="143"/>
    <x v="143"/>
    <x v="31"/>
    <m/>
    <m/>
    <m/>
    <m/>
    <s v="NA"/>
    <x v="0"/>
    <x v="0"/>
    <x v="0"/>
    <x v="2"/>
    <x v="11"/>
    <x v="4"/>
    <m/>
    <m/>
    <s v=" "/>
    <s v=""/>
    <s v=""/>
    <s v=""/>
  </r>
  <r>
    <x v="0"/>
    <x v="0"/>
    <s v="MMR001"/>
    <s v="Bhamo"/>
    <s v="MMR001D003"/>
    <x v="3"/>
    <s v="MMR001010"/>
    <s v="Aung Thar"/>
    <s v="MMR001010048"/>
    <s v="Aung Thar"/>
    <n v="166904"/>
    <x v="144"/>
    <x v="144"/>
    <x v="116"/>
    <n v="24.260466999999998"/>
    <n v="0"/>
    <n v="12"/>
    <n v="52"/>
    <n v="4.333333333333333"/>
    <x v="0"/>
    <x v="0"/>
    <x v="0"/>
    <x v="0"/>
    <x v="2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Bhamo Town"/>
    <n v="1.9489261822960435"/>
    <n v="1"/>
  </r>
  <r>
    <x v="1"/>
    <x v="0"/>
    <s v="MMR001"/>
    <s v="Mohnyin"/>
    <s v="MMR001D002"/>
    <x v="10"/>
    <s v="MMR001009"/>
    <s v="Lone Khin"/>
    <s v="MMR001009001"/>
    <s v="Lone Khin"/>
    <n v="166773"/>
    <x v="145"/>
    <x v="145"/>
    <x v="117"/>
    <n v="25.658670000000001"/>
    <n v="0"/>
    <n v="0"/>
    <n v="0"/>
    <s v="NA"/>
    <x v="0"/>
    <x v="0"/>
    <x v="0"/>
    <x v="1"/>
    <x v="21"/>
    <x v="4"/>
    <s v="RRD"/>
    <d v="2014-05-15T00:00:00"/>
    <s v="Closed."/>
    <s v=""/>
    <s v=""/>
    <s v=""/>
  </r>
  <r>
    <x v="1"/>
    <x v="0"/>
    <s v="MMR001"/>
    <s v="Mohnyin"/>
    <s v="MMR001D002"/>
    <x v="10"/>
    <s v="MMR001009"/>
    <s v="Lone Khin"/>
    <s v="MMR001009001"/>
    <s v="Lone Khin"/>
    <n v="166773"/>
    <x v="146"/>
    <x v="146"/>
    <x v="118"/>
    <n v="25.651440000000001"/>
    <m/>
    <n v="0"/>
    <n v="0"/>
    <s v="NA"/>
    <x v="0"/>
    <x v="0"/>
    <x v="0"/>
    <x v="2"/>
    <x v="11"/>
    <x v="4"/>
    <m/>
    <m/>
    <s v=" "/>
    <s v=""/>
    <s v=""/>
    <s v=""/>
  </r>
  <r>
    <x v="1"/>
    <x v="0"/>
    <s v="MMR001"/>
    <s v="Mohnyin"/>
    <s v="MMR001D002"/>
    <x v="10"/>
    <s v="MMR001009"/>
    <s v="Lone Khin"/>
    <s v="MMR001009001"/>
    <s v="Lone Khin"/>
    <n v="166773"/>
    <x v="147"/>
    <x v="147"/>
    <x v="119"/>
    <n v="25.656130000000001"/>
    <n v="0"/>
    <m/>
    <m/>
    <s v="NA"/>
    <x v="0"/>
    <x v="0"/>
    <x v="0"/>
    <x v="1"/>
    <x v="21"/>
    <x v="0"/>
    <s v="IP"/>
    <d v="2017-07-03T00:00:00"/>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Hpakant Town"/>
    <n v="6.4753396248436657"/>
    <n v="2"/>
  </r>
  <r>
    <x v="1"/>
    <x v="0"/>
    <s v="MMR001"/>
    <s v="Mohnyin"/>
    <s v="MMR001D002"/>
    <x v="10"/>
    <s v="MMR001009"/>
    <s v="Seik Mu"/>
    <s v="MMR001009003"/>
    <s v="Seik Mu"/>
    <n v="166783"/>
    <x v="148"/>
    <x v="148"/>
    <x v="31"/>
    <m/>
    <m/>
    <m/>
    <m/>
    <s v="NA"/>
    <x v="0"/>
    <x v="0"/>
    <x v="0"/>
    <x v="1"/>
    <x v="11"/>
    <x v="4"/>
    <s v="IP"/>
    <d v="2014-05-15T00:00:00"/>
    <s v="Closed."/>
    <s v=""/>
    <s v=""/>
    <s v=""/>
  </r>
  <r>
    <x v="0"/>
    <x v="0"/>
    <s v="MMR001"/>
    <s v="Myitkyina"/>
    <s v="MMR001D001"/>
    <x v="2"/>
    <s v="MMR001005"/>
    <s v="Chipwi Town"/>
    <s v="MMR001005701"/>
    <s v="Yit Law Hkaung Ward"/>
    <s v="MMR001005701501"/>
    <x v="149"/>
    <x v="149"/>
    <x v="120"/>
    <n v="25.887339999999998"/>
    <n v="259.10000000000002"/>
    <n v="205"/>
    <n v="847"/>
    <n v="4.1317073170731708"/>
    <x v="0"/>
    <x v="0"/>
    <x v="0"/>
    <x v="1"/>
    <x v="7"/>
    <x v="2"/>
    <s v="IP"/>
    <d v="2018-11-01T00:00:00"/>
    <s v="1/Nov/2018: Population update. Data source: Shalom_x000a_1/October/2018: Population update. Data source: Shalom_x000a_31/August/2018: Population update. Data source: Shalom_x000a_31/July/2018: Population update. Data source: Shalom_x000a_30/June/2018: Population update. Data source: Shalom_x000a_31/May/2018: Population update. Data source: Shalom_x000a_30/Apr/2018: Population update. Data source: Shalom_x000a_27/Mar/2018: Population update. Data source: Shalom_x000a_5/Mar/2018: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Chipwi Town"/>
    <n v="0"/>
    <n v="1"/>
  </r>
  <r>
    <x v="0"/>
    <x v="0"/>
    <s v="MMR001"/>
    <s v="Bhamo"/>
    <s v="MMR001D003"/>
    <x v="5"/>
    <s v="MMR001013"/>
    <s v="Mansi Town"/>
    <s v="MMR001013701"/>
    <m/>
    <m/>
    <x v="121"/>
    <x v="150"/>
    <x v="121"/>
    <n v="24.118618999999999"/>
    <m/>
    <n v="80"/>
    <n v="290"/>
    <n v="3.625"/>
    <x v="0"/>
    <x v="0"/>
    <x v="3"/>
    <x v="0"/>
    <x v="11"/>
    <x v="1"/>
    <s v="IP"/>
    <d v="2017-12-21T00:00:00"/>
    <s v="21/Dec/2017: Population update. Data source: WFP_x000a_7/April/2017: Population update. Data source: WFP_x000a_9/Nov/15. Population update. Data source: WFP_x000a_Update IDP increased in Oct and Nov 2013 from (UNHCR - Bhamo)"/>
    <s v="Mansi Town"/>
    <n v="0.51447052329458698"/>
    <n v="1"/>
  </r>
  <r>
    <x v="1"/>
    <x v="0"/>
    <s v="MMR001"/>
    <s v="Mohnyin"/>
    <s v="MMR001D002"/>
    <x v="10"/>
    <s v="MMR001009"/>
    <s v="Seik Mu"/>
    <s v="MMR001009003"/>
    <s v="Maw Shan"/>
    <n v="166785"/>
    <x v="150"/>
    <x v="151"/>
    <x v="122"/>
    <n v="25.668399999999998"/>
    <n v="0"/>
    <n v="8"/>
    <n v="32"/>
    <n v="4"/>
    <x v="0"/>
    <x v="0"/>
    <x v="0"/>
    <x v="1"/>
    <x v="21"/>
    <x v="0"/>
    <s v="IP"/>
    <d v="2017-10-31T00:00:00"/>
    <s v="3/Jul/2017: Population update. Data source: KBC_x000a_3/Jul/2017: Population update. Data source: KBC_x000a_19/12/2017: Closed the camp. The camp combine atLawng Hkang Shait Yang Camp​ ( Lel Pyin)​ _x000a_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Hpakant Town"/>
    <n v="7.419312682373878"/>
    <n v="2"/>
  </r>
  <r>
    <x v="0"/>
    <x v="0"/>
    <s v="MMR001"/>
    <s v="Bhamo"/>
    <s v="MMR001D003"/>
    <x v="4"/>
    <s v="MMR001012"/>
    <s v="Momauk Town"/>
    <s v="MMR001012701"/>
    <m/>
    <m/>
    <x v="121"/>
    <x v="152"/>
    <x v="123"/>
    <n v="24.251232000000002"/>
    <m/>
    <n v="223"/>
    <n v="1067"/>
    <n v="4.7847533632286998"/>
    <x v="0"/>
    <x v="0"/>
    <x v="3"/>
    <x v="0"/>
    <x v="11"/>
    <x v="1"/>
    <s v="RRD"/>
    <d v="2017-12-21T00:00:00"/>
    <s v="21/Dec/2017: Population update. Data source: WFP_x000a_7/April/2017: Population update. Data source: WFP_x000a_9/Nov/15. Population update. Data source: WFP"/>
    <s v="Momauk Town"/>
    <n v="0.60629049139006752"/>
    <n v="1"/>
  </r>
  <r>
    <x v="1"/>
    <x v="0"/>
    <s v="MMR001"/>
    <s v="Mohnyin"/>
    <s v="MMR001D002"/>
    <x v="10"/>
    <s v="MMR001009"/>
    <s v="Seik Mu"/>
    <s v="MMR001009003"/>
    <s v="Seik Mu"/>
    <n v="166783"/>
    <x v="151"/>
    <x v="153"/>
    <x v="124"/>
    <n v="25.57921"/>
    <n v="0"/>
    <m/>
    <m/>
    <s v="NA"/>
    <x v="0"/>
    <x v="0"/>
    <x v="0"/>
    <x v="1"/>
    <x v="21"/>
    <x v="3"/>
    <s v="RRD"/>
    <d v="2014-04-07T00:00:00"/>
    <s v="Move to Nant Ma Hpit Catholic Church."/>
    <s v=""/>
    <s v=""/>
    <s v=""/>
  </r>
  <r>
    <x v="1"/>
    <x v="0"/>
    <s v="MMR001"/>
    <s v="Mohnyin"/>
    <s v="MMR001D002"/>
    <x v="10"/>
    <s v="MMR001009"/>
    <s v="Seik Mu"/>
    <s v="MMR001009003"/>
    <s v="Seik Mu"/>
    <n v="166783"/>
    <x v="152"/>
    <x v="154"/>
    <x v="31"/>
    <m/>
    <m/>
    <m/>
    <m/>
    <s v="NA"/>
    <x v="0"/>
    <x v="0"/>
    <x v="0"/>
    <x v="2"/>
    <x v="11"/>
    <x v="4"/>
    <s v="RRD"/>
    <d v="2014-01-24T00:00:00"/>
    <s v="UNOCHA"/>
    <s v=""/>
    <s v=""/>
    <s v=""/>
  </r>
  <r>
    <x v="1"/>
    <x v="0"/>
    <s v="MMR001"/>
    <s v="Mohnyin"/>
    <s v="MMR001D002"/>
    <x v="10"/>
    <s v="MMR001009"/>
    <s v="Nawng Mi"/>
    <s v="MMR001009008"/>
    <s v="Nawng Myi"/>
    <n v="166817"/>
    <x v="153"/>
    <x v="155"/>
    <x v="125"/>
    <n v="25.728653000000001"/>
    <m/>
    <m/>
    <m/>
    <s v="NA"/>
    <x v="0"/>
    <x v="0"/>
    <x v="0"/>
    <x v="1"/>
    <x v="11"/>
    <x v="2"/>
    <s v="IP"/>
    <d v="2015-04-02T00:00:00"/>
    <s v="19-Aug-15 Closed. IDP were provided with individual lands within Naung Hmee village and transit toward semi-permanent settlement. Source: CCCM Unit_x000a_2-Apr-15 (Population update, Source: UNHCR CCCM Mission)_x000a_Population update: Source: Camp Profile Round 2."/>
    <s v="Kamaing Town"/>
    <n v="23.222739740353646"/>
    <n v="5"/>
  </r>
  <r>
    <x v="1"/>
    <x v="0"/>
    <s v="MMR001"/>
    <s v="Mohnyin"/>
    <s v="MMR001D002"/>
    <x v="10"/>
    <s v="MMR001009"/>
    <s v="Hpakan Town"/>
    <s v="MMR001009701"/>
    <s v="Maw Wam Ward"/>
    <s v="MMR001009701501"/>
    <x v="154"/>
    <x v="156"/>
    <x v="31"/>
    <m/>
    <m/>
    <n v="0"/>
    <n v="0"/>
    <s v="NA"/>
    <x v="0"/>
    <x v="0"/>
    <x v="0"/>
    <x v="2"/>
    <x v="11"/>
    <x v="4"/>
    <m/>
    <m/>
    <m/>
    <s v=""/>
    <s v=""/>
    <s v=""/>
  </r>
  <r>
    <x v="0"/>
    <x v="0"/>
    <s v="MMR001"/>
    <s v="Bhamo"/>
    <s v="MMR001D003"/>
    <x v="4"/>
    <s v="MMR001012"/>
    <s v="Myo Thit"/>
    <s v="MMR001012013"/>
    <s v="Khon Sint"/>
    <n v="167060"/>
    <x v="155"/>
    <x v="157"/>
    <x v="126"/>
    <n v="24.377054000000001"/>
    <m/>
    <n v="3"/>
    <n v="18"/>
    <n v="6"/>
    <x v="0"/>
    <x v="0"/>
    <x v="3"/>
    <x v="1"/>
    <x v="11"/>
    <x v="1"/>
    <s v="RRD"/>
    <d v="2017-08-03T00:00:00"/>
    <s v="WFP"/>
    <s v="Momauk Town"/>
    <n v="13.446032768350749"/>
    <n v="3"/>
  </r>
  <r>
    <x v="0"/>
    <x v="0"/>
    <s v="MMR001"/>
    <s v="Puta-O"/>
    <s v="MMR001D004"/>
    <x v="13"/>
    <s v="MMR001015"/>
    <s v="Sumprabum Town"/>
    <s v="MMR001015701"/>
    <m/>
    <m/>
    <x v="156"/>
    <x v="158"/>
    <x v="127"/>
    <n v="26.541930000000001"/>
    <n v="1025"/>
    <n v="5"/>
    <n v="32"/>
    <n v="6.4"/>
    <x v="0"/>
    <x v="0"/>
    <x v="1"/>
    <x v="1"/>
    <x v="11"/>
    <x v="1"/>
    <s v="RRD"/>
    <d v="2017-07-11T00:00:00"/>
    <m/>
    <s v="Sumprabum Town"/>
    <n v="0.23004407510846425"/>
    <n v="1"/>
  </r>
  <r>
    <x v="0"/>
    <x v="0"/>
    <s v="MMR001"/>
    <s v="Myitkyina"/>
    <s v="MMR001D001"/>
    <x v="1"/>
    <s v="MMR001002"/>
    <s v="Nam Sang Yang"/>
    <s v="MMR001002024"/>
    <m/>
    <m/>
    <x v="157"/>
    <x v="159"/>
    <x v="128"/>
    <n v="24.752471"/>
    <m/>
    <m/>
    <n v="872"/>
    <s v="NA"/>
    <x v="1"/>
    <x v="0"/>
    <x v="2"/>
    <x v="0"/>
    <x v="11"/>
    <x v="1"/>
    <s v="IRRC"/>
    <d v="2017-01-01T00:00:00"/>
    <s v="In 2014, this school is no longer accepting the lower grade students."/>
    <s v="Laiza town"/>
    <n v="2.3307568207764655"/>
    <n v="1"/>
  </r>
  <r>
    <x v="0"/>
    <x v="0"/>
    <s v="MMR001"/>
    <s v="Myitkyina"/>
    <s v="MMR001D001"/>
    <x v="2"/>
    <s v="MMR001005"/>
    <s v="Pang War Town"/>
    <s v="MMR001005702"/>
    <s v="No (2) Ward"/>
    <s v="MMR001005702502"/>
    <x v="158"/>
    <x v="160"/>
    <x v="129"/>
    <n v="25.60867"/>
    <n v="2345"/>
    <n v="57"/>
    <n v="273"/>
    <n v="4.7894736842105265"/>
    <x v="0"/>
    <x v="0"/>
    <x v="0"/>
    <x v="1"/>
    <x v="23"/>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ang War Town"/>
    <n v="0.18710270881855062"/>
    <n v="1"/>
  </r>
  <r>
    <x v="0"/>
    <x v="0"/>
    <s v="MMR001"/>
    <s v="Bhamo"/>
    <s v="MMR001D003"/>
    <x v="5"/>
    <s v="MMR001013"/>
    <s v="Maing Khaung"/>
    <s v="MMR001013007"/>
    <s v="Maing Khaung"/>
    <n v="167301"/>
    <x v="159"/>
    <x v="161"/>
    <x v="130"/>
    <n v="23.976571"/>
    <n v="478"/>
    <n v="167"/>
    <n v="789"/>
    <n v="4.7245508982035931"/>
    <x v="0"/>
    <x v="0"/>
    <x v="0"/>
    <x v="1"/>
    <x v="24"/>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MSS _x000a_19-Aug-15 Update population. Source KMSS-BMO_x000a_Geo-Info update."/>
    <s v="Kamaing Town"/>
    <n v="12.257552920582597"/>
    <n v="3"/>
  </r>
  <r>
    <x v="0"/>
    <x v="0"/>
    <s v="MMR001"/>
    <s v="Myitkyina"/>
    <s v="MMR001D001"/>
    <x v="2"/>
    <s v="MMR001005"/>
    <s v="Lang Jaw"/>
    <s v="MMR001005022"/>
    <s v="Saw Zam"/>
    <m/>
    <x v="160"/>
    <x v="162"/>
    <x v="131"/>
    <n v="25.645959999999999"/>
    <n v="1945"/>
    <n v="28"/>
    <n v="165"/>
    <n v="5.8928571428571432"/>
    <x v="0"/>
    <x v="0"/>
    <x v="0"/>
    <x v="0"/>
    <x v="23"/>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Naypyitaw Town"/>
    <n v="0"/>
    <n v="1"/>
  </r>
  <r>
    <x v="0"/>
    <x v="0"/>
    <s v="MMR001"/>
    <s v="Puta-O"/>
    <s v="MMR001D004"/>
    <x v="7"/>
    <s v="MMR001014"/>
    <s v="Lang Taung"/>
    <s v="MMR001014009"/>
    <s v="Inn Lel Yan"/>
    <n v="217032"/>
    <x v="161"/>
    <x v="163"/>
    <x v="132"/>
    <n v="27.248964999999998"/>
    <n v="398"/>
    <n v="10"/>
    <n v="56"/>
    <n v="5.6"/>
    <x v="0"/>
    <x v="0"/>
    <x v="3"/>
    <x v="1"/>
    <x v="19"/>
    <x v="1"/>
    <s v="IP"/>
    <d v="2014-04-07T00:00:00"/>
    <s v="Not updated due to lack of access._x000a_New host families."/>
    <s v="Machanbaw Town"/>
    <n v="4.789460146835963"/>
    <n v="1"/>
  </r>
  <r>
    <x v="0"/>
    <x v="0"/>
    <s v="MMR001"/>
    <s v="Bhamo"/>
    <s v="MMR001D003"/>
    <x v="5"/>
    <s v="MMR001013"/>
    <s v="Man Wein"/>
    <s v="MMR001013021"/>
    <s v="Man Wein"/>
    <n v="167405"/>
    <x v="162"/>
    <x v="164"/>
    <x v="133"/>
    <n v="23.833477999999999"/>
    <n v="925"/>
    <n v="151"/>
    <n v="729"/>
    <n v="4.8278145695364234"/>
    <x v="0"/>
    <x v="0"/>
    <x v="0"/>
    <x v="1"/>
    <x v="25"/>
    <x v="5"/>
    <s v="IP"/>
    <d v="2018-11-01T00:00:00"/>
    <s v="1/Nov/2018: Population update. Data source: KMSS_Bhamo_x000a_1/October/2018: Population update. Data source: KMSS_Bhamo_x000a_31/August/2018: Population update. Data source: KMSS_Bhamo_x000a_31/July/2018: Population update. Data source: KMSS_Bhamo_x000a_30/June/2018: Population update. Data source: KMSS_Bhamo_x000a_31/May/2018: Population update. Data source: KMSS_Bhamo_x000a_10/May/2018: Population update. Data source: KMSS_Bhamo_x000a_30/Apr/2018: Population update. Data source: KMSS_Bhamo_x000a_27/Mar/2018: Population update. Data Source: KMSS_Bhamo_x000a_11/1/2018: Population update. Data source: KMSS_Bhamo &amp; OCHA_x000a_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Namhkan Town"/>
    <n v="10.527586947557506"/>
    <n v="3"/>
  </r>
  <r>
    <x v="1"/>
    <x v="0"/>
    <s v="MMR001"/>
    <s v="Bhamo"/>
    <s v="MMR001D003"/>
    <x v="4"/>
    <s v="MMR001012"/>
    <s v="Man Ping (Ping) (Dawthponeyan Sub-township)"/>
    <s v="MMR001012052"/>
    <s v="Man Ping"/>
    <n v="167270"/>
    <x v="163"/>
    <x v="165"/>
    <x v="134"/>
    <n v="24.759551999999999"/>
    <m/>
    <m/>
    <m/>
    <s v="NA"/>
    <x v="0"/>
    <x v="0"/>
    <x v="3"/>
    <x v="1"/>
    <x v="11"/>
    <x v="4"/>
    <s v="RRD"/>
    <d v="2017-07-11T00:00:00"/>
    <s v="11/Jul/2017: Change status to Close as no update available_x000a_Geo-Info, HH/Pop data was updated from Google Earth."/>
    <s v="Dawthponeyan  Town"/>
    <n v="24.701686141136339"/>
    <n v="5"/>
  </r>
  <r>
    <x v="1"/>
    <x v="0"/>
    <s v="MMR001"/>
    <s v="Bhamo"/>
    <s v="MMR001D003"/>
    <x v="6"/>
    <s v="MMR001011"/>
    <s v="Shwegu Town"/>
    <s v="MMR001011701"/>
    <m/>
    <m/>
    <x v="121"/>
    <x v="166"/>
    <x v="135"/>
    <n v="24.224830999999998"/>
    <m/>
    <m/>
    <m/>
    <s v="NA"/>
    <x v="0"/>
    <x v="0"/>
    <x v="3"/>
    <x v="0"/>
    <x v="11"/>
    <x v="4"/>
    <s v="RRD"/>
    <d v="2017-07-11T00:00:00"/>
    <s v="11/Jul/2017: Change status to Close as no update available."/>
    <s v="Shwegu Town"/>
    <n v="2.3794331620169178"/>
    <n v="1"/>
  </r>
  <r>
    <x v="0"/>
    <x v="0"/>
    <s v="MMR001"/>
    <s v="Mohnyin"/>
    <s v="MMR001D002"/>
    <x v="10"/>
    <s v="MMR001009"/>
    <s v="Nam Ma Hpyit"/>
    <s v="MMR001009002"/>
    <s v="Nam Ma Hpyit"/>
    <n v="166776"/>
    <x v="164"/>
    <x v="167"/>
    <x v="75"/>
    <n v="25.611160000000002"/>
    <m/>
    <n v="107"/>
    <n v="529"/>
    <n v="4.94392523364486"/>
    <x v="0"/>
    <x v="0"/>
    <x v="0"/>
    <x v="0"/>
    <x v="1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Hpakant Town"/>
    <n v="0.19374952337076978"/>
    <n v="1"/>
  </r>
  <r>
    <x v="1"/>
    <x v="0"/>
    <s v="MMR001"/>
    <s v="Mohnyin"/>
    <s v="MMR001D002"/>
    <x v="10"/>
    <s v="MMR001009"/>
    <s v="Hpakan Town"/>
    <s v="MMR001009701"/>
    <s v="Maw Wam Ward"/>
    <s v="MMR001009701501"/>
    <x v="165"/>
    <x v="168"/>
    <x v="136"/>
    <n v="25.615006000000001"/>
    <m/>
    <n v="0"/>
    <n v="0"/>
    <s v="NA"/>
    <x v="0"/>
    <x v="0"/>
    <x v="0"/>
    <x v="2"/>
    <x v="11"/>
    <x v="4"/>
    <m/>
    <m/>
    <s v=" "/>
    <s v=""/>
    <s v=""/>
    <s v=""/>
  </r>
  <r>
    <x v="1"/>
    <x v="0"/>
    <s v="MMR001"/>
    <s v="Bhamo"/>
    <s v="MMR001D003"/>
    <x v="5"/>
    <s v="MMR001013"/>
    <s v="Man Mawn"/>
    <s v="MMR001013022"/>
    <m/>
    <m/>
    <x v="166"/>
    <x v="169"/>
    <x v="137"/>
    <n v="23.867713999999999"/>
    <n v="755"/>
    <n v="0"/>
    <n v="0"/>
    <s v="NA"/>
    <x v="1"/>
    <x v="0"/>
    <x v="0"/>
    <x v="1"/>
    <x v="26"/>
    <x v="5"/>
    <s v="IP"/>
    <d v="2014-06-21T00:00:00"/>
    <s v="Closed. Source: Save The Children"/>
    <s v=""/>
    <s v=""/>
    <s v=""/>
  </r>
  <r>
    <x v="1"/>
    <x v="0"/>
    <s v="MMR001"/>
    <s v="Bhamo"/>
    <s v="MMR001D003"/>
    <x v="5"/>
    <s v="MMR001013"/>
    <s v="Mung Ding Pa"/>
    <s v="MMR001013038"/>
    <m/>
    <m/>
    <x v="167"/>
    <x v="170"/>
    <x v="138"/>
    <n v="24.20645"/>
    <n v="781.8"/>
    <n v="0"/>
    <n v="0"/>
    <s v="NA"/>
    <x v="1"/>
    <x v="0"/>
    <x v="0"/>
    <x v="1"/>
    <x v="23"/>
    <x v="4"/>
    <s v="IP"/>
    <d v="2014-01-22T00:00:00"/>
    <s v="Closed: Source UNHCR-Bhamo"/>
    <s v=""/>
    <s v=""/>
    <s v=""/>
  </r>
  <r>
    <x v="1"/>
    <x v="0"/>
    <s v="MMR001"/>
    <s v="Bhamo"/>
    <s v="MMR001D003"/>
    <x v="5"/>
    <s v="MMR001013"/>
    <s v="Nam Lin Pa"/>
    <s v="MMR001013037"/>
    <m/>
    <m/>
    <x v="168"/>
    <x v="171"/>
    <x v="103"/>
    <n v="23.75817"/>
    <n v="781.8"/>
    <n v="0"/>
    <n v="0"/>
    <s v="NA"/>
    <x v="1"/>
    <x v="0"/>
    <x v="0"/>
    <x v="1"/>
    <x v="23"/>
    <x v="4"/>
    <s v="IP"/>
    <m/>
    <s v="Closed: Source UNHCR-Bhamo"/>
    <s v=""/>
    <s v=""/>
    <s v=""/>
  </r>
  <r>
    <x v="0"/>
    <x v="0"/>
    <s v="MMR001"/>
    <s v="Bhamo"/>
    <s v="MMR001D003"/>
    <x v="5"/>
    <s v="MMR001013"/>
    <s v="Man Wein"/>
    <s v="MMR001013021"/>
    <s v="Man Wein"/>
    <n v="167405"/>
    <x v="169"/>
    <x v="172"/>
    <x v="139"/>
    <n v="23.829599000000002"/>
    <m/>
    <n v="155"/>
    <n v="681"/>
    <n v="4.3935483870967742"/>
    <x v="0"/>
    <x v="0"/>
    <x v="0"/>
    <x v="1"/>
    <x v="27"/>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 and Camp manager_x000a_31/May/2018: Population update. Data source: KBC_x000a_30/Apr/2018: Population update. Data source: KBC_x000a_27/Mar/2018: Population update. Data source: KBC_x000a_5/Mar/2018: Population update. Data source: KBC_x000a_12/Jan/2018: Population update. Data source: KBC &amp; OCHA Lashio 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9.2957189123335944"/>
    <n v="2"/>
  </r>
  <r>
    <x v="0"/>
    <x v="0"/>
    <s v="MMR001"/>
    <s v="Mohnyin"/>
    <s v="MMR001D002"/>
    <x v="9"/>
    <s v="MMR001007"/>
    <s v="Hopin Town"/>
    <s v="MMR001007702"/>
    <s v="Myo Ma (South) Ward"/>
    <s v="MMR001007702503"/>
    <x v="170"/>
    <x v="173"/>
    <x v="140"/>
    <n v="24.996279999999999"/>
    <m/>
    <n v="26"/>
    <n v="116"/>
    <n v="4.4615384615384617"/>
    <x v="0"/>
    <x v="0"/>
    <x v="3"/>
    <x v="0"/>
    <x v="21"/>
    <x v="1"/>
    <s v="IP"/>
    <d v="2018-10-01T00:00:00"/>
    <s v="1/Oct/2018: Population update. Data source: WFP_x000a_24/Apr/2017: Population update. Data source: CCCM unit_x000a_19-Mar-2015 (WFP has been providing this host families since 2013.)"/>
    <s v="Hopin Town"/>
    <n v="0"/>
    <n v="1"/>
  </r>
  <r>
    <x v="1"/>
    <x v="0"/>
    <s v="MMR001"/>
    <s v="Bhamo"/>
    <s v="MMR001D003"/>
    <x v="5"/>
    <s v="MMR001013"/>
    <s v="Nam Lin Pa"/>
    <s v="MMR001013037"/>
    <m/>
    <m/>
    <x v="171"/>
    <x v="174"/>
    <x v="31"/>
    <m/>
    <m/>
    <n v="0"/>
    <n v="0"/>
    <s v="NA"/>
    <x v="1"/>
    <x v="0"/>
    <x v="0"/>
    <x v="2"/>
    <x v="11"/>
    <x v="4"/>
    <s v="IP"/>
    <m/>
    <s v="Closed: Source UNHCR-Bhamo"/>
    <s v=""/>
    <s v=""/>
    <s v=""/>
  </r>
  <r>
    <x v="0"/>
    <x v="0"/>
    <s v="MMR001"/>
    <s v="Mohnyin"/>
    <s v="MMR001D002"/>
    <x v="9"/>
    <s v="MMR001007"/>
    <s v="Mohnyin Town"/>
    <s v="MMR001007701"/>
    <m/>
    <m/>
    <x v="172"/>
    <x v="175"/>
    <x v="141"/>
    <n v="24.764959999999999"/>
    <m/>
    <n v="14"/>
    <n v="51"/>
    <n v="3.6428571428571428"/>
    <x v="0"/>
    <x v="0"/>
    <x v="3"/>
    <x v="0"/>
    <x v="21"/>
    <x v="1"/>
    <s v="IP"/>
    <d v="2018-10-01T00:00:00"/>
    <s v="1/Oct/2018: Population update. Data source: WFP_x000a_24/Apr/2017: Population update. Data source: CCCM unit_x000a_10/Jan/2017: Population update. Data source: KMSS_Myitkyina_x000a_16/Jun/2016. Population update. Data source: monthly report from KMSS_MYT_x000a_28/Jan/2016. Population update. Data source: KBC (mail by maran)_x000a_9/Nov/15. Population update. Data source: mail from Pancy (WFP)._x000a_19-Mar-2015 (WFP has been providing this host families since 2013.)"/>
    <s v="Mohnyin Town"/>
    <n v="0"/>
    <n v="1"/>
  </r>
  <r>
    <x v="1"/>
    <x v="0"/>
    <s v="MMR001"/>
    <s v="Bhamo"/>
    <s v="MMR001D003"/>
    <x v="3"/>
    <s v="MMR001010"/>
    <m/>
    <m/>
    <m/>
    <m/>
    <x v="173"/>
    <x v="176"/>
    <x v="31"/>
    <m/>
    <m/>
    <n v="0"/>
    <n v="0"/>
    <s v="NA"/>
    <x v="0"/>
    <x v="0"/>
    <x v="0"/>
    <x v="0"/>
    <x v="11"/>
    <x v="4"/>
    <s v="IP"/>
    <d v="2014-03-03T00:00:00"/>
    <s v="Closed. Rellocated to Tharthana Ahlin Yaung."/>
    <s v=""/>
    <s v=""/>
    <s v=""/>
  </r>
  <r>
    <x v="1"/>
    <x v="0"/>
    <s v="MMR001"/>
    <s v="Bhamo"/>
    <s v="MMR001D003"/>
    <x v="5"/>
    <s v="MMR001013"/>
    <s v="Mai Bat"/>
    <s v="MMR001013018"/>
    <s v="Man Kawng"/>
    <n v="167391"/>
    <x v="174"/>
    <x v="177"/>
    <x v="142"/>
    <n v="24.181640000000002"/>
    <m/>
    <n v="0"/>
    <n v="0"/>
    <s v="NA"/>
    <x v="0"/>
    <x v="0"/>
    <x v="0"/>
    <x v="2"/>
    <x v="11"/>
    <x v="4"/>
    <s v="IP"/>
    <d v="2014-03-03T00:00:00"/>
    <s v="Closed. Duplicate with Maing Khaung."/>
    <s v=""/>
    <s v=""/>
    <s v=""/>
  </r>
  <r>
    <x v="1"/>
    <x v="0"/>
    <s v="MMR001"/>
    <s v="Bhamo"/>
    <s v="MMR001D003"/>
    <x v="5"/>
    <s v="MMR001013"/>
    <s v="Mai Bat"/>
    <s v="MMR001013018"/>
    <s v="Man Kawng"/>
    <n v="167391"/>
    <x v="175"/>
    <x v="178"/>
    <x v="142"/>
    <n v="24.181640000000002"/>
    <m/>
    <n v="0"/>
    <n v="0"/>
    <s v="NA"/>
    <x v="0"/>
    <x v="0"/>
    <x v="0"/>
    <x v="2"/>
    <x v="11"/>
    <x v="4"/>
    <s v="IP"/>
    <d v="2014-03-03T00:00:00"/>
    <s v="Closed. Duplicate with Maing Khaung."/>
    <s v=""/>
    <s v=""/>
    <s v=""/>
  </r>
  <r>
    <x v="1"/>
    <x v="0"/>
    <s v="MMR001"/>
    <s v="Bhamo"/>
    <s v="MMR001D003"/>
    <x v="5"/>
    <s v="MMR001013"/>
    <m/>
    <m/>
    <m/>
    <m/>
    <x v="176"/>
    <x v="179"/>
    <x v="31"/>
    <m/>
    <m/>
    <n v="0"/>
    <n v="0"/>
    <s v="NA"/>
    <x v="0"/>
    <x v="0"/>
    <x v="0"/>
    <x v="2"/>
    <x v="11"/>
    <x v="4"/>
    <s v="IP"/>
    <d v="2014-03-03T00:00:00"/>
    <s v="Closed. Rellocated to Man Win and La Ga Yaung"/>
    <s v=""/>
    <s v=""/>
    <s v=""/>
  </r>
  <r>
    <x v="1"/>
    <x v="0"/>
    <s v="MMR001"/>
    <s v="Bhamo"/>
    <s v="MMR001D003"/>
    <x v="5"/>
    <s v="MMR001013"/>
    <m/>
    <m/>
    <m/>
    <m/>
    <x v="177"/>
    <x v="180"/>
    <x v="31"/>
    <m/>
    <m/>
    <n v="0"/>
    <n v="0"/>
    <s v="NA"/>
    <x v="0"/>
    <x v="0"/>
    <x v="0"/>
    <x v="2"/>
    <x v="11"/>
    <x v="4"/>
    <s v="IP"/>
    <d v="2014-03-03T00:00:00"/>
    <s v="Closed. Rellocated to Man Win and La Ga Yaung"/>
    <s v=""/>
    <s v=""/>
    <s v=""/>
  </r>
  <r>
    <x v="1"/>
    <x v="0"/>
    <s v="MMR001"/>
    <s v="Bhamo"/>
    <s v="MMR001D003"/>
    <x v="5"/>
    <s v="MMR001013"/>
    <m/>
    <m/>
    <m/>
    <m/>
    <x v="178"/>
    <x v="181"/>
    <x v="31"/>
    <m/>
    <m/>
    <n v="0"/>
    <n v="0"/>
    <s v="NA"/>
    <x v="0"/>
    <x v="0"/>
    <x v="3"/>
    <x v="1"/>
    <x v="11"/>
    <x v="4"/>
    <s v="IP"/>
    <d v="2015-03-27T00:00:00"/>
    <s v="27-Mar-15 (Closed. Source: UNHCR-Bhamo)_x000a_New Camp"/>
    <s v=""/>
    <s v=""/>
    <s v=""/>
  </r>
  <r>
    <x v="1"/>
    <x v="0"/>
    <s v="MMR001"/>
    <s v="Bhamo"/>
    <s v="MMR001D003"/>
    <x v="5"/>
    <s v="MMR001013"/>
    <m/>
    <m/>
    <m/>
    <m/>
    <x v="179"/>
    <x v="182"/>
    <x v="31"/>
    <m/>
    <m/>
    <n v="0"/>
    <n v="0"/>
    <s v="NA"/>
    <x v="0"/>
    <x v="0"/>
    <x v="4"/>
    <x v="2"/>
    <x v="11"/>
    <x v="4"/>
    <s v="IP"/>
    <d v="2014-02-07T00:00:00"/>
    <s v="Source OCHA"/>
    <s v=""/>
    <s v=""/>
    <s v=""/>
  </r>
  <r>
    <x v="0"/>
    <x v="0"/>
    <s v="MMR001"/>
    <s v="Puta-O"/>
    <s v="MMR001D004"/>
    <x v="7"/>
    <s v="MMR001014"/>
    <s v="Puta-O Town"/>
    <s v="MMR001014701"/>
    <s v="Lone Sut Ward"/>
    <s v="MMR001014701510"/>
    <x v="180"/>
    <x v="183"/>
    <x v="143"/>
    <n v="27.337499999999999"/>
    <m/>
    <n v="61"/>
    <n v="281"/>
    <n v="4.6065573770491799"/>
    <x v="0"/>
    <x v="0"/>
    <x v="0"/>
    <x v="0"/>
    <x v="28"/>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s v="Puta-O Town"/>
    <n v="0"/>
    <n v="1"/>
  </r>
  <r>
    <x v="1"/>
    <x v="0"/>
    <s v="MMR001"/>
    <s v="Bhamo"/>
    <s v="MMR001D003"/>
    <x v="5"/>
    <s v="MMR001013"/>
    <m/>
    <m/>
    <m/>
    <m/>
    <x v="181"/>
    <x v="184"/>
    <x v="31"/>
    <m/>
    <m/>
    <n v="0"/>
    <n v="0"/>
    <s v="NA"/>
    <x v="0"/>
    <x v="0"/>
    <x v="0"/>
    <x v="1"/>
    <x v="11"/>
    <x v="4"/>
    <s v="IP"/>
    <d v="2014-01-13T00:00:00"/>
    <s v="Close (Source: OCHA)"/>
    <s v=""/>
    <s v=""/>
    <s v=""/>
  </r>
  <r>
    <x v="1"/>
    <x v="0"/>
    <s v="MMR001"/>
    <s v="Puta-O"/>
    <s v="MMR001D004"/>
    <x v="7"/>
    <s v="MMR001014"/>
    <s v="Lang Taung"/>
    <s v="MMR001014009"/>
    <s v="Nawng Hkaing"/>
    <n v="167567"/>
    <x v="182"/>
    <x v="185"/>
    <x v="144"/>
    <n v="27.270199999999999"/>
    <n v="372.9"/>
    <n v="0"/>
    <n v="0"/>
    <s v="NA"/>
    <x v="0"/>
    <x v="0"/>
    <x v="0"/>
    <x v="1"/>
    <x v="19"/>
    <x v="4"/>
    <s v="IP"/>
    <d v="2014-03-27T00:00:00"/>
    <s v="25-Jun-15 (Relocated to Lone Sut)_x000a_Geo-Info, HH/Pop data received from MIRA Form"/>
    <s v="Machanbaw Town"/>
    <n v="1.7005689699647599"/>
    <n v="1"/>
  </r>
  <r>
    <x v="1"/>
    <x v="0"/>
    <s v="MMR001"/>
    <s v="Puta-O"/>
    <s v="MMR001D004"/>
    <x v="14"/>
    <s v="MMR001016"/>
    <m/>
    <m/>
    <m/>
    <m/>
    <x v="183"/>
    <x v="186"/>
    <x v="145"/>
    <n v="27.274059999999999"/>
    <n v="403"/>
    <m/>
    <m/>
    <s v="NA"/>
    <x v="0"/>
    <x v="0"/>
    <x v="0"/>
    <x v="1"/>
    <x v="29"/>
    <x v="4"/>
    <s v="IP"/>
    <d v="2015-06-25T00:00:00"/>
    <s v="25-Jun-15 (Relocate to Long Sut)_x000a_Geo-Info, HH/Pop data received from MIRA Form"/>
    <s v="Machanbaw Town"/>
    <n v="1.136583238544624"/>
    <n v="1"/>
  </r>
  <r>
    <x v="1"/>
    <x v="0"/>
    <s v="MMR001"/>
    <s v="Bhamo"/>
    <s v="MMR001D003"/>
    <x v="3"/>
    <s v="MMR001010"/>
    <m/>
    <m/>
    <m/>
    <m/>
    <x v="184"/>
    <x v="187"/>
    <x v="31"/>
    <m/>
    <m/>
    <m/>
    <m/>
    <s v="NA"/>
    <x v="0"/>
    <x v="0"/>
    <x v="0"/>
    <x v="0"/>
    <x v="11"/>
    <x v="4"/>
    <s v="IP"/>
    <d v="2014-03-04T00:00:00"/>
    <s v="Closed. Rellocated next to AD 2000 Tharthana Compound and CCCM is under AD 2000"/>
    <s v=""/>
    <s v=""/>
    <s v=""/>
  </r>
  <r>
    <x v="0"/>
    <x v="0"/>
    <s v="MMR001"/>
    <s v="Mohnyin"/>
    <s v="MMR001D002"/>
    <x v="8"/>
    <s v="MMR001008"/>
    <s v="Sar Hmaw"/>
    <s v="MMR001008018"/>
    <s v="Sar Hmaw"/>
    <n v="166724"/>
    <x v="185"/>
    <x v="188"/>
    <x v="146"/>
    <n v="25.225000000000001"/>
    <m/>
    <n v="26"/>
    <n v="133"/>
    <n v="5.115384615384615"/>
    <x v="0"/>
    <x v="0"/>
    <x v="0"/>
    <x v="1"/>
    <x v="3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s v="Mogaung Town"/>
    <n v="5"/>
    <n v="2"/>
  </r>
  <r>
    <x v="1"/>
    <x v="0"/>
    <s v="MMR001"/>
    <s v="Bhamo"/>
    <s v="MMR001D003"/>
    <x v="3"/>
    <s v="MMR001010"/>
    <s v="Han Te"/>
    <s v="MMR001010024"/>
    <m/>
    <m/>
    <x v="186"/>
    <x v="189"/>
    <x v="147"/>
    <n v="24.229189999999999"/>
    <n v="126"/>
    <m/>
    <m/>
    <s v="NA"/>
    <x v="0"/>
    <x v="0"/>
    <x v="0"/>
    <x v="0"/>
    <x v="11"/>
    <x v="2"/>
    <s v="IP"/>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
    <s v=""/>
    <s v=""/>
  </r>
  <r>
    <x v="0"/>
    <x v="0"/>
    <s v="MMR001"/>
    <s v="Puta-O"/>
    <s v="MMR001D004"/>
    <x v="13"/>
    <s v="MMR001015"/>
    <m/>
    <m/>
    <m/>
    <m/>
    <x v="187"/>
    <x v="190"/>
    <x v="148"/>
    <n v="26.569633"/>
    <m/>
    <n v="111"/>
    <n v="634"/>
    <n v="5.711711711711712"/>
    <x v="1"/>
    <x v="0"/>
    <x v="0"/>
    <x v="1"/>
    <x v="3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15/Mar/2017: Population update. Data Source: KBC_x000a_24/Feb/2017: Population and Responsible agency update. Data source: KBC._x000a_10/2/2015. New Camp. Data source: CCCM team"/>
    <s v="Sumprabum Town"/>
    <n v="0"/>
    <n v="1"/>
  </r>
  <r>
    <x v="1"/>
    <x v="0"/>
    <s v="MMR001"/>
    <s v="Bhamo"/>
    <s v="MMR001D003"/>
    <x v="5"/>
    <s v="MMR001013"/>
    <s v="Dum Buk"/>
    <s v="MMR001013014"/>
    <s v="Dum Buk"/>
    <n v="167343"/>
    <x v="188"/>
    <x v="191"/>
    <x v="149"/>
    <n v="24.000250000000001"/>
    <m/>
    <m/>
    <m/>
    <s v="NA"/>
    <x v="1"/>
    <x v="0"/>
    <x v="0"/>
    <x v="1"/>
    <x v="3"/>
    <x v="5"/>
    <s v="IP"/>
    <d v="2016-09-16T00:00:00"/>
    <s v="16/Sep/2016: Changes camp status. Actually it was not closed. It was combined as one camp with Bum Tsit Pa. Data source: KMSS_Bhamo._x000a_28/Jan/2016. Population update. Data source: KBC_x000a_Population Update. Source: Save The Children."/>
    <s v="Namhkan Town"/>
    <n v="19.631786732140053"/>
    <n v="4"/>
  </r>
  <r>
    <x v="0"/>
    <x v="0"/>
    <s v="MMR001"/>
    <s v="Puta-O"/>
    <s v="MMR001D004"/>
    <x v="13"/>
    <s v="MMR001015"/>
    <m/>
    <m/>
    <m/>
    <m/>
    <x v="189"/>
    <x v="192"/>
    <x v="150"/>
    <n v="26.548506"/>
    <m/>
    <n v="64"/>
    <n v="311"/>
    <n v="4.859375"/>
    <x v="1"/>
    <x v="0"/>
    <x v="0"/>
    <x v="1"/>
    <x v="3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24/Apr/2017: Population update. Data source: KBC and CCCM unit_x000a_15/Mar/2017: Population update. Data Source: KBC_x000a_24/Feb/2017: Population and Responsible agency update. Data source: KBC._x000a_10/2/2015. New Camp. Data source: CCCM team"/>
    <s v="Sumprabum Town"/>
    <n v="0"/>
    <n v="1"/>
  </r>
  <r>
    <x v="0"/>
    <x v="0"/>
    <s v="MMR001"/>
    <s v="Mohnyin"/>
    <s v="MMR001D002"/>
    <x v="10"/>
    <s v="MMR001009"/>
    <s v="Wa Ra Zut"/>
    <s v="MMR001009009"/>
    <s v="Shar Du Zut"/>
    <n v="166819"/>
    <x v="190"/>
    <x v="193"/>
    <x v="151"/>
    <n v="25.920006000000001"/>
    <m/>
    <n v="28"/>
    <n v="126"/>
    <n v="4.5"/>
    <x v="0"/>
    <x v="0"/>
    <x v="0"/>
    <x v="1"/>
    <x v="3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6/Sep/2016: New added camp. There no responsible organization."/>
    <s v="Hpakant Town"/>
    <n v="0"/>
    <n v="1"/>
  </r>
  <r>
    <x v="0"/>
    <x v="0"/>
    <s v="MMR001"/>
    <s v="Mohnyin"/>
    <s v="MMR001D002"/>
    <x v="10"/>
    <s v="MMR001009"/>
    <s v="Wa Ra Zut"/>
    <s v="MMR001009009"/>
    <s v="Shar Du Zut"/>
    <n v="166819"/>
    <x v="191"/>
    <x v="194"/>
    <x v="151"/>
    <n v="25.920006000000001"/>
    <m/>
    <n v="4"/>
    <n v="11"/>
    <n v="2.75"/>
    <x v="0"/>
    <x v="0"/>
    <x v="1"/>
    <x v="1"/>
    <x v="32"/>
    <x v="1"/>
    <s v="IP"/>
    <d v="2018-10-01T00:00:00"/>
    <s v="1/OCt /2018: Population update. Data source: KMSS_Myitkyina_x000a_30/June/2018: Population update. Data source: KMSS_Myitkyina_x000a_4/April/2018: Camp status change to Camp like setting ( No CCCM intervention from January 2018)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0"/>
    <x v="0"/>
    <s v="MMR001"/>
    <s v="Mohnyin"/>
    <s v="MMR001D002"/>
    <x v="10"/>
    <s v="MMR001009"/>
    <s v="Wa Ra Zut"/>
    <s v="MMR001009009"/>
    <s v="Shar Du Zut"/>
    <n v="166819"/>
    <x v="192"/>
    <x v="195"/>
    <x v="151"/>
    <n v="25.920006000000001"/>
    <m/>
    <n v="21"/>
    <n v="92"/>
    <n v="4.3809523809523814"/>
    <x v="0"/>
    <x v="0"/>
    <x v="0"/>
    <x v="1"/>
    <x v="32"/>
    <x v="3"/>
    <s v="IP"/>
    <d v="2018-11-01T00:00:00"/>
    <s v="1/Nov/2018: Population update. Data source: KMSS_Myitkyina_x000a_1/October/2018: Population update. Data source: KMSS_Myitkyina_x000a_31/August/2018: Population update. Data source: KMSS_Myitkyina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1"/>
    <x v="0"/>
    <s v="MMR001"/>
    <s v="Mohnyin"/>
    <s v="MMR001D002"/>
    <x v="10"/>
    <s v="MMR001009"/>
    <s v="Lone Khin"/>
    <s v="MMR001009001"/>
    <s v="Ku Day"/>
    <n v="216877"/>
    <x v="193"/>
    <x v="196"/>
    <x v="152"/>
    <n v="25.806999999999999"/>
    <m/>
    <m/>
    <m/>
    <s v="NA"/>
    <x v="0"/>
    <x v="0"/>
    <x v="0"/>
    <x v="1"/>
    <x v="33"/>
    <x v="0"/>
    <s v="IP"/>
    <d v="2017-07-03T00:00:00"/>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s v="Hpakant Town"/>
    <n v="10"/>
    <n v="3"/>
  </r>
  <r>
    <x v="0"/>
    <x v="0"/>
    <s v="MMR001"/>
    <s v="Myitkyina"/>
    <s v="MMR001D001"/>
    <x v="1"/>
    <s v="MMR001002"/>
    <s v="Moke Lwe"/>
    <s v="MMR001002002"/>
    <s v="Khar Shi"/>
    <n v="216822"/>
    <x v="194"/>
    <x v="197"/>
    <x v="153"/>
    <n v="25.305008999999998"/>
    <m/>
    <n v="62"/>
    <n v="410"/>
    <n v="6.612903225806452"/>
    <x v="0"/>
    <x v="0"/>
    <x v="1"/>
    <x v="1"/>
    <x v="11"/>
    <x v="1"/>
    <s v="WV"/>
    <d v="2017-06-02T00:00:00"/>
    <s v="2/June/2017: New added camp. Data source: WASH cluster, WV (World Vision)."/>
    <s v="Waingmaw Town"/>
    <n v="0"/>
    <n v="1"/>
  </r>
  <r>
    <x v="0"/>
    <x v="0"/>
    <s v="MMR001"/>
    <s v="Mohnyin"/>
    <s v="MMR001D002"/>
    <x v="10"/>
    <s v="MMR001009"/>
    <s v="Lone Khin"/>
    <s v="MMR001009001"/>
    <s v="Lel Pyin"/>
    <n v="220486"/>
    <x v="195"/>
    <x v="198"/>
    <x v="31"/>
    <m/>
    <m/>
    <n v="123"/>
    <n v="665"/>
    <n v="5.4065040650406502"/>
    <x v="0"/>
    <x v="0"/>
    <x v="0"/>
    <x v="1"/>
    <x v="3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Added New camp. _x000a_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
    <s v="Hpakant Town"/>
    <n v="0"/>
    <n v="1"/>
  </r>
  <r>
    <x v="0"/>
    <x v="0"/>
    <s v="MMR001"/>
    <s v="Myitkyina"/>
    <s v="MMR001D001"/>
    <x v="15"/>
    <s v="MMR001004"/>
    <s v="Tanai Town"/>
    <s v="MMR001004701"/>
    <m/>
    <m/>
    <x v="196"/>
    <x v="199"/>
    <x v="31"/>
    <m/>
    <m/>
    <n v="139"/>
    <n v="587"/>
    <n v="4.2230215827338133"/>
    <x v="0"/>
    <x v="0"/>
    <x v="0"/>
    <x v="0"/>
    <x v="35"/>
    <x v="3"/>
    <s v="IP"/>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 The camp name also change from &quot;Tanai RC Church - Kinsa Ra&quot; to St. Joseph Tanai RC camp. _x000a_31/July /2018: Population update. Data source: KMSS M_x000a_ 30/June/2018: Population update. Data source: UNHCR/Cluster partners_x000a_30/May/2018: Population update. Data source: UNHCR/Cluster partners"/>
    <s v="Tanai Town"/>
    <n v="0"/>
    <n v="1"/>
  </r>
  <r>
    <x v="1"/>
    <x v="0"/>
    <s v="MMR001"/>
    <s v="Mohnyin"/>
    <s v="MMR001D002"/>
    <x v="8"/>
    <s v="MMR001008"/>
    <s v="Sar Hmaw"/>
    <s v="MMR001008018"/>
    <s v="Sar Hmaw"/>
    <n v="166724"/>
    <x v="197"/>
    <x v="200"/>
    <x v="146"/>
    <n v="25.225000000000001"/>
    <m/>
    <m/>
    <m/>
    <s v="NA"/>
    <x v="0"/>
    <x v="0"/>
    <x v="3"/>
    <x v="1"/>
    <x v="30"/>
    <x v="4"/>
    <s v="RRD"/>
    <d v="2017-07-11T00:00:00"/>
    <s v="11/Jul/2017: Closed camp. No update information._x000a_25-Jun-2015 (New host families. Source: RRD)"/>
    <s v="Mogaung Town"/>
    <n v="5"/>
    <n v="2"/>
  </r>
  <r>
    <x v="0"/>
    <x v="0"/>
    <s v="MMR001"/>
    <s v="Myitkyina"/>
    <s v="MMR001D001"/>
    <x v="15"/>
    <s v="MMR001004"/>
    <s v="Tanai Town"/>
    <s v="MMR001004701"/>
    <m/>
    <m/>
    <x v="198"/>
    <x v="201"/>
    <x v="31"/>
    <m/>
    <m/>
    <n v="101"/>
    <n v="380"/>
    <n v="3.7623762376237622"/>
    <x v="0"/>
    <x v="0"/>
    <x v="0"/>
    <x v="0"/>
    <x v="35"/>
    <x v="0"/>
    <s v="IP"/>
    <d v="2018-11-01T00:00:00"/>
    <s v="1/Nov/2018: Population update. Data source: KBC_x000a_1/October/2018: Population update. Data source: KBC_x000a_31/August/2018: Population update. Data source: KBC_x000a_31/July/2018: Population update: Data Source: KBC ( The camp status change to Camp from Camp like setting as KBC covers as CMA from July 2018_x000a_5/July/2018: The camp name “ Tanail KBC Church) change to Tanai KBC camp  As per KBC email sent on Thu 7/5/2018 5:47 PM by PC KBC- HDD "/>
    <s v="Tanai Town"/>
    <n v="0"/>
    <n v="1"/>
  </r>
  <r>
    <x v="1"/>
    <x v="0"/>
    <s v="MMR001"/>
    <s v="Mohnyin"/>
    <s v="MMR001D002"/>
    <x v="8"/>
    <s v="MMR001008"/>
    <s v="Nawng Kaing Htaw"/>
    <s v="MMR001008002"/>
    <s v="Ma Haung"/>
    <n v="166676"/>
    <x v="199"/>
    <x v="202"/>
    <x v="63"/>
    <n v="25.299679999999999"/>
    <m/>
    <n v="6"/>
    <n v="31"/>
    <n v="5.166666666666667"/>
    <x v="0"/>
    <x v="0"/>
    <x v="1"/>
    <x v="0"/>
    <x v="30"/>
    <x v="4"/>
    <s v="IP"/>
    <d v="2018-03-30T00:00:00"/>
    <s v="30/Mar/2018: Camp Status change to Closed: Relocate to Nongpong. _x000a_29/June/2017: Population update. Planning to local integration through KMSS_Myitkyina. Relocated to Naung Pon_x000a_3/May/2017: Pop update. Data source: KMSS_Myitkyina_x000a_24/Apr/2017: Pop update. Data source: KMSS_Myitkyina_x000a_6/Apr/2017: Change camp status as &quot;Open&quot;. Data source: Protection team and comfirmed by camp manager._x000a_2/feb/2017: Closed Camp_x000a_10/Jan/2017: Population update. Data source: KMSS_Myitkyina_x000a_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s v="Mogaung Town"/>
    <n v="0.75"/>
    <n v="1"/>
  </r>
  <r>
    <x v="0"/>
    <x v="0"/>
    <s v="MMR001"/>
    <s v="Myitkyina"/>
    <s v="MMR001D001"/>
    <x v="15"/>
    <s v="MMR001004"/>
    <s v="Tanai Town"/>
    <s v="MMR001004701"/>
    <m/>
    <m/>
    <x v="200"/>
    <x v="203"/>
    <x v="31"/>
    <m/>
    <m/>
    <n v="34"/>
    <n v="143"/>
    <n v="4.2058823529411766"/>
    <x v="0"/>
    <x v="0"/>
    <x v="0"/>
    <x v="0"/>
    <x v="35"/>
    <x v="3"/>
    <s v="IP"/>
    <d v="2018-11-01T00:00:00"/>
    <s v="1/Nov/2018: Population update. Data source: KMSS_Myitkyina_x000a_1/October/2018: Population update. Data source: KMSS_Myitkyina_x000a_31/August/2018: Population update. Data source: KMSS_Myitkyina_x000a_31/July /2018: Population update. Data source: KMSS M"/>
    <s v="Tanai Town"/>
    <n v="0"/>
    <n v="1"/>
  </r>
  <r>
    <x v="0"/>
    <x v="0"/>
    <s v="MMR001"/>
    <s v="Myitkyina"/>
    <s v="MMR001D001"/>
    <x v="0"/>
    <s v="MMR001001"/>
    <s v="Myitkyina Town"/>
    <m/>
    <s v="Ka Bu Dam"/>
    <m/>
    <x v="201"/>
    <x v="204"/>
    <x v="31"/>
    <m/>
    <m/>
    <n v="14"/>
    <n v="38"/>
    <n v="2.7142857142857144"/>
    <x v="0"/>
    <x v="0"/>
    <x v="0"/>
    <x v="0"/>
    <x v="36"/>
    <x v="3"/>
    <s v="IP"/>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1/July /2018: Population update. Data source: KMSS M_x000a_5/Mar/2018: Population update. Data source:  Camp manager _x000a_New displacement from Tingkawk_x000a_"/>
    <s v="Myitkyina Town"/>
    <n v="0"/>
    <n v="1"/>
  </r>
  <r>
    <x v="1"/>
    <x v="0"/>
    <s v="MMR001"/>
    <s v="Bhamo"/>
    <s v="MMR001D003"/>
    <x v="4"/>
    <s v="MMR001012"/>
    <s v="Dawthponeyan  Town"/>
    <s v="MMR001012703"/>
    <s v="No (2) Ward"/>
    <s v="MMR001012703502"/>
    <x v="202"/>
    <x v="205"/>
    <x v="154"/>
    <n v="24.613976000000001"/>
    <m/>
    <m/>
    <m/>
    <s v="NA"/>
    <x v="0"/>
    <x v="0"/>
    <x v="2"/>
    <x v="1"/>
    <x v="11"/>
    <x v="4"/>
    <s v="WFP"/>
    <d v="2017-07-11T00:00:00"/>
    <s v="11/Jul/2017: Closed camp. No update information since Nov 2015._x000a_9/Nov/2015. Population update. Data source: mail from WFP._x000a_New added Boarding School"/>
    <s v="Dawthponeyan  Town"/>
    <n v="0"/>
    <n v="1"/>
  </r>
  <r>
    <x v="1"/>
    <x v="0"/>
    <s v="MMR001"/>
    <s v="Bhamo"/>
    <s v="MMR001D003"/>
    <x v="5"/>
    <s v="MMR001013"/>
    <s v="Mung Ding Pa"/>
    <s v="MMR001013038"/>
    <s v="Mung Ding Pa"/>
    <n v="167495"/>
    <x v="203"/>
    <x v="206"/>
    <x v="155"/>
    <n v="23.867000000000001"/>
    <m/>
    <m/>
    <m/>
    <s v="NA"/>
    <x v="1"/>
    <x v="0"/>
    <x v="0"/>
    <x v="2"/>
    <x v="11"/>
    <x v="4"/>
    <m/>
    <d v="2014-03-03T00:00:00"/>
    <s v="Closed. Same with (Namhkan St. Thomas 1)"/>
    <s v=""/>
    <s v=""/>
    <s v=""/>
  </r>
  <r>
    <x v="1"/>
    <x v="0"/>
    <s v="MMR001"/>
    <s v="Myitkyina"/>
    <s v="MMR001D001"/>
    <x v="10"/>
    <s v="MMR001004"/>
    <s v="Wa Ra Zut"/>
    <s v="MMR001009009"/>
    <s v="Wa Ra Zut"/>
    <n v="166818"/>
    <x v="204"/>
    <x v="207"/>
    <x v="152"/>
    <n v="25.806999999999999"/>
    <m/>
    <m/>
    <m/>
    <s v="NA"/>
    <x v="0"/>
    <x v="0"/>
    <x v="0"/>
    <x v="1"/>
    <x v="37"/>
    <x v="4"/>
    <s v="IP"/>
    <d v="2017-07-11T00:00:00"/>
    <s v="11/Jul/2017: Change status into closed: Data source: KBC_x000a_25/Jul/2016: Added as new camp according to KBC data. Data was given by Jade"/>
    <s v="Hpakant Town"/>
    <n v="0"/>
    <n v="1"/>
  </r>
  <r>
    <x v="1"/>
    <x v="0"/>
    <s v="MMR001"/>
    <s v="Mohnyin"/>
    <s v="MMR001D002"/>
    <x v="10"/>
    <s v="MMR001009"/>
    <s v="Wa Ra Zut"/>
    <s v="MMR001009009"/>
    <s v="Shar Du Zut"/>
    <n v="166819"/>
    <x v="205"/>
    <x v="208"/>
    <x v="151"/>
    <n v="25.920006000000001"/>
    <m/>
    <m/>
    <m/>
    <s v="NA"/>
    <x v="0"/>
    <x v="0"/>
    <x v="0"/>
    <x v="1"/>
    <x v="32"/>
    <x v="4"/>
    <s v="IP"/>
    <d v="2017-04-24T00:00:00"/>
    <s v="24/Apr/2017: Changed camp status as &quot;closed&quot;. Data source: KMSS_Myitkyina and CCCM unit._x000a_16/Sep/2016: New added camp. There no responsible organization."/>
    <s v="Hpakant Town"/>
    <n v="0"/>
    <n v="1"/>
  </r>
  <r>
    <x v="0"/>
    <x v="0"/>
    <s v="MMR001"/>
    <s v="Waignmaw"/>
    <s v="MMR001D001"/>
    <x v="1"/>
    <s v="MMR001002"/>
    <s v="Sadung Town"/>
    <s v="MMR001002702"/>
    <s v="No (1) Ward"/>
    <s v="MMR001002702501"/>
    <x v="206"/>
    <x v="209"/>
    <x v="31"/>
    <m/>
    <m/>
    <n v="80"/>
    <n v="449"/>
    <n v="5.6124999999999998"/>
    <x v="0"/>
    <x v="0"/>
    <x v="1"/>
    <x v="1"/>
    <x v="38"/>
    <x v="1"/>
    <s v="IP"/>
    <d v="2017-10-31T00:00:00"/>
    <s v="UNHCR/DRC joint mission"/>
    <s v="Sadung Town"/>
    <n v="0"/>
    <n v="1"/>
  </r>
  <r>
    <x v="1"/>
    <x v="0"/>
    <s v="MMR001"/>
    <s v="Mohnyin"/>
    <s v="MMR001D002"/>
    <x v="10"/>
    <s v="MMR001009"/>
    <s v="Wa Ra Zut"/>
    <s v="MMR001009009"/>
    <s v="Shar Du Zut"/>
    <n v="166819"/>
    <x v="207"/>
    <x v="210"/>
    <x v="151"/>
    <n v="25.920006000000001"/>
    <m/>
    <m/>
    <m/>
    <s v="NA"/>
    <x v="0"/>
    <x v="0"/>
    <x v="0"/>
    <x v="1"/>
    <x v="32"/>
    <x v="4"/>
    <s v="IP"/>
    <d v="2017-04-24T00:00:00"/>
    <s v="24/Apr/2017: Changed camp status as &quot;closed&quot;. Data source: KMSS_Myitkyina and CCCM unit._x000a_16/Sep/2016: New added camp. There no responsible organization."/>
    <s v="Hpakant Town"/>
    <n v="0"/>
    <n v="1"/>
  </r>
  <r>
    <x v="0"/>
    <x v="0"/>
    <s v="MMR001"/>
    <s v="Mohnyin"/>
    <s v="MMR001D002"/>
    <x v="8"/>
    <s v="MMR001008"/>
    <s v="Nammatee Town"/>
    <s v="MMR001008702"/>
    <s v="Myo Oo Ward"/>
    <s v="MMR001008702502"/>
    <x v="208"/>
    <x v="211"/>
    <x v="156"/>
    <n v="25.370330525559201"/>
    <m/>
    <n v="45"/>
    <n v="242"/>
    <n v="5.3777777777777782"/>
    <x v="0"/>
    <x v="0"/>
    <x v="0"/>
    <x v="0"/>
    <x v="39"/>
    <x v="3"/>
    <s v="IP"/>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1/July /2018: Population update. Data source: KMSS M_x000a_30/June /2018: Population update. Data source: UNHCR/Cluster partners_x000a_30/May/2018: Population update. Data source: UNHCR/Cluster partners_x000a_21/May/2018: Added as new camp. Data source: MIRA (Multi Sector Assessment Team)"/>
    <s v="Panmatee Town"/>
    <n v="0.4"/>
    <n v="1"/>
  </r>
  <r>
    <x v="0"/>
    <x v="0"/>
    <s v="MMR001"/>
    <s v="Mohnyin"/>
    <s v="MMR001D002"/>
    <x v="8"/>
    <s v="MMR001008"/>
    <s v="Lan Gwa"/>
    <s v="MMR001008036"/>
    <s v="Lan Gwa"/>
    <n v="166765"/>
    <x v="209"/>
    <x v="212"/>
    <x v="157"/>
    <n v="25.379014999999999"/>
    <m/>
    <n v="112"/>
    <n v="487"/>
    <n v="4.3482142857142856"/>
    <x v="0"/>
    <x v="0"/>
    <x v="0"/>
    <x v="0"/>
    <x v="39"/>
    <x v="0"/>
    <s v="IP"/>
    <d v="2018-11-01T00:00:00"/>
    <s v="1/Nov/2018: Population update. Data source: KBC_x000a_1/October/2018: Population update. Data source: KBC_x000a_31/August/2018: Population update. Data source: KBC_x000a_31/July /2018: Camp Status change to Camp from Camp Like Setting ( KBC covers as CMA from July 2018)_x000a_31/July /2018: Population update. Data source: KBC_x000a_5/July/2018: The camp name “ Lan Gwa KBC Church) change to Namti Labraw Yang KBC camp)  As per KBC email sent on Thu 7/5/2018 5:47 PM by PC KBC- HDD _x000a_30/June /2018: Population update. Data source: UNHCR/Cluster partners_x000a_30/May/2018: Population update. Data source: UNHCR/Cluster partners_x000a_21/May/2018: Added as new camp. Data source: MIRA (Multi Sector Assessment Team)"/>
    <s v="Panmatee Town"/>
    <n v="0.4"/>
    <n v="1"/>
  </r>
  <r>
    <x v="0"/>
    <x v="0"/>
    <s v="MMR001"/>
    <s v="Myitkyina"/>
    <s v="MMR001D001"/>
    <x v="0"/>
    <s v="MMR001001"/>
    <s v="Tang Hpre"/>
    <s v="MMR001001010"/>
    <s v="Tang Hpre"/>
    <n v="165704"/>
    <x v="210"/>
    <x v="213"/>
    <x v="158"/>
    <n v="25.717300000000002"/>
    <m/>
    <n v="229"/>
    <n v="1247"/>
    <n v="5.4454148471615724"/>
    <x v="0"/>
    <x v="0"/>
    <x v="1"/>
    <x v="1"/>
    <x v="39"/>
    <x v="1"/>
    <s v="IP"/>
    <d v="2018-08-31T00:00:00"/>
    <s v="31/August/2018: Population update. Data source: KMSS_Myitkyina_x000a_31/July /2018: Population update. Data source: UNHCR_x000a_30/June /2018: Population update. Data source: UNHCR/Cluster partners_x000a_30/May/2018: Population update. Data source: UNHCR/Cluster partners_x000a_21/May/2018: Added as new camp. Data source: MIRA (Multi Sector Assessment Team)"/>
    <s v="Myitkyina Town"/>
    <n v="27"/>
    <n v="6"/>
  </r>
  <r>
    <x v="0"/>
    <x v="0"/>
    <s v="MMR001"/>
    <s v="Myitkyina"/>
    <s v="MMR001D001"/>
    <x v="0"/>
    <s v="MMR001001"/>
    <s v="Nawng Nang"/>
    <s v="MMR001001002"/>
    <s v="Nawng Nang"/>
    <n v="165676"/>
    <x v="211"/>
    <x v="214"/>
    <x v="31"/>
    <m/>
    <m/>
    <n v="143"/>
    <n v="623"/>
    <n v="4.3566433566433567"/>
    <x v="0"/>
    <x v="0"/>
    <x v="0"/>
    <x v="1"/>
    <x v="40"/>
    <x v="0"/>
    <s v="IP"/>
    <d v="2018-11-01T00:00:00"/>
    <s v="1/Nov/2018: Population update. Data source: KBC_x000a_1/October/2018: Population update. Data source: KBC_x000a_31/August/2018: Population update. Data source: KBC_x000a_31/July /2018: Camp Status change to Camp from Camp Like Setting ( KBC covers as CMA from July 2018)_x000a_31/July /2018: Population update. Data source: KBC_x000a_5/July/2018: The camp name “Nawng Nan, Jaw Ma Sat KBC Church) change to Jaw Masat Camp)  As per KBC email sent on Thu 7/5/2018 5:47 PM by PC KBC- HDD _x000a_30/June /2018: Population update. Data source: UNHCR/Cluster partners_x000a_30/May/2018: Population update. Data source: UNHCR/Cluster partners_x000a_30/May/2018: Added as new camp"/>
    <s v="Myitkyina Town"/>
    <n v="10"/>
    <n v="3"/>
  </r>
  <r>
    <x v="0"/>
    <x v="0"/>
    <s v="MMR001"/>
    <s v="Myitkyina"/>
    <s v="MMR001D001"/>
    <x v="0"/>
    <s v="MMR001001"/>
    <s v="Ti Yang Zug"/>
    <s v="MMR001001012"/>
    <s v="Ti Yang Zug"/>
    <n v="165707"/>
    <x v="212"/>
    <x v="215"/>
    <x v="31"/>
    <m/>
    <m/>
    <n v="8"/>
    <n v="32"/>
    <n v="4"/>
    <x v="0"/>
    <x v="0"/>
    <x v="1"/>
    <x v="1"/>
    <x v="41"/>
    <x v="1"/>
    <m/>
    <d v="2018-07-31T00:00:00"/>
    <s v="30/June /2018: Population update. Data source: UNHCR/Cluster partners_x000a_30/May/2018: Population update. Data source: UNHCR/Cluster partners_x000a_30/May/2018: Added as new camp"/>
    <s v="Myitkyina Town"/>
    <n v="51"/>
    <n v="11"/>
  </r>
  <r>
    <x v="0"/>
    <x v="0"/>
    <s v="MMR001"/>
    <s v="Mohnyin"/>
    <s v="MMR001D002"/>
    <x v="10"/>
    <s v="MMR001009"/>
    <s v="Kamaing Town"/>
    <s v="MMR001009702"/>
    <s v="Kamaing Ward"/>
    <s v="MMR001009702501"/>
    <x v="213"/>
    <x v="216"/>
    <x v="31"/>
    <m/>
    <m/>
    <n v="16"/>
    <n v="63"/>
    <n v="3.9375"/>
    <x v="0"/>
    <x v="0"/>
    <x v="0"/>
    <x v="0"/>
    <x v="11"/>
    <x v="3"/>
    <m/>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0/June /2018: Population update. Data source: UNHCR/Cluster partners_x000a_30/May/2018: Population update. Data source: UNHCR/Cluster partners_x000a_30/May/2018: Added as new camp"/>
    <s v="Kamaing Town"/>
    <n v="0"/>
    <n v="1"/>
  </r>
  <r>
    <x v="1"/>
    <x v="0"/>
    <s v="MMR001"/>
    <s v="Myitkyina"/>
    <s v="MMR001D001"/>
    <x v="15"/>
    <s v="MMR001004"/>
    <s v="Tanai Town"/>
    <s v="MMR001004701"/>
    <m/>
    <m/>
    <x v="214"/>
    <x v="217"/>
    <x v="31"/>
    <m/>
    <m/>
    <n v="42"/>
    <n v="190"/>
    <n v="4.5238095238095237"/>
    <x v="0"/>
    <x v="0"/>
    <x v="1"/>
    <x v="0"/>
    <x v="35"/>
    <x v="1"/>
    <s v="IP"/>
    <d v="2018-08-31T00:00:00"/>
    <s v="Information received from UNHCR PU remote monitoring tool that all the IDPs moved to nearby location ; Yartikaun; camp like setting changed from Opened to Closed on the date of 31 Aust 2018"/>
    <s v="Tanai Town"/>
    <n v="0"/>
    <n v="1"/>
  </r>
  <r>
    <x v="0"/>
    <x v="0"/>
    <s v="MMR001"/>
    <s v="Myitkyina"/>
    <s v="MMR001D001"/>
    <x v="0"/>
    <s v="MMR001001"/>
    <s v="Pa La Na Sa Khan Myar"/>
    <s v="MMR001001003"/>
    <s v="Pi Tauk Myaing"/>
    <n v="165685"/>
    <x v="215"/>
    <x v="218"/>
    <x v="98"/>
    <n v="25.493819999999999"/>
    <m/>
    <n v="32"/>
    <n v="161"/>
    <n v="5.03125"/>
    <x v="0"/>
    <x v="0"/>
    <x v="0"/>
    <x v="0"/>
    <x v="42"/>
    <x v="3"/>
    <m/>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1/July /2018: Population update. Data source: KMSS M_x000a_6/1/2018: Added as new camp (Camp Like Setting)."/>
    <s v=""/>
    <s v=""/>
    <s v=""/>
  </r>
  <r>
    <x v="0"/>
    <x v="1"/>
    <s v="MMR015"/>
    <s v="Muse"/>
    <s v="MMR015D002"/>
    <x v="16"/>
    <s v="MMR015010"/>
    <s v="Nawng Hkam"/>
    <s v="MMR015010010"/>
    <s v="Nawng Hkam"/>
    <n v="208353"/>
    <x v="216"/>
    <x v="219"/>
    <x v="159"/>
    <n v="23.828520000000001"/>
    <n v="740"/>
    <n v="67"/>
    <n v="347"/>
    <n v="5.1791044776119399"/>
    <x v="0"/>
    <x v="0"/>
    <x v="0"/>
    <x v="0"/>
    <x v="1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27/Mar/2018: Population update. Data source: KBC_x000a_5/Mar/2018: Population update. Data source: KBC_x000a_12/Jan/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5619149693996526"/>
    <n v="1"/>
  </r>
  <r>
    <x v="1"/>
    <x v="0"/>
    <s v="MMR001"/>
    <s v="Mohnyin"/>
    <s v="MMR001D002"/>
    <x v="8"/>
    <s v="MMR001008"/>
    <s v="Nammatee Town"/>
    <s v="MMR001008702"/>
    <s v="Myo Hla Ward"/>
    <s v="MMR001008702503"/>
    <x v="217"/>
    <x v="220"/>
    <x v="31"/>
    <m/>
    <m/>
    <n v="245"/>
    <n v="1084"/>
    <n v="4.4244897959183671"/>
    <x v="0"/>
    <x v="0"/>
    <x v="1"/>
    <x v="0"/>
    <x v="43"/>
    <x v="4"/>
    <s v="IP"/>
    <s v="31-08-17"/>
    <s v="IDPs returned"/>
    <s v=""/>
    <s v=""/>
    <s v=""/>
  </r>
  <r>
    <x v="0"/>
    <x v="1"/>
    <s v="MMR015"/>
    <s v="Muse"/>
    <s v="MMR015D002"/>
    <x v="16"/>
    <s v="MMR015010"/>
    <s v="Nawng Hkam"/>
    <s v="MMR015010010"/>
    <s v="Nawng Hkam"/>
    <n v="208353"/>
    <x v="218"/>
    <x v="221"/>
    <x v="160"/>
    <n v="23.828150000000001"/>
    <n v="751.8"/>
    <n v="43"/>
    <n v="218"/>
    <n v="5.0697674418604652"/>
    <x v="0"/>
    <x v="0"/>
    <x v="0"/>
    <x v="0"/>
    <x v="14"/>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_x000a_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Namhkan Town"/>
    <n v="1.5239325151406049"/>
    <n v="1"/>
  </r>
  <r>
    <x v="1"/>
    <x v="0"/>
    <s v="MMR001"/>
    <s v="Myitkyina"/>
    <s v="MMR001D001"/>
    <x v="0"/>
    <s v="MMR001001"/>
    <s v="Myitkyina Town"/>
    <m/>
    <s v="Pan Ma Ti Ward"/>
    <s v="MMR001001701528"/>
    <x v="219"/>
    <x v="222"/>
    <x v="31"/>
    <m/>
    <m/>
    <n v="25"/>
    <n v="69"/>
    <n v="2.76"/>
    <x v="0"/>
    <x v="0"/>
    <x v="1"/>
    <x v="0"/>
    <x v="44"/>
    <x v="1"/>
    <s v="IP"/>
    <s v="31-08-17"/>
    <s v="New displacement from Ka Sung"/>
    <s v=""/>
    <s v=""/>
    <s v=""/>
  </r>
  <r>
    <x v="0"/>
    <x v="1"/>
    <s v="MMR015"/>
    <s v="Muse"/>
    <s v="MMR015D002"/>
    <x v="16"/>
    <s v="MMR015010"/>
    <s v="Nawng Hkam"/>
    <s v="MMR015010010"/>
    <s v="Nawng Hkam"/>
    <n v="208353"/>
    <x v="220"/>
    <x v="223"/>
    <x v="161"/>
    <n v="23.821380000000001"/>
    <n v="811.6"/>
    <n v="76"/>
    <n v="373"/>
    <n v="4.9078947368421053"/>
    <x v="0"/>
    <x v="0"/>
    <x v="0"/>
    <x v="0"/>
    <x v="4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 &amp; OCHA Lashio 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7369508287203668"/>
    <n v="1"/>
  </r>
  <r>
    <x v="0"/>
    <x v="1"/>
    <s v="MMR015"/>
    <s v="Muse"/>
    <s v="MMR015D002"/>
    <x v="17"/>
    <s v="MMR015011"/>
    <s v="Long Waun Nam Rein (Tarmoenye Sub-township)"/>
    <s v="MMR015011050"/>
    <s v="Mai Pong (Shu See)"/>
    <n v="219842"/>
    <x v="221"/>
    <x v="224"/>
    <x v="162"/>
    <n v="23.400155999999999"/>
    <n v="3109"/>
    <n v="41"/>
    <n v="232"/>
    <n v="5.6585365853658534"/>
    <x v="0"/>
    <x v="0"/>
    <x v="0"/>
    <x v="1"/>
    <x v="2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Tarmoenye Town"/>
    <n v="23.172399462804503"/>
    <n v="5"/>
  </r>
  <r>
    <x v="0"/>
    <x v="1"/>
    <s v="MMR015"/>
    <s v="Muse"/>
    <s v="MMR015D002"/>
    <x v="17"/>
    <s v="MMR015011"/>
    <s v="Nam Hpat Kar"/>
    <s v="MMR015011020"/>
    <s v="Nam Hpat Kar (Ho Pon + Pang Sa Lorp)"/>
    <n v="208696"/>
    <x v="222"/>
    <x v="225"/>
    <x v="163"/>
    <n v="23.694130000000001"/>
    <n v="1135.7"/>
    <n v="57"/>
    <n v="269"/>
    <n v="4.7192982456140351"/>
    <x v="0"/>
    <x v="0"/>
    <x v="0"/>
    <x v="1"/>
    <x v="1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hkan Town"/>
    <n v="21.148671772283631"/>
    <n v="5"/>
  </r>
  <r>
    <x v="0"/>
    <x v="1"/>
    <s v="MMR015"/>
    <s v="Kyaukme"/>
    <s v="MMR015D003"/>
    <x v="18"/>
    <s v="MMR015019"/>
    <s v="Urban"/>
    <s v="MMR015019701"/>
    <s v="No (2) Ward"/>
    <s v="MMR015019701503"/>
    <x v="223"/>
    <x v="226"/>
    <x v="164"/>
    <n v="23.250678000000001"/>
    <n v="1250"/>
    <n v="33"/>
    <n v="177"/>
    <n v="5.3636363636363633"/>
    <x v="0"/>
    <x v="0"/>
    <x v="0"/>
    <x v="0"/>
    <x v="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Manton Town"/>
    <n v="0.43878855438285824"/>
    <n v="1"/>
  </r>
  <r>
    <x v="0"/>
    <x v="1"/>
    <s v="MMR015"/>
    <s v="Kyaukme"/>
    <s v="MMR015D003"/>
    <x v="19"/>
    <s v="MMR015015"/>
    <s v="Namtu Town"/>
    <s v="MMR015015701"/>
    <s v="Namtu Ward"/>
    <s v="MMR015015701501"/>
    <x v="224"/>
    <x v="227"/>
    <x v="165"/>
    <n v="23.094290000000001"/>
    <n v="534.29999999999995"/>
    <n v="40"/>
    <n v="171"/>
    <n v="4.2750000000000004"/>
    <x v="0"/>
    <x v="0"/>
    <x v="0"/>
    <x v="0"/>
    <x v="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_x000a_3/Jul/2017: Namtu KBC 1(MMR015CMP230) and Namtu KBC 2 (MMR015CMP231) are already integrated into the old camp ( Nam Tu Baptist (MMR015CMP014)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tu Town"/>
    <n v="0.37588352961435612"/>
    <n v="1"/>
  </r>
  <r>
    <x v="0"/>
    <x v="1"/>
    <s v="MMR015"/>
    <s v="Muse"/>
    <s v="MMR015D002"/>
    <x v="17"/>
    <s v="MMR015011"/>
    <s v="Kutkai Town"/>
    <s v="MMR015011701"/>
    <s v="No (5) Ward"/>
    <s v="MMR015011701505"/>
    <x v="225"/>
    <x v="228"/>
    <x v="166"/>
    <n v="23.450914000000001"/>
    <n v="4336"/>
    <n v="53"/>
    <n v="256"/>
    <n v="4.8301886792452828"/>
    <x v="0"/>
    <x v="0"/>
    <x v="0"/>
    <x v="0"/>
    <x v="1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Kutkai Town"/>
    <n v="1.9281430163271129"/>
    <n v="1"/>
  </r>
  <r>
    <x v="0"/>
    <x v="1"/>
    <s v="MMR015"/>
    <s v="Muse"/>
    <s v="MMR015D002"/>
    <x v="17"/>
    <s v="MMR015011"/>
    <s v="Kutkai Town"/>
    <s v="MMR015011701"/>
    <s v="No (3) Ward"/>
    <s v="MMR015011701503"/>
    <x v="226"/>
    <x v="229"/>
    <x v="167"/>
    <n v="23.460349999999998"/>
    <n v="4430"/>
    <n v="28"/>
    <n v="132"/>
    <n v="4.7142857142857144"/>
    <x v="0"/>
    <x v="0"/>
    <x v="0"/>
    <x v="0"/>
    <x v="12"/>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Kutkai Town"/>
    <n v="0.42212558305526549"/>
    <n v="1"/>
  </r>
  <r>
    <x v="0"/>
    <x v="1"/>
    <s v="MMR015"/>
    <s v="Muse"/>
    <s v="MMR015D002"/>
    <x v="17"/>
    <s v="MMR015011"/>
    <s v="Mong Yu"/>
    <s v="MMR015011030"/>
    <s v="Mong Yu"/>
    <n v="208747"/>
    <x v="227"/>
    <x v="230"/>
    <x v="168"/>
    <n v="23.588920000000002"/>
    <n v="1012.5"/>
    <n v="76"/>
    <n v="343"/>
    <n v="4.5131578947368425"/>
    <x v="0"/>
    <x v="0"/>
    <x v="0"/>
    <x v="1"/>
    <x v="2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Kutkai Town"/>
    <n v="21.050742639251741"/>
    <n v="5"/>
  </r>
  <r>
    <x v="0"/>
    <x v="1"/>
    <s v="MMR015"/>
    <s v="Muse"/>
    <s v="MMR015D002"/>
    <x v="17"/>
    <s v="MMR015011"/>
    <s v="Kar Lai Kone Hsar"/>
    <s v="MMR015011005"/>
    <s v="Kar Lai"/>
    <n v="208557"/>
    <x v="228"/>
    <x v="231"/>
    <x v="169"/>
    <n v="23.38503"/>
    <n v="0"/>
    <n v="204"/>
    <n v="1043"/>
    <n v="5.1127450980392153"/>
    <x v="0"/>
    <x v="0"/>
    <x v="0"/>
    <x v="1"/>
    <x v="12"/>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Kutkai Town"/>
    <n v="13.632081902964599"/>
    <n v="3"/>
  </r>
  <r>
    <x v="0"/>
    <x v="1"/>
    <s v="MMR015"/>
    <s v="Kyaukme"/>
    <s v="MMR015D003"/>
    <x v="18"/>
    <s v="MMR015019"/>
    <s v="Urban"/>
    <s v="MMR015019701"/>
    <s v="No (2) Ward"/>
    <s v="MMR015019701503"/>
    <x v="229"/>
    <x v="232"/>
    <x v="170"/>
    <n v="23.24661"/>
    <n v="87.3"/>
    <n v="29"/>
    <n v="171"/>
    <n v="5.8965517241379306"/>
    <x v="0"/>
    <x v="0"/>
    <x v="0"/>
    <x v="0"/>
    <x v="6"/>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Manton Town"/>
    <n v="0.71762888500316424"/>
    <n v="1"/>
  </r>
  <r>
    <x v="0"/>
    <x v="1"/>
    <s v="MMR015"/>
    <s v="Muse"/>
    <s v="MMR015D002"/>
    <x v="20"/>
    <s v="MMR015009"/>
    <s v="Muse Town"/>
    <s v="MMR015009701"/>
    <s v="Ho Mun Ward"/>
    <s v="MMR015009701504"/>
    <x v="230"/>
    <x v="233"/>
    <x v="171"/>
    <n v="24.006319999999999"/>
    <n v="812.7"/>
    <n v="41"/>
    <n v="187"/>
    <n v="4.5609756097560972"/>
    <x v="0"/>
    <x v="0"/>
    <x v="0"/>
    <x v="0"/>
    <x v="4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Muse Town"/>
    <n v="1.989668595899414"/>
    <n v="1"/>
  </r>
  <r>
    <x v="0"/>
    <x v="1"/>
    <s v="MMR015"/>
    <s v="Muse"/>
    <s v="MMR015D002"/>
    <x v="16"/>
    <s v="MMR015010"/>
    <s v="Nawng Hkam"/>
    <s v="MMR015010010"/>
    <s v="Nawng Hkam"/>
    <n v="208353"/>
    <x v="231"/>
    <x v="234"/>
    <x v="172"/>
    <n v="23.841646999999998"/>
    <n v="798"/>
    <n v="38"/>
    <n v="195"/>
    <n v="5.1315789473684212"/>
    <x v="0"/>
    <x v="0"/>
    <x v="0"/>
    <x v="0"/>
    <x v="47"/>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0141034419413328"/>
    <n v="1"/>
  </r>
  <r>
    <x v="0"/>
    <x v="1"/>
    <s v="MMR015"/>
    <s v="Muse"/>
    <s v="MMR015D002"/>
    <x v="16"/>
    <s v="MMR015010"/>
    <s v="Ho Nar"/>
    <s v="MMR015010002"/>
    <s v="Pang Long"/>
    <n v="208338"/>
    <x v="232"/>
    <x v="235"/>
    <x v="173"/>
    <n v="23.838190000000001"/>
    <n v="829.8"/>
    <n v="115"/>
    <n v="548"/>
    <n v="4.7652173913043478"/>
    <x v="0"/>
    <x v="0"/>
    <x v="0"/>
    <x v="0"/>
    <x v="48"/>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12/Jan/2018: Population update. Data source: KBC &amp; OCHA Lashio 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8590638493982405"/>
    <n v="1"/>
  </r>
  <r>
    <x v="0"/>
    <x v="1"/>
    <s v="MMR015"/>
    <s v="Muse"/>
    <s v="MMR015D002"/>
    <x v="20"/>
    <s v="MMR015009"/>
    <s v="Muse Town"/>
    <s v="MMR015009701"/>
    <s v="Ho Mun Ward"/>
    <s v="MMR015009701504"/>
    <x v="233"/>
    <x v="236"/>
    <x v="174"/>
    <n v="24.006789000000001"/>
    <n v="814"/>
    <n v="18"/>
    <n v="80"/>
    <n v="4.4444444444444446"/>
    <x v="0"/>
    <x v="0"/>
    <x v="0"/>
    <x v="0"/>
    <x v="49"/>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Muse Town"/>
    <n v="2.1362355825722199"/>
    <n v="1"/>
  </r>
  <r>
    <x v="1"/>
    <x v="1"/>
    <s v="MMR015"/>
    <s v="Muse"/>
    <s v="MMR015D002"/>
    <x v="16"/>
    <s v="MMR015010"/>
    <s v="Nawng Hkam"/>
    <s v="MMR015010010"/>
    <s v="Nawng Hkam"/>
    <n v="208353"/>
    <x v="234"/>
    <x v="237"/>
    <x v="31"/>
    <m/>
    <m/>
    <m/>
    <m/>
    <s v="NA"/>
    <x v="1"/>
    <x v="0"/>
    <x v="0"/>
    <x v="2"/>
    <x v="11"/>
    <x v="4"/>
    <s v="IP"/>
    <d v="2014-03-03T00:00:00"/>
    <s v="Closed. Same with (Nam Hkam Catholic Church  St. Thomas II)"/>
    <s v=""/>
    <s v=""/>
    <s v=""/>
  </r>
  <r>
    <x v="0"/>
    <x v="1"/>
    <s v="MMR015"/>
    <s v="Muse"/>
    <s v="MMR015D002"/>
    <x v="17"/>
    <s v="MMR015011"/>
    <s v="Long Waun Nam Rein (Tarmoenye Sub-township)"/>
    <s v="MMR015011050"/>
    <s v="Mai Pong (Shu See)"/>
    <n v="219842"/>
    <x v="235"/>
    <x v="238"/>
    <x v="175"/>
    <n v="23.463000000000001"/>
    <m/>
    <n v="20"/>
    <n v="95"/>
    <n v="4.75"/>
    <x v="0"/>
    <x v="0"/>
    <x v="0"/>
    <x v="1"/>
    <x v="22"/>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s v=""/>
    <s v=""/>
  </r>
  <r>
    <x v="0"/>
    <x v="1"/>
    <s v="MMR015"/>
    <s v="Lashio"/>
    <s v="MMR015D001"/>
    <x v="21"/>
    <s v="MMR015002"/>
    <s v="Nam Sa Larp"/>
    <s v="MMR015002021"/>
    <s v="Nam Sa Larp"/>
    <n v="206352"/>
    <x v="236"/>
    <x v="239"/>
    <x v="176"/>
    <n v="23.354268999999999"/>
    <m/>
    <n v="32"/>
    <n v="172"/>
    <n v="5.375"/>
    <x v="0"/>
    <x v="0"/>
    <x v="0"/>
    <x v="1"/>
    <x v="3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s v=""/>
    <s v=""/>
  </r>
  <r>
    <x v="1"/>
    <x v="1"/>
    <s v="MMR015"/>
    <s v="Muse"/>
    <s v="MMR015D002"/>
    <x v="20"/>
    <s v="MMR015009"/>
    <s v="Mung Baw "/>
    <s v="MMR015009013"/>
    <s v="Mung Baw "/>
    <m/>
    <x v="237"/>
    <x v="240"/>
    <x v="177"/>
    <n v="24.008452999999999"/>
    <n v="3396"/>
    <m/>
    <m/>
    <s v="NA"/>
    <x v="1"/>
    <x v="0"/>
    <x v="3"/>
    <x v="1"/>
    <x v="11"/>
    <x v="4"/>
    <s v="IRRC"/>
    <d v="2017-04-06T00:00:00"/>
    <s v="6/April/2017: Changed the camp stutas as &quot;Closed&quot;. Data source CCCM and comfirmed by partner (KBC). And it was updated since 3/March/2017_x000a_Change to Host Families."/>
    <s v="Pang Hseng (Kyu Koke) Town"/>
    <n v="7.490291417449443"/>
    <n v="2"/>
  </r>
  <r>
    <x v="0"/>
    <x v="1"/>
    <s v="MMR015"/>
    <s v="Kyaukme"/>
    <s v="MMR015D003"/>
    <x v="19"/>
    <s v="MMR015015"/>
    <s v="Pang Long"/>
    <s v="MMR015015011"/>
    <s v="Pang Tha Pyay"/>
    <n v="210455"/>
    <x v="238"/>
    <x v="241"/>
    <x v="178"/>
    <n v="22.765999999999998"/>
    <m/>
    <n v="17"/>
    <n v="89"/>
    <n v="5.2352941176470589"/>
    <x v="0"/>
    <x v="0"/>
    <x v="1"/>
    <x v="1"/>
    <x v="37"/>
    <x v="1"/>
    <s v="IP"/>
    <d v="2018-07-31T00:00:00"/>
    <s v="31/July/2018: Data Source (UNHCR-LSH)_x000a_6/June/2018: Data source ( DRC- NSS)_x000a_25/Jul/2016: Added as new camp according to KBC data."/>
    <s v=""/>
    <s v=""/>
    <s v=""/>
  </r>
  <r>
    <x v="0"/>
    <x v="1"/>
    <s v="MMR015"/>
    <s v="Muse"/>
    <s v="MMR015D002"/>
    <x v="16"/>
    <s v="MMR015010"/>
    <s v="Mong Wee"/>
    <s v="MMR015010036"/>
    <s v="Mong Wee"/>
    <n v="208469"/>
    <x v="239"/>
    <x v="242"/>
    <x v="179"/>
    <n v="23.611999999999998"/>
    <m/>
    <n v="62"/>
    <n v="328"/>
    <n v="5.290322580645161"/>
    <x v="0"/>
    <x v="0"/>
    <x v="1"/>
    <x v="1"/>
    <x v="50"/>
    <x v="1"/>
    <s v="IP"/>
    <d v="2018-07-31T00:00:00"/>
    <s v="31/July/2018: Data Source (UNHCR-LSH)_x000a_5/Jun/2018: Population update. Data source: DRC, SCI_x000a_2/Jun/2017: Population update. Data source: WASH cluster._x000a_25/Jul/2016: Added as new camp according to KBC data. Data was given by Jade"/>
    <s v=""/>
    <s v=""/>
    <s v=""/>
  </r>
  <r>
    <x v="0"/>
    <x v="1"/>
    <s v="MMR015"/>
    <s v="Muse"/>
    <s v="MMR015D002"/>
    <x v="17"/>
    <s v="MMR015011"/>
    <s v="Nam Hpat Kar"/>
    <s v="MMR015011020"/>
    <s v="Aung Tha Pyay Ward"/>
    <m/>
    <x v="240"/>
    <x v="243"/>
    <x v="180"/>
    <n v="23.682887999999998"/>
    <m/>
    <n v="41"/>
    <n v="137"/>
    <n v="3.3414634146341462"/>
    <x v="0"/>
    <x v="0"/>
    <x v="0"/>
    <x v="0"/>
    <x v="51"/>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5/Marcy/2018: Population update. Data source: KMSS-LSO._x000a_From Jan 2018, camp like setting status change to Camp as KMSS-LSO will be cover the Camp _x000a_6/Apr/2017: Population update. Data source: CCCM and confirmed by camp manager._x000a__x000a_20/Feb/2017: Updating GPS coordiante._x000a_25/Jul/2016: Added as new camp according to KBC data. Data was given by Jade"/>
    <s v=""/>
    <s v=""/>
    <s v=""/>
  </r>
  <r>
    <x v="1"/>
    <x v="1"/>
    <s v="MMR015"/>
    <s v="Muse"/>
    <s v="MMR015D003"/>
    <x v="20"/>
    <s v="MMR015019"/>
    <s v="Man Pying (Pang Hseng (Kyu Koke)) Sub-township"/>
    <s v="MMR015009038"/>
    <s v="Hawwa"/>
    <m/>
    <x v="241"/>
    <x v="244"/>
    <x v="181"/>
    <n v="23.917631"/>
    <m/>
    <m/>
    <m/>
    <s v="NA"/>
    <x v="0"/>
    <x v="0"/>
    <x v="3"/>
    <x v="1"/>
    <x v="11"/>
    <x v="4"/>
    <s v="IP"/>
    <d v="2017-04-06T00:00:00"/>
    <s v="6/Apr/2017: Changed the camp status as &quot;Closed&quot;. Data source: CCCM and comfirmed by partner (KBC). And it was updated since 3/Mar/2014._x000a_Change to Host Families."/>
    <s v="Pang Hseng (Kyu Koke) Town"/>
    <n v="18.405283544772924"/>
    <n v="4"/>
  </r>
  <r>
    <x v="1"/>
    <x v="1"/>
    <s v="MMR015"/>
    <s v="Muse"/>
    <s v="MMR015D003"/>
    <x v="20"/>
    <s v="MMR015019"/>
    <s v="Mone Paw Nam Chet (Zay) (Pang Hseng (Kyu Koke)) Sub-township"/>
    <s v="MMR015009033"/>
    <s v="Mone Paw Nam Chet"/>
    <n v="208167"/>
    <x v="242"/>
    <x v="245"/>
    <x v="182"/>
    <n v="23.978088"/>
    <m/>
    <m/>
    <m/>
    <s v="NA"/>
    <x v="0"/>
    <x v="0"/>
    <x v="3"/>
    <x v="1"/>
    <x v="11"/>
    <x v="4"/>
    <s v="IP"/>
    <d v="2017-04-06T00:00:00"/>
    <s v="6/Apr/2017: Changed the camp status as &quot;Closed&quot;. Data source: CCCM and comfirmed by partner (KBC). And it was updated since 3/Mar/2014._x000a_Change to Host Families."/>
    <s v="Pang Hseng (Kyu Koke) Town"/>
    <n v="12.794700705104317"/>
    <n v="3"/>
  </r>
  <r>
    <x v="1"/>
    <x v="1"/>
    <s v="MMR015"/>
    <s v="Muse"/>
    <s v="MMR015D002"/>
    <x v="20"/>
    <s v="MMR015009"/>
    <s v="Man Gyat (Monekoe Sub-township)"/>
    <s v="MMR015009048"/>
    <s v="Gwum Hsan"/>
    <m/>
    <x v="243"/>
    <x v="246"/>
    <x v="183"/>
    <n v="24.101320999999999"/>
    <n v="2979"/>
    <m/>
    <m/>
    <s v="NA"/>
    <x v="1"/>
    <x v="0"/>
    <x v="0"/>
    <x v="0"/>
    <x v="23"/>
    <x v="0"/>
    <s v="IP"/>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Monekoe Town"/>
    <n v="1.789574394782699"/>
    <n v="1"/>
  </r>
  <r>
    <x v="0"/>
    <x v="1"/>
    <s v="MMR015"/>
    <s v="Muse"/>
    <s v="MMR015D002"/>
    <x v="17"/>
    <s v="MMR015011"/>
    <s v="Mung Hawm"/>
    <m/>
    <s v="Htoi San Yang "/>
    <m/>
    <x v="244"/>
    <x v="247"/>
    <x v="184"/>
    <n v="23.850999999999999"/>
    <m/>
    <n v="30"/>
    <n v="170"/>
    <n v="5.666666666666667"/>
    <x v="0"/>
    <x v="0"/>
    <x v="1"/>
    <x v="1"/>
    <x v="51"/>
    <x v="1"/>
    <s v="IP"/>
    <d v="2018-06-05T00:00:00"/>
    <s v="5/June/2018: Data Source Metta NSS_x000a_No update information since Jul/2016, KBC to follow up_x000a_25/Jul/2016: Added as new camp according to KBC data."/>
    <s v=""/>
    <s v=""/>
    <s v=""/>
  </r>
  <r>
    <x v="1"/>
    <x v="1"/>
    <s v="MMR015"/>
    <s v="Muse"/>
    <s v="MMR015D002"/>
    <x v="17"/>
    <s v="MMR015011"/>
    <s v="Kar Lai Kone Hsar"/>
    <s v="MMR015011005"/>
    <s v="Kar Lai"/>
    <n v="208557"/>
    <x v="245"/>
    <x v="248"/>
    <x v="185"/>
    <n v="23.4008"/>
    <n v="0"/>
    <m/>
    <m/>
    <s v="NA"/>
    <x v="0"/>
    <x v="0"/>
    <x v="0"/>
    <x v="1"/>
    <x v="21"/>
    <x v="0"/>
    <s v="IP"/>
    <d v="2017-04-27T00:00:00"/>
    <s v="27/Apr/2017: Changed camp status as &quot;Closed&quot;, Data source: KBC._x000a_15/Mar/2017: Population update, KBC is not responsible  org started from December 2016. Data Source: KBC_x000a_24/Feb/2017: Population update. Data source: KBC_x000a_18/Jul/2016: Population updte. Data source: KBC_x000a_12/May/2016. Population update. Data source: KBC_x000a_25-Jun-15 Population update. Source: KBC_x000a_Update population. Source: Camp Profile."/>
    <s v="Kutkai Town"/>
    <n v="11.65743881259678"/>
    <n v="3"/>
  </r>
  <r>
    <x v="0"/>
    <x v="1"/>
    <s v="MMR015"/>
    <s v="Kyaukme"/>
    <s v="MMR015D003"/>
    <x v="19"/>
    <s v="MMR015015"/>
    <s v="Namtu Town"/>
    <s v="MMR015015701"/>
    <s v="Namtu Ward"/>
    <s v="MMR015015701501"/>
    <x v="246"/>
    <x v="249"/>
    <x v="31"/>
    <m/>
    <m/>
    <n v="41"/>
    <n v="210"/>
    <n v="5.1219512195121952"/>
    <x v="0"/>
    <x v="0"/>
    <x v="0"/>
    <x v="0"/>
    <x v="11"/>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CCCM activities start in july 2017"/>
    <s v=""/>
    <s v=""/>
    <s v=""/>
  </r>
  <r>
    <x v="0"/>
    <x v="1"/>
    <s v="MMR015"/>
    <s v="Kyaukme"/>
    <s v="MMR015D003"/>
    <x v="22"/>
    <s v="MMR015014"/>
    <s v="Moe Tay"/>
    <s v="MMR015014024"/>
    <s v="Nawng Tha Kyar"/>
    <n v="209986"/>
    <x v="247"/>
    <x v="250"/>
    <x v="186"/>
    <n v="22.677008000000001"/>
    <m/>
    <n v="37"/>
    <n v="120"/>
    <n v="3.2432432432432434"/>
    <x v="0"/>
    <x v="0"/>
    <x v="1"/>
    <x v="1"/>
    <x v="11"/>
    <x v="1"/>
    <s v="IP"/>
    <d v="2018-06-05T00:00:00"/>
    <s v="5/June/2018: Data Updated_x000a_17-01-2017: New added camp. Missing data will be collected from partners and present in next Report."/>
    <s v=""/>
    <s v=""/>
    <s v=""/>
  </r>
  <r>
    <x v="0"/>
    <x v="1"/>
    <s v="MMR015"/>
    <s v="Muse"/>
    <s v="MMR015D002"/>
    <x v="17"/>
    <s v="MMR015011"/>
    <s v="Kutkai Town"/>
    <s v="MMR015011701"/>
    <s v="No (6) Ward"/>
    <s v="MMR015011701506"/>
    <x v="248"/>
    <x v="251"/>
    <x v="167"/>
    <n v="23.460349999999998"/>
    <m/>
    <n v="37"/>
    <n v="161"/>
    <n v="4.3513513513513518"/>
    <x v="0"/>
    <x v="0"/>
    <x v="0"/>
    <x v="0"/>
    <x v="52"/>
    <x v="0"/>
    <s v="IP"/>
    <d v="2018-11-01T00:00:00"/>
    <s v="1/Nov/2018: Population update. Data source: KBC_x000a_1/October/2018: Population update. Data source: KBC_x000a_31/August/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CCCM activities start in july 2017"/>
    <s v=""/>
    <s v=""/>
    <s v=""/>
  </r>
  <r>
    <x v="1"/>
    <x v="1"/>
    <s v="MMR015"/>
    <s v="Muse"/>
    <s v="MMR015D002"/>
    <x v="17"/>
    <s v="MMR015011"/>
    <s v="Long Waun Nam Rein (Tarmoenye Sub-township)"/>
    <s v="MMR015011050"/>
    <s v="Mai Pong (Shu See)"/>
    <m/>
    <x v="249"/>
    <x v="252"/>
    <x v="187"/>
    <n v="23.391741"/>
    <n v="0"/>
    <n v="0"/>
    <n v="0"/>
    <s v="NA"/>
    <x v="0"/>
    <x v="0"/>
    <x v="0"/>
    <x v="1"/>
    <x v="22"/>
    <x v="4"/>
    <s v="IP"/>
    <d v="2014-03-03T00:00:00"/>
    <s v="Close. Same with Kutkai Down Town RC. Source UNHCR Bhamo"/>
    <s v=""/>
    <s v=""/>
    <s v=""/>
  </r>
  <r>
    <x v="0"/>
    <x v="1"/>
    <s v="MMR015"/>
    <s v="Muse"/>
    <s v="MMR015D002"/>
    <x v="17"/>
    <s v="MMR015011"/>
    <s v="Kawng Hkar Man Pying"/>
    <s v="MMR015011002"/>
    <s v="Man Loi"/>
    <n v="208530"/>
    <x v="250"/>
    <x v="253"/>
    <x v="31"/>
    <m/>
    <m/>
    <n v="24"/>
    <n v="84"/>
    <n v="3.5"/>
    <x v="0"/>
    <x v="0"/>
    <x v="1"/>
    <x v="1"/>
    <x v="11"/>
    <x v="1"/>
    <s v="IP"/>
    <d v="2018-06-05T00:00:00"/>
    <s v="5/June/2018. Data Updated._x000a_6/May/2017: New added camp. Data source: KBC. Camp was confirmed by CCCM unit. The missing informaiton will be updated as soon as possible."/>
    <s v=""/>
    <s v=""/>
    <s v=""/>
  </r>
  <r>
    <x v="1"/>
    <x v="1"/>
    <s v="MMR015"/>
    <s v="Muse"/>
    <s v="MMR015D002"/>
    <x v="20"/>
    <s v="MMR015009"/>
    <s v="Hpai Kawng"/>
    <s v="MMR015009031"/>
    <s v="Hpai Kawng"/>
    <n v="208156"/>
    <x v="251"/>
    <x v="254"/>
    <x v="188"/>
    <n v="24.08738"/>
    <m/>
    <n v="32"/>
    <n v="187"/>
    <n v="5.84375"/>
    <x v="0"/>
    <x v="0"/>
    <x v="3"/>
    <x v="1"/>
    <x v="11"/>
    <x v="4"/>
    <s v="IRRC"/>
    <d v="2017-06-02T00:00:00"/>
    <s v="22/May/2017: Camp status change to Closed. Data Source: KBC _x000a_2/June/2017: Population updated. Data source: WASH Cluster (dated 7/April_outlook mail)_x000a_Change to Host Families."/>
    <s v="Pang Hseng (Kyu Koke) Town"/>
    <n v="5.5919136174199959"/>
    <n v="2"/>
  </r>
  <r>
    <x v="1"/>
    <x v="1"/>
    <s v="MMR015"/>
    <s v="Muse"/>
    <s v="MMR015D002"/>
    <x v="16"/>
    <s v="MMR015010"/>
    <s v="Nawng Hkam"/>
    <s v="MMR015010010"/>
    <s v="Nawng Hkam"/>
    <n v="208353"/>
    <x v="252"/>
    <x v="255"/>
    <x v="189"/>
    <n v="23.82152"/>
    <n v="813.4"/>
    <n v="0"/>
    <n v="0"/>
    <s v="NA"/>
    <x v="1"/>
    <x v="0"/>
    <x v="0"/>
    <x v="2"/>
    <x v="11"/>
    <x v="5"/>
    <s v="IP"/>
    <d v="2014-03-14T00:00:00"/>
    <s v="Closed. Source Cluster Coordinator"/>
    <s v=""/>
    <s v=""/>
    <s v=""/>
  </r>
  <r>
    <x v="1"/>
    <x v="1"/>
    <s v="MMR015"/>
    <s v="Muse"/>
    <s v="MMR015D002"/>
    <x v="20"/>
    <s v="MMR015009"/>
    <s v="Man Nway (Pang Hseng (Kyu Koke)) Sub-township"/>
    <s v="MMR015009036"/>
    <s v="Nam Hkawng Khu"/>
    <n v="208182"/>
    <x v="253"/>
    <x v="256"/>
    <x v="190"/>
    <n v="23.933098999999999"/>
    <n v="0"/>
    <n v="9"/>
    <n v="44"/>
    <n v="4.8888888888888893"/>
    <x v="1"/>
    <x v="0"/>
    <x v="1"/>
    <x v="1"/>
    <x v="22"/>
    <x v="4"/>
    <s v="IP"/>
    <d v="2017-06-02T00:00:00"/>
    <s v="Closed as of 1st of September 2017"/>
    <s v=""/>
    <s v=""/>
    <s v=""/>
  </r>
  <r>
    <x v="1"/>
    <x v="1"/>
    <s v="MMR015"/>
    <s v="Lashio"/>
    <s v="MMR015D001"/>
    <x v="21"/>
    <s v="MMR015002"/>
    <s v="Nar Tee"/>
    <s v="MMR015002029"/>
    <s v="Nar Tee"/>
    <n v="206422"/>
    <x v="254"/>
    <x v="257"/>
    <x v="191"/>
    <n v="23.372409999999999"/>
    <n v="617.6"/>
    <n v="67"/>
    <n v="392"/>
    <n v="5.8507462686567164"/>
    <x v="1"/>
    <x v="0"/>
    <x v="3"/>
    <x v="1"/>
    <x v="26"/>
    <x v="1"/>
    <s v="IP"/>
    <d v="2018-05-06T00:00:00"/>
    <s v="6/5/2018: Status changed into Closed. Source Metta NSS,some IDP have returned, some moved to host families in Namtu and Kha Shi village, Lashio township_x000a_Lack of access. Not updated since Mar/2014._x000a_Change to Host Families."/>
    <s v="Kunlong Town"/>
    <n v="30.037709702375544"/>
    <n v="7"/>
  </r>
  <r>
    <x v="0"/>
    <x v="1"/>
    <s v="MMR015"/>
    <s v="Muse"/>
    <s v="MMR015D002"/>
    <x v="20"/>
    <s v="MMR015009"/>
    <s v="Hpai Kawng (Pang Hseng-Kyu Koke Sub-township"/>
    <s v="MMR015009031"/>
    <s v="Hpai Kawng"/>
    <n v="208156"/>
    <x v="255"/>
    <x v="258"/>
    <x v="188"/>
    <n v="24.08738"/>
    <m/>
    <n v="153"/>
    <n v="785"/>
    <n v="5.1307189542483664"/>
    <x v="0"/>
    <x v="0"/>
    <x v="0"/>
    <x v="1"/>
    <x v="11"/>
    <x v="0"/>
    <s v="IP"/>
    <d v="2018-11-01T00:00:00"/>
    <s v="1/Nov/2018: Population update. Data source: KBC_x000a_1/October/2018: Population update. Data source: KBC_x000a_31/August/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CCCM activities start in july 2017"/>
    <s v=""/>
    <s v=""/>
    <s v=""/>
  </r>
  <r>
    <x v="1"/>
    <x v="1"/>
    <s v="MMR015"/>
    <s v="Kyaukme"/>
    <s v="MMR015D003"/>
    <x v="19"/>
    <s v="MMR015015"/>
    <s v="Namtu Town"/>
    <s v="MMR015015701"/>
    <s v="Namtu Ward"/>
    <s v="MMR015015701501"/>
    <x v="256"/>
    <x v="259"/>
    <x v="192"/>
    <n v="23.088058"/>
    <n v="1948"/>
    <n v="118"/>
    <n v="520"/>
    <n v="4.406779661016949"/>
    <x v="0"/>
    <x v="0"/>
    <x v="3"/>
    <x v="0"/>
    <x v="11"/>
    <x v="4"/>
    <s v="IP"/>
    <d v="2014-09-01T00:00:00"/>
    <s v="18th - 19th May joint assessment of OCHA and UNHCR, population returned to place of origin. Location is closed. Change to Host Families. Source: Programme Unit."/>
    <s v="Namtu Town"/>
    <n v="0.63626694856259092"/>
    <n v="1"/>
  </r>
  <r>
    <x v="1"/>
    <x v="1"/>
    <s v="MMR015"/>
    <s v="Muse"/>
    <s v="MMR015D002"/>
    <x v="17"/>
    <s v="MMR015011"/>
    <s v="Galeng"/>
    <m/>
    <s v="Galeng"/>
    <m/>
    <x v="257"/>
    <x v="260"/>
    <x v="31"/>
    <m/>
    <m/>
    <n v="0"/>
    <n v="0"/>
    <s v="NA"/>
    <x v="1"/>
    <x v="0"/>
    <x v="0"/>
    <x v="1"/>
    <x v="11"/>
    <x v="4"/>
    <s v="IP"/>
    <d v="2013-01-15T00:00:00"/>
    <s v="Close: Duplicate Camp (MMR015CMP020 - Zup Aung Camp) 21-Jan-14"/>
    <s v=""/>
    <s v=""/>
    <s v=""/>
  </r>
  <r>
    <x v="0"/>
    <x v="1"/>
    <s v="MMR015"/>
    <s v="Muse"/>
    <s v="MMR015D002"/>
    <x v="17"/>
    <s v="MMR015011"/>
    <s v="Galeng"/>
    <m/>
    <s v="Galeng"/>
    <m/>
    <x v="258"/>
    <x v="261"/>
    <x v="31"/>
    <m/>
    <m/>
    <n v="86"/>
    <n v="525"/>
    <n v="6.1046511627906979"/>
    <x v="0"/>
    <x v="0"/>
    <x v="1"/>
    <x v="1"/>
    <x v="11"/>
    <x v="1"/>
    <s v="IP"/>
    <d v="2018-11-01T00:00:00"/>
    <s v="1/Nov/2018: Changed camp status as &quot;reopen&quot;, Data source: NSS Cluster Partners: Reopen as per NSS Cluster Partners confirm that the IDPs are staying in the location during Cluster Meeting. _x000a_Close: Duplicate Camp (MMR015CMP015 - Kone Khem Camp) 21-Jan-14"/>
    <s v=""/>
    <s v=""/>
    <s v=""/>
  </r>
  <r>
    <x v="0"/>
    <x v="1"/>
    <s v="MMR015"/>
    <s v="Kyaukme"/>
    <s v="MMR015D003"/>
    <x v="19"/>
    <s v="MMR015015"/>
    <s v="Namtu Town"/>
    <s v="MMR015015701"/>
    <s v="Namtu Ward"/>
    <s v="MMR015015701501"/>
    <x v="259"/>
    <x v="262"/>
    <x v="193"/>
    <n v="23.099304"/>
    <m/>
    <n v="61"/>
    <n v="283"/>
    <n v="4.639344262295082"/>
    <x v="0"/>
    <x v="0"/>
    <x v="0"/>
    <x v="0"/>
    <x v="53"/>
    <x v="6"/>
    <s v="IP"/>
    <d v="2018-11-01T00:00:00"/>
    <s v="1/Nov/2018: Population update. Data source: KMSS_Lashio_x000a_1/October/2018: Population update. Data source: KMSS_Lashio_x000a_31/August/2018: Population update. Data source: KMSS_Lashio_x000a_31/July/2018: Population update. Data source: KMSS_Lashio_x000a_30/June/2018: Population update. Data source: KMSS_Lashio_x000a_31/May/2018: Population update. Data source: KMSS_Lashio_x000a_10/May/2018: Population update. Data source: KMSS_Lashio_x000a_30/Apr/2018: Population update. Data source: KMSS_Lashio_x000a_27 Mar 2018: Population update. Data source: KMSS_Lashio._x000a_5/Mar/2018:  Population update. Data source:KMSS_Lashio_x000a_12/Jan/2018: Population update. Data source:KMSS_Lashio_x000a_CCCM activities start in july 2017"/>
    <s v=""/>
    <s v=""/>
    <s v=""/>
  </r>
  <r>
    <x v="0"/>
    <x v="1"/>
    <m/>
    <s v="Muse"/>
    <m/>
    <x v="17"/>
    <m/>
    <s v="Pan Law"/>
    <m/>
    <s v="Pan Law"/>
    <m/>
    <x v="260"/>
    <x v="263"/>
    <x v="31"/>
    <m/>
    <m/>
    <n v="35"/>
    <n v="189"/>
    <n v="5.4"/>
    <x v="0"/>
    <x v="0"/>
    <x v="1"/>
    <x v="1"/>
    <x v="37"/>
    <x v="1"/>
    <s v="IP"/>
    <d v="2018-08-31T00:00:00"/>
    <s v="31/August/2018: Data Source (KMSSLSH)_x000a_31/July/2018: Data Source (UNHCR-LSH)_x000a_5/June/2018: Data Source: IRC_x000a_No update information since Jul/2016, KBC to follow up_x000a_25/Jul/2016: Added as new camp according to KBC data."/>
    <s v=""/>
    <s v=""/>
    <s v=""/>
  </r>
  <r>
    <x v="2"/>
    <x v="2"/>
    <m/>
    <m/>
    <m/>
    <x v="23"/>
    <m/>
    <m/>
    <m/>
    <m/>
    <m/>
    <x v="261"/>
    <x v="264"/>
    <x v="31"/>
    <m/>
    <m/>
    <m/>
    <m/>
    <s v="NA"/>
    <x v="2"/>
    <x v="1"/>
    <x v="5"/>
    <x v="2"/>
    <x v="11"/>
    <x v="4"/>
    <m/>
    <m/>
    <m/>
    <s v=""/>
    <s v=""/>
    <s v=""/>
  </r>
  <r>
    <x v="0"/>
    <x v="0"/>
    <s v="MMR001"/>
    <s v="Myitkyina"/>
    <s v="MMR001D001"/>
    <x v="0"/>
    <s v="MMR001001"/>
    <s v="Myitkyina Town"/>
    <s v="MMR001001701"/>
    <s v="Lel Kone Ward"/>
    <s v="MMR001001701525"/>
    <x v="262"/>
    <x v="265"/>
    <x v="194"/>
    <n v="25.362420757575801"/>
    <n v="0"/>
    <n v="107"/>
    <n v="561"/>
    <n v="5.2429906542056077"/>
    <x v="0"/>
    <x v="0"/>
    <x v="0"/>
    <x v="0"/>
    <x v="5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3.3602711423118103"/>
    <n v="1"/>
  </r>
  <r>
    <x v="0"/>
    <x v="0"/>
    <s v="MMR001"/>
    <s v="Myitkyina"/>
    <s v="MMR001D001"/>
    <x v="1"/>
    <s v="MMR001002"/>
    <s v="Mai Na"/>
    <s v="MMR001002006"/>
    <s v="Mai Na"/>
    <n v="165740"/>
    <x v="263"/>
    <x v="266"/>
    <x v="195"/>
    <n v="25.409612685185198"/>
    <n v="0"/>
    <n v="52"/>
    <n v="235"/>
    <n v="4.5192307692307692"/>
    <x v="0"/>
    <x v="0"/>
    <x v="0"/>
    <x v="0"/>
    <x v="1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Myitkyina Town"/>
    <n v="4.3887485673235673"/>
    <n v="1"/>
  </r>
  <r>
    <x v="0"/>
    <x v="0"/>
    <s v="MMR001"/>
    <s v="Myitkyina"/>
    <s v="MMR001D001"/>
    <x v="1"/>
    <s v="MMR001002"/>
    <s v="Mai Na"/>
    <s v="MMR001002006"/>
    <s v="Mai Na"/>
    <n v="165740"/>
    <x v="264"/>
    <x v="267"/>
    <x v="196"/>
    <n v="25.4118005797101"/>
    <n v="0"/>
    <n v="506"/>
    <n v="2702"/>
    <n v="5.3399209486166006"/>
    <x v="0"/>
    <x v="0"/>
    <x v="0"/>
    <x v="1"/>
    <x v="18"/>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Myitkyina Town"/>
    <n v="5.2238983299151851"/>
    <n v="2"/>
  </r>
  <r>
    <x v="0"/>
    <x v="0"/>
    <s v="MMR001"/>
    <s v="Myitkyina"/>
    <s v="MMR001D001"/>
    <x v="1"/>
    <s v="MMR001002"/>
    <s v="Waw Shung (Kan Paik Ti Sub-township)"/>
    <s v="MMR001002035"/>
    <s v="Shan Kyaing"/>
    <n v="165845"/>
    <x v="265"/>
    <x v="268"/>
    <x v="197"/>
    <n v="25.418084"/>
    <m/>
    <n v="183"/>
    <n v="1041"/>
    <n v="5.6885245901639347"/>
    <x v="0"/>
    <x v="0"/>
    <x v="0"/>
    <x v="1"/>
    <x v="10"/>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Kan Paik Ti Town"/>
    <n v="9.3609732231189877"/>
    <n v="2"/>
  </r>
  <r>
    <x v="0"/>
    <x v="0"/>
    <s v="MMR001"/>
    <s v="Myitkyina"/>
    <s v="MMR001D001"/>
    <x v="2"/>
    <s v="MMR001005"/>
    <s v="Hpa Re (Pang War Sub-township)"/>
    <s v="MMR001005026"/>
    <s v="Hpa Re Waw Jang"/>
    <n v="166355"/>
    <x v="266"/>
    <x v="269"/>
    <x v="198"/>
    <n v="25.754110000000001"/>
    <n v="2785"/>
    <n v="163"/>
    <n v="962"/>
    <n v="5.9018404907975457"/>
    <x v="1"/>
    <x v="0"/>
    <x v="0"/>
    <x v="3"/>
    <x v="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ang War Town"/>
    <n v="19.834999342466848"/>
    <n v="4"/>
  </r>
  <r>
    <x v="0"/>
    <x v="1"/>
    <s v="MMR015"/>
    <s v="Muse"/>
    <s v="MMR015D002"/>
    <x v="17"/>
    <s v="MMR015011"/>
    <s v="Kar Lai Kone Hsar"/>
    <s v="MMR015011005"/>
    <m/>
    <m/>
    <x v="267"/>
    <x v="270"/>
    <x v="199"/>
    <n v="23.447111"/>
    <m/>
    <n v="103"/>
    <n v="578"/>
    <n v="5.6116504854368934"/>
    <x v="0"/>
    <x v="0"/>
    <x v="1"/>
    <x v="1"/>
    <x v="31"/>
    <x v="1"/>
    <s v="IP"/>
    <d v="2018-07-31T00:00:00"/>
    <s v="31/July/2018: Data Source (UNHCR-LSH)_x000a_6/June/2018: Data Source ( IRC, KMSS-Lsh)_x000a_11/Jul/2017: Updated from UNOCHA, visited on March 2017 _x000a_9/Nov/15. New added camp. Data source: UNHCR CCCM officer NSS mission 8-12 July 2015."/>
    <m/>
    <s v=""/>
    <s v=""/>
  </r>
  <r>
    <x v="1"/>
    <x v="1"/>
    <s v="MMR015"/>
    <s v="Kyaukme"/>
    <s v="MMR015D003"/>
    <x v="18"/>
    <s v="MMR015019"/>
    <m/>
    <m/>
    <m/>
    <m/>
    <x v="268"/>
    <x v="271"/>
    <x v="31"/>
    <m/>
    <m/>
    <n v="36"/>
    <n v="188"/>
    <n v="5.2222222222222223"/>
    <x v="0"/>
    <x v="0"/>
    <x v="1"/>
    <x v="0"/>
    <x v="37"/>
    <x v="1"/>
    <s v="IP"/>
    <d v="2018-08-31T00:00:00"/>
    <s v="No agency has visited since Jul/2016, KBC to follow up._x000a_25/Jul/2016: Added as new camp according to KBC data/ all the hh stayed temporarily and returned to VoO in 2016; source of information: cluster meeting 15 Aug 2018. Lashio, by Metta, KBC, KMSS-L"/>
    <s v=""/>
    <s v=""/>
    <s v=""/>
  </r>
  <r>
    <x v="1"/>
    <x v="1"/>
    <s v="MMR015"/>
    <s v="Muse"/>
    <s v="MMR015D002"/>
    <x v="16"/>
    <s v="MMR015010"/>
    <s v="Mong Wee"/>
    <s v="MMR015010036"/>
    <s v="Mong Wee"/>
    <n v="208469"/>
    <x v="269"/>
    <x v="272"/>
    <x v="200"/>
    <n v="23.611999999999998"/>
    <m/>
    <m/>
    <m/>
    <s v="NA"/>
    <x v="0"/>
    <x v="0"/>
    <x v="0"/>
    <x v="1"/>
    <x v="51"/>
    <x v="4"/>
    <s v="IP"/>
    <d v="2017-06-02T00:00:00"/>
    <s v="2/June/2017: Changed camp status as &quot;Closed&quot;. Data source: UNOCHA and confirmed by CCCM unit._x000a_25/Jul/2016: Added as new camp according to KBC data. Data was given by Jade"/>
    <s v=""/>
    <s v=""/>
    <s v=""/>
  </r>
  <r>
    <x v="0"/>
    <x v="0"/>
    <s v="MMR001"/>
    <s v="Bhamo"/>
    <s v="MMR001D003"/>
    <x v="3"/>
    <s v="MMR001010"/>
    <s v="Bhamo Town"/>
    <s v="MMR001010701"/>
    <s v="Nyaung Pin Ward"/>
    <s v="MMR001010701508"/>
    <x v="270"/>
    <x v="273"/>
    <x v="201"/>
    <n v="24.268292826086999"/>
    <m/>
    <n v="641"/>
    <n v="4010"/>
    <n v="6.25585023400936"/>
    <x v="0"/>
    <x v="0"/>
    <x v="0"/>
    <x v="0"/>
    <x v="1"/>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Bhamo Town"/>
    <n v="1.5797992800898704"/>
    <n v="1"/>
  </r>
  <r>
    <x v="0"/>
    <x v="0"/>
    <s v="MMR001"/>
    <s v="Myitkyina"/>
    <s v="MMR001D001"/>
    <x v="1"/>
    <s v="MMR001002"/>
    <s v="Nam Sang Yang"/>
    <s v="MMR001002024"/>
    <s v="Nam Sang Yang"/>
    <n v="165772"/>
    <x v="271"/>
    <x v="274"/>
    <x v="202"/>
    <n v="24.755253"/>
    <n v="316"/>
    <n v="1417"/>
    <n v="7074"/>
    <n v="4.9922371206774878"/>
    <x v="1"/>
    <x v="0"/>
    <x v="0"/>
    <x v="0"/>
    <x v="0"/>
    <x v="3"/>
    <s v="IP"/>
    <d v="2018-11-01T00:00:00"/>
    <s v="1/Nov/2018: Population update. Data source: KMSS_Myitkyina_x000a_1/October/2018: Population update. Data source: KMSS_Myitkyina_x000a_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_x000a_31/July/2018: Population update. Data source: KMSS_Myitkyina_x000a_30/June/2018: Population update. Data source: KMSS_Myitkyina_x000a_31/May/2018: Population update. Data source: KMSS_Myitkyina_x000a_10/May/2018: Population update. Data source: KMSS_Myitkyina_x000a_30/Apr/2018: Population update. Data source: KMSS_Myitkyina_x000a_27/Mar/2018: Population update. Data source: KMSS_Myitkyina_x000a_12/Jan/2018: Pop update. Data source: KMSS_Myitkyina_x000a_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Laiza town"/>
    <n v="1.7420415164460403"/>
    <n v="1"/>
  </r>
  <r>
    <x v="1"/>
    <x v="1"/>
    <s v="MMR015"/>
    <s v="Lashio"/>
    <s v="MMR015D001"/>
    <x v="21"/>
    <s v="MMR015002"/>
    <s v="Kawng Wein"/>
    <s v="MMR015002026"/>
    <s v="Kawng Wein"/>
    <n v="206395"/>
    <x v="272"/>
    <x v="275"/>
    <x v="203"/>
    <n v="23.353999999999999"/>
    <m/>
    <m/>
    <m/>
    <s v="NA"/>
    <x v="0"/>
    <x v="0"/>
    <x v="0"/>
    <x v="0"/>
    <x v="50"/>
    <x v="4"/>
    <s v="IP"/>
    <d v="2017-07-11T00:00:00"/>
    <s v="11/Jul/2017: Camp status change into closed. KBC said Camp will be combine with Nam Sa Larp. DATA Source: KBC_x000a_25/Jul/2016: Added as new camp according to KBC data. Data was given by Jade"/>
    <s v=""/>
    <s v=""/>
    <s v=""/>
  </r>
  <r>
    <x v="0"/>
    <x v="0"/>
    <s v="MMR001"/>
    <s v="Mohnyin"/>
    <s v="MMR001D002"/>
    <x v="9"/>
    <s v="MMR001007"/>
    <s v="Nam Mun"/>
    <s v="MMR001007016"/>
    <s v="Inn Thar"/>
    <n v="166592"/>
    <x v="273"/>
    <x v="276"/>
    <x v="74"/>
    <n v="24.998349999999999"/>
    <m/>
    <n v="26"/>
    <n v="117"/>
    <n v="4.5"/>
    <x v="0"/>
    <x v="0"/>
    <x v="0"/>
    <x v="1"/>
    <x v="7"/>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Hopin Town"/>
    <n v="16.668825701583572"/>
    <n v="4"/>
  </r>
  <r>
    <x v="1"/>
    <x v="1"/>
    <s v="MMR015"/>
    <s v="Kyaukme"/>
    <s v="MMR015D003"/>
    <x v="19"/>
    <s v="MMR015015"/>
    <s v="Namtu Town"/>
    <s v="MMR015015701"/>
    <s v="Namtu Ward"/>
    <s v="MMR015015701501"/>
    <x v="274"/>
    <x v="277"/>
    <x v="193"/>
    <n v="23.099304"/>
    <m/>
    <m/>
    <m/>
    <s v="NA"/>
    <x v="0"/>
    <x v="0"/>
    <x v="0"/>
    <x v="0"/>
    <x v="11"/>
    <x v="4"/>
    <s v="IP"/>
    <d v="2017-06-02T00:00:00"/>
    <s v="2/June/2017: Changed camp status as &quot;Closed&quot; according to UNHCR_Lashio information._x000a_17-01-2017: New added camp. Missing data will be collected from partners and present in next Report."/>
    <s v=""/>
    <s v=""/>
    <s v=""/>
  </r>
  <r>
    <x v="1"/>
    <x v="1"/>
    <s v="MMR015"/>
    <s v="Kyaukme"/>
    <s v="MMR015D003"/>
    <x v="19"/>
    <s v="MMR015015"/>
    <s v="Namtu Town"/>
    <s v="MMR015015701"/>
    <s v="Namtu Ward"/>
    <s v="MMR015015701501"/>
    <x v="275"/>
    <x v="278"/>
    <x v="31"/>
    <m/>
    <m/>
    <n v="13"/>
    <n v="45"/>
    <n v="3.4615384615384617"/>
    <x v="0"/>
    <x v="0"/>
    <x v="1"/>
    <x v="0"/>
    <x v="11"/>
    <x v="4"/>
    <s v="IP"/>
    <d v="2017-01-17T00:00:00"/>
    <s v="Closed as of 1st of September 2017"/>
    <s v=""/>
    <s v=""/>
    <s v=""/>
  </r>
  <r>
    <x v="1"/>
    <x v="1"/>
    <s v="MMR015"/>
    <s v="Kyaukme"/>
    <s v="MMR015D003"/>
    <x v="19"/>
    <s v="MMR015015"/>
    <s v="Namtu Town"/>
    <s v="MMR015015701"/>
    <s v="Namtu Ward"/>
    <s v="MMR015015701501"/>
    <x v="276"/>
    <x v="279"/>
    <x v="31"/>
    <m/>
    <m/>
    <m/>
    <m/>
    <s v="NA"/>
    <x v="0"/>
    <x v="0"/>
    <x v="0"/>
    <x v="0"/>
    <x v="11"/>
    <x v="4"/>
    <s v="IP"/>
    <d v="2017-07-03T00:00:00"/>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1"/>
    <x v="1"/>
    <s v="MMR015"/>
    <s v="Kyaukme"/>
    <s v="MMR015D003"/>
    <x v="19"/>
    <s v="MMR015015"/>
    <s v="Namtu Town"/>
    <s v="MMR015015701"/>
    <s v="Namtu Ward"/>
    <s v="MMR015015701501"/>
    <x v="277"/>
    <x v="280"/>
    <x v="31"/>
    <m/>
    <m/>
    <m/>
    <m/>
    <s v="NA"/>
    <x v="0"/>
    <x v="0"/>
    <x v="0"/>
    <x v="0"/>
    <x v="11"/>
    <x v="4"/>
    <s v="IP"/>
    <d v="2017-07-03T00:00:00"/>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0"/>
    <x v="0"/>
    <s v="MMR001"/>
    <s v="Bhamo"/>
    <s v="MMR001D003"/>
    <x v="5"/>
    <s v="MMR001013"/>
    <s v="Maing Khaung"/>
    <s v="MMR001013007"/>
    <s v="Maing Khaung"/>
    <n v="167301"/>
    <x v="278"/>
    <x v="281"/>
    <x v="204"/>
    <n v="23.972453000000002"/>
    <n v="466"/>
    <n v="433"/>
    <n v="2154"/>
    <n v="4.9745958429561199"/>
    <x v="0"/>
    <x v="0"/>
    <x v="0"/>
    <x v="1"/>
    <x v="24"/>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Mansi Town"/>
    <n v="17.731070777343263"/>
    <n v="4"/>
  </r>
  <r>
    <x v="1"/>
    <x v="1"/>
    <s v="MMR015"/>
    <s v="Muse"/>
    <s v="MMR015D002"/>
    <x v="20"/>
    <s v="MMR015009"/>
    <s v="Muse Town"/>
    <s v="MMR015009701"/>
    <s v="Ho Mun Ward"/>
    <s v="MMR015009701504"/>
    <x v="279"/>
    <x v="282"/>
    <x v="31"/>
    <m/>
    <m/>
    <m/>
    <m/>
    <s v="NA"/>
    <x v="0"/>
    <x v="0"/>
    <x v="0"/>
    <x v="0"/>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Muse Town"/>
    <s v="MMR015009701"/>
    <s v="Myauk Ward"/>
    <s v="MMR015009701505"/>
    <x v="280"/>
    <x v="283"/>
    <x v="31"/>
    <m/>
    <m/>
    <m/>
    <m/>
    <s v="NA"/>
    <x v="0"/>
    <x v="0"/>
    <x v="0"/>
    <x v="0"/>
    <x v="11"/>
    <x v="4"/>
    <m/>
    <d v="2017-01-17T00:00:00"/>
    <s v="17-01-2017: New added camp. Missing data will be collected from partners and present in next Report."/>
    <s v=""/>
    <s v=""/>
    <s v=""/>
  </r>
  <r>
    <x v="1"/>
    <x v="1"/>
    <s v="MMR015"/>
    <s v="Muse"/>
    <s v="MMR015D002"/>
    <x v="20"/>
    <s v="MMR015009"/>
    <s v="Muse Town"/>
    <s v="MMR015009701"/>
    <s v="Taung Ward"/>
    <s v="MMR015009701503"/>
    <x v="281"/>
    <x v="284"/>
    <x v="31"/>
    <m/>
    <m/>
    <m/>
    <m/>
    <s v="NA"/>
    <x v="0"/>
    <x v="0"/>
    <x v="0"/>
    <x v="0"/>
    <x v="11"/>
    <x v="4"/>
    <m/>
    <d v="2017-01-17T00:00:00"/>
    <s v="17-01-2017: New added camp. Missing data will be collected from partners and present in next Report."/>
    <s v=""/>
    <s v=""/>
    <s v=""/>
  </r>
  <r>
    <x v="1"/>
    <x v="1"/>
    <s v="MMR015"/>
    <s v="Muse"/>
    <s v="MMR015D002"/>
    <x v="20"/>
    <s v="MMR015009"/>
    <m/>
    <m/>
    <m/>
    <m/>
    <x v="282"/>
    <x v="285"/>
    <x v="31"/>
    <m/>
    <m/>
    <m/>
    <m/>
    <s v="NA"/>
    <x v="0"/>
    <x v="0"/>
    <x v="0"/>
    <x v="2"/>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Muse Town"/>
    <s v="MMR015009701"/>
    <s v="Swei Taw Ward"/>
    <s v="MMR015009701507"/>
    <x v="283"/>
    <x v="286"/>
    <x v="31"/>
    <m/>
    <m/>
    <m/>
    <m/>
    <s v="NA"/>
    <x v="0"/>
    <x v="0"/>
    <x v="0"/>
    <x v="0"/>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Nam Pang"/>
    <s v="MMR015009001"/>
    <s v="Nam Hkon"/>
    <n v="208003"/>
    <x v="284"/>
    <x v="287"/>
    <x v="31"/>
    <m/>
    <m/>
    <m/>
    <m/>
    <s v="NA"/>
    <x v="0"/>
    <x v="0"/>
    <x v="0"/>
    <x v="1"/>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Muse Town"/>
    <s v="MMR015009701"/>
    <s v="Ho Mun Ward"/>
    <s v="MMR015009701504"/>
    <x v="285"/>
    <x v="288"/>
    <x v="31"/>
    <m/>
    <m/>
    <m/>
    <m/>
    <s v="NA"/>
    <x v="0"/>
    <x v="0"/>
    <x v="0"/>
    <x v="0"/>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Muse Town"/>
    <s v="MMR015009701"/>
    <m/>
    <m/>
    <x v="286"/>
    <x v="289"/>
    <x v="31"/>
    <m/>
    <m/>
    <m/>
    <m/>
    <s v="NA"/>
    <x v="0"/>
    <x v="0"/>
    <x v="0"/>
    <x v="2"/>
    <x v="11"/>
    <x v="4"/>
    <m/>
    <d v="2017-01-17T00:00:00"/>
    <s v="17-01-2017: New added camp. Missing data will be collected from partners and present in next Report."/>
    <s v=""/>
    <s v=""/>
    <s v=""/>
  </r>
  <r>
    <x v="1"/>
    <x v="1"/>
    <s v="MMR015"/>
    <s v="Muse"/>
    <s v="MMR015D002"/>
    <x v="20"/>
    <s v="MMR015009"/>
    <s v="Muse Town"/>
    <s v="MMR015009701"/>
    <s v="Ho Mun Ward"/>
    <s v="MMR015009701504"/>
    <x v="287"/>
    <x v="290"/>
    <x v="31"/>
    <m/>
    <m/>
    <m/>
    <m/>
    <s v="NA"/>
    <x v="0"/>
    <x v="0"/>
    <x v="0"/>
    <x v="0"/>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s v="Muse Town"/>
    <s v="MMR015009701"/>
    <s v="Ho Mun Ward"/>
    <s v="MMR015009701504"/>
    <x v="288"/>
    <x v="291"/>
    <x v="31"/>
    <m/>
    <m/>
    <m/>
    <m/>
    <s v="NA"/>
    <x v="0"/>
    <x v="0"/>
    <x v="0"/>
    <x v="0"/>
    <x v="11"/>
    <x v="4"/>
    <s v="IP"/>
    <d v="2017-04-06T00:00:00"/>
    <s v="6/Apr/2017: Changed camp status as &quot;closed&quot;. Data source: CCCM_UNHCR, comfirmed by partners (KBC)_x000a_17-01-2017: New added camp. Missing data will be collected from partners and present in next Report."/>
    <s v=""/>
    <s v=""/>
    <s v=""/>
  </r>
  <r>
    <x v="1"/>
    <x v="1"/>
    <s v="MMR015"/>
    <s v="Muse"/>
    <s v="MMR015D002"/>
    <x v="20"/>
    <s v="MMR015009"/>
    <m/>
    <m/>
    <m/>
    <m/>
    <x v="289"/>
    <x v="292"/>
    <x v="31"/>
    <m/>
    <m/>
    <m/>
    <m/>
    <s v="NA"/>
    <x v="0"/>
    <x v="0"/>
    <x v="0"/>
    <x v="2"/>
    <x v="11"/>
    <x v="4"/>
    <s v="IP"/>
    <d v="2017-04-06T00:00:00"/>
    <s v="6/Apr/2017: Changed camp status as &quot;closed&quot;. Data source: CCCM_UNHCR, comfirmed by partners (KBC)_x000a_17-01-2017: New added camp. Missing data will be collected from partners and present in next Report."/>
    <s v=""/>
    <s v=""/>
    <s v=""/>
  </r>
  <r>
    <x v="0"/>
    <x v="0"/>
    <s v="MMR001"/>
    <s v="Myitkyina"/>
    <s v="MMR001D001"/>
    <x v="1"/>
    <s v="MMR001002"/>
    <s v="Sa Ma"/>
    <s v="MMR001002031"/>
    <s v="Par Jaung"/>
    <n v="165792"/>
    <x v="290"/>
    <x v="293"/>
    <x v="31"/>
    <m/>
    <m/>
    <n v="398"/>
    <n v="1824"/>
    <n v="4.5829145728643219"/>
    <x v="1"/>
    <x v="0"/>
    <x v="0"/>
    <x v="1"/>
    <x v="55"/>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6/June/2017: Added as new camp instead of Zai Awng - Mung Ga Zup camp because of the conflict on Dec, 2016. So IDPs ( from Zai Awng - Mung Ga Zup ) flew to Lung Byen. They stay awhile at Lung Byen and then they moved to Shait Yang on 17 Jan 2017. Changed the camp name as &quot;Shait Yan"/>
    <s v="Waingmaw Town"/>
    <n v="0"/>
    <n v="1"/>
  </r>
  <r>
    <x v="0"/>
    <x v="0"/>
    <s v="MMR001"/>
    <s v="Mohnyin"/>
    <s v="MMR001D002"/>
    <x v="8"/>
    <s v="MMR001008"/>
    <s v="Lan Gwa"/>
    <s v="MMR001008036"/>
    <s v="Lan Gwa"/>
    <n v="166765"/>
    <x v="291"/>
    <x v="294"/>
    <x v="205"/>
    <n v="25.383465999999999"/>
    <m/>
    <n v="80"/>
    <n v="399"/>
    <n v="4.9874999999999998"/>
    <x v="0"/>
    <x v="0"/>
    <x v="0"/>
    <x v="0"/>
    <x v="39"/>
    <x v="3"/>
    <s v="IP"/>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1/July /2018: Population update. Data source: KMSS M_x000a_30/June /2018: Population update. Data source: UNHCR/Cluster partners_x000a_30/May/2018: Population update. Data source: UNHCR/Cluster partners_x000a_21/May/2018: Added as new camp. Data source: MIRA (Multi Sector Assessment Team)"/>
    <s v="Panmatee Town"/>
    <n v="0.4"/>
    <n v="1"/>
  </r>
  <r>
    <x v="0"/>
    <x v="0"/>
    <s v="MMR001"/>
    <s v="Mohnyin"/>
    <s v="MMR001D002"/>
    <x v="8"/>
    <s v="MMR001008"/>
    <s v="Nammatee Town"/>
    <s v="MMR001008702"/>
    <s v="Myo Ma Ward"/>
    <s v="MMR001008702501"/>
    <x v="292"/>
    <x v="295"/>
    <x v="31"/>
    <m/>
    <m/>
    <n v="6"/>
    <n v="32"/>
    <n v="5.333333333333333"/>
    <x v="0"/>
    <x v="0"/>
    <x v="1"/>
    <x v="0"/>
    <x v="39"/>
    <x v="1"/>
    <s v="IP"/>
    <d v="2018-08-31T00:00:00"/>
    <s v="31/August /2018: Population update. Data source: KMSS M;Remaining IDPs voluntarily moved to PaMaTi area_x000a_30/June /2018: Population update. Data source: UNHCR/Cluster partners_x000a_30/May/2018: Population update. Data source: UNHCR/Cluster partners_x000a_21/May/2018: Added as new camp. Data source: MIRA (Multi Sector Assessment Team)"/>
    <s v="Panmatee Town"/>
    <n v="0.4"/>
    <n v="1"/>
  </r>
  <r>
    <x v="0"/>
    <x v="0"/>
    <s v="MMR001"/>
    <s v="Myitkyina"/>
    <s v="MMR001D001"/>
    <x v="0"/>
    <s v="MMR001001"/>
    <s v="Nawng Nang"/>
    <s v="MMR001001002"/>
    <s v="Ka War Hka"/>
    <n v="165682"/>
    <x v="293"/>
    <x v="296"/>
    <x v="206"/>
    <n v="25.480989999999998"/>
    <m/>
    <n v="178"/>
    <n v="843"/>
    <n v="4.7359550561797752"/>
    <x v="0"/>
    <x v="0"/>
    <x v="0"/>
    <x v="0"/>
    <x v="39"/>
    <x v="0"/>
    <s v="IP"/>
    <d v="2018-11-01T00:00:00"/>
    <s v="1/Nov/2018: Population update. Data source: KBC_x000a_1/October/2018: Population update. Data source: KBC_x000a_31/August/2018: Population update. Data source: KBC_x000a_31/July /2018: Camp Status change to Camp from Camp Like Setting ( KBC covers as CMA from July 2018)_x000a_31/July /2018: Population update. Data source: KBC_x000a_5/July/2018: The camp name “ Trinity KBC Church) change to Trinity camp)  As per KBC email sent on Thu 7/5/2018 5:47 PM by PC KBC- HDD _x000a_30/June /2018: Population update. Data source: UNHCR/Cluster partners_x000a_30/May/2018: Population update. Data source: UNHCR/Cluster partners_x000a_21/May/2018: Added as new camp. Data source: MIRA (Multi Sector Assessment Team)"/>
    <s v="Myitkyina Town"/>
    <n v="8"/>
    <n v="2"/>
  </r>
  <r>
    <x v="0"/>
    <x v="0"/>
    <s v="MMR001"/>
    <s v="Mohnyin"/>
    <s v="MMR001D002"/>
    <x v="10"/>
    <s v="MMR001009"/>
    <s v="La War"/>
    <s v="MMR001009006"/>
    <s v="La Wa"/>
    <n v="166808"/>
    <x v="294"/>
    <x v="297"/>
    <x v="31"/>
    <m/>
    <m/>
    <n v="42"/>
    <n v="187"/>
    <n v="4.4523809523809526"/>
    <x v="0"/>
    <x v="0"/>
    <x v="0"/>
    <x v="1"/>
    <x v="11"/>
    <x v="3"/>
    <m/>
    <d v="2018-11-01T00:00:00"/>
    <s v="1/Nov/2018: Population update. Data source: KMSS_Myitkyina_x000a_1/October/2018: Population update. Data source: KMSS_Myitkyina_x000a_31/August/2018: Population update. Data source: KMSS_Myitkyina_x000a_1/Aug/2018: Type of accommodation change from &quot; Camp Like Setting to Camp&quot;. The camp will be managed by KMSS-M from August, 2018._x000a_31/July /2018: Population update. Data source: KMSS M_x000a_30/June /2018: Population update. Data source: UNHCR/Cluster partners_x000a_30/May/2018: Population update. Data source: UNHCR/Cluster partners_x000a_30/May/2018: Added as new camp"/>
    <s v="Kamaing Town"/>
    <n v="10"/>
    <n v="3"/>
  </r>
  <r>
    <x v="0"/>
    <x v="0"/>
    <s v="MMR001"/>
    <s v="Waignmaw"/>
    <s v="MMR001D001"/>
    <x v="1"/>
    <s v="MMR001002"/>
    <s v="Waingmaw Town"/>
    <s v="MMR001002701"/>
    <s v="No (1) Ward"/>
    <s v="MMR001002701501"/>
    <x v="295"/>
    <x v="298"/>
    <x v="31"/>
    <m/>
    <m/>
    <n v="68"/>
    <n v="303"/>
    <n v="4.4558823529411766"/>
    <x v="0"/>
    <x v="0"/>
    <x v="0"/>
    <x v="0"/>
    <x v="41"/>
    <x v="0"/>
    <s v="IP"/>
    <d v="2018-11-01T00:00:00"/>
    <s v="1/Nov/2018: Population update. Data source: KBC_x000a_1/October/2018: Population update. Data source: KBC_x000a_31/August/2018: Population update. Data source: KBC_x000a_31/July /2018: Camp Status change to Camp from Camp Like Setting ( KBC covers as CMA from July 2018)_x000a_31/July /2018: Population update. Data source: KBC_x000a_5/July/2018: The camp name change Bethela KBC church to  Waimaw Baptist Zonal Offie 2 As per KBC email sent on Thu 7/5/2018 5:47 PM by PC KBC- HDD _x000a_30/June /2018: Population update. Data source: UNHCR/Cluster partners_x000a__x000a_30/May/2018: Population update. Data source: UNHCR/Cluster partners_x000a_30/May/2018: Added as new camp"/>
    <s v="Waingmaw Town"/>
    <n v="0"/>
    <n v="1"/>
  </r>
  <r>
    <x v="3"/>
    <x v="0"/>
    <s v="MMR001"/>
    <s v="Myitkyina"/>
    <s v="MMR001D001"/>
    <x v="1"/>
    <s v="MMR001002"/>
    <s v="Mai Na"/>
    <s v="MMR001002006"/>
    <s v="Mai Na"/>
    <n v="165740"/>
    <x v="296"/>
    <x v="299"/>
    <x v="25"/>
    <n v="25.415667500000001"/>
    <m/>
    <n v="95"/>
    <n v="499"/>
    <n v="5.2526315789473683"/>
    <x v="0"/>
    <x v="1"/>
    <x v="6"/>
    <x v="0"/>
    <x v="42"/>
    <x v="4"/>
    <m/>
    <d v="2018-07-09T00:00:00"/>
    <s v="09/July/2018: Added as new site. Population figure as of joint assessment report (estimated)"/>
    <s v="Myitkyina Town"/>
    <n v="6"/>
    <n v="2"/>
  </r>
  <r>
    <x v="0"/>
    <x v="1"/>
    <s v="MMR015"/>
    <s v="Muse"/>
    <s v="MMR015D002"/>
    <x v="17"/>
    <s v="MMR015011"/>
    <s v="Mong Yu"/>
    <s v="MMR015011030"/>
    <s v="Mong Yu"/>
    <n v="208747"/>
    <x v="297"/>
    <x v="300"/>
    <x v="207"/>
    <n v="23.591999999999999"/>
    <m/>
    <n v="82"/>
    <n v="426"/>
    <n v="5.1951219512195124"/>
    <x v="0"/>
    <x v="0"/>
    <x v="0"/>
    <x v="1"/>
    <x v="56"/>
    <x v="0"/>
    <s v="IP"/>
    <d v="2018-11-01T00:00:00"/>
    <s v="1/Nov/2018: Population update. Data source: KBC_x000a_1/October/2018: Population update. Data source: KBC_x000a_31/August/2018: Population update. Data source: KBC_x000a_31/July/2018: Population update. Data source: KBC_x000a_30/June/2018: Population update. Data source: KBC,_x000a_31/May/2018: Population update. Data source: KBC_x000a_30/Apr/2018: Population update. Data source: KBC_x000a_27/Mar/2018: Population update. Data source: KBC_x000a_5/Mar/2018: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and Responsible agency update. Data source: KBC._x000a_10/Jan/2017: Population update. Data source: KBC_x000a_18/Jul/2016: Added as new camp according to KBC_Brang Mai."/>
    <m/>
    <s v=""/>
    <s v=""/>
  </r>
  <r>
    <x v="3"/>
    <x v="0"/>
    <m/>
    <m/>
    <m/>
    <x v="5"/>
    <m/>
    <m/>
    <m/>
    <m/>
    <m/>
    <x v="298"/>
    <x v="264"/>
    <x v="31"/>
    <m/>
    <m/>
    <n v="86"/>
    <n v="450"/>
    <n v="5.2325581395348841"/>
    <x v="0"/>
    <x v="1"/>
    <x v="6"/>
    <x v="4"/>
    <x v="11"/>
    <x v="4"/>
    <m/>
    <m/>
    <m/>
    <s v=""/>
    <s v=""/>
    <s v=""/>
  </r>
  <r>
    <x v="0"/>
    <x v="1"/>
    <s v="MMR015"/>
    <s v="Muse"/>
    <s v="MMR015D002"/>
    <x v="17"/>
    <s v="MMR015011"/>
    <s v="Pang Kai Pang Lawt"/>
    <s v="MMR015011029"/>
    <m/>
    <m/>
    <x v="299"/>
    <x v="301"/>
    <x v="31"/>
    <m/>
    <m/>
    <n v="32"/>
    <n v="153"/>
    <n v="4.78125"/>
    <x v="0"/>
    <x v="0"/>
    <x v="1"/>
    <x v="1"/>
    <x v="57"/>
    <x v="1"/>
    <m/>
    <d v="2018-11-01T00:00:00"/>
    <s v="1/November/2018: Data Source: UNHCR-LSH and Partners_x000a_IDPs relocated from  Mai Yu Lay New (Ta'ang) ( MMR015CMP220) "/>
    <s v=""/>
    <s v=""/>
    <s v=""/>
  </r>
</pivotCacheRecords>
</file>

<file path=xl/pivotCache/pivotCacheRecords5.xml><?xml version="1.0" encoding="utf-8"?>
<pivotCacheRecords xmlns="http://schemas.openxmlformats.org/spreadsheetml/2006/main" xmlns:r="http://schemas.openxmlformats.org/officeDocument/2006/relationships" count="361">
  <r>
    <x v="0"/>
    <x v="0"/>
    <x v="0"/>
    <s v="KBC"/>
    <s v="Kachin"/>
    <x v="0"/>
    <s v="Maina KBC (Bawng Ring)"/>
    <m/>
    <m/>
    <m/>
    <m/>
    <m/>
    <m/>
    <m/>
    <m/>
    <m/>
    <m/>
    <m/>
    <m/>
    <m/>
    <m/>
    <m/>
    <m/>
    <m/>
    <m/>
    <m/>
    <n v="17"/>
    <e v="#REF!"/>
    <e v="#REF!"/>
    <e v="#REF!"/>
    <m/>
    <m/>
    <m/>
    <m/>
    <m/>
    <m/>
    <m/>
    <m/>
    <m/>
    <m/>
    <n v="0"/>
    <m/>
    <m/>
    <m/>
    <s v="MMR001CMP040"/>
    <s v="Update date: 27/April/2017. Data source: Programme Unit_UNHCR"/>
  </r>
  <r>
    <x v="1"/>
    <x v="0"/>
    <x v="0"/>
    <s v="KMSS_Myitkyina"/>
    <s v="Kachin"/>
    <x v="1"/>
    <s v="Jan Mai Kawng Catholic Church"/>
    <m/>
    <m/>
    <m/>
    <n v="1"/>
    <n v="1"/>
    <n v="4"/>
    <n v="1"/>
    <n v="4"/>
    <n v="1"/>
    <m/>
    <n v="1"/>
    <n v="4"/>
    <m/>
    <m/>
    <m/>
    <m/>
    <n v="1"/>
    <m/>
    <m/>
    <m/>
    <m/>
    <m/>
    <m/>
    <m/>
    <m/>
    <m/>
    <m/>
    <m/>
    <m/>
    <m/>
    <m/>
    <m/>
    <m/>
    <m/>
    <m/>
    <m/>
    <m/>
    <s v="MMR001CMP019"/>
    <s v="Update date: 27/April/2017. Data source: Programme Unit_UNHCR"/>
  </r>
  <r>
    <x v="1"/>
    <x v="0"/>
    <x v="0"/>
    <s v="KMSS_Myitkyina"/>
    <s v="Kachin"/>
    <x v="0"/>
    <s v="Maina Catholic Church (St. Joseph)"/>
    <m/>
    <m/>
    <m/>
    <n v="6"/>
    <n v="6"/>
    <n v="10"/>
    <n v="6"/>
    <n v="18"/>
    <n v="6"/>
    <m/>
    <n v="6"/>
    <n v="17"/>
    <m/>
    <m/>
    <m/>
    <m/>
    <n v="6"/>
    <m/>
    <m/>
    <m/>
    <m/>
    <m/>
    <m/>
    <m/>
    <m/>
    <m/>
    <m/>
    <m/>
    <m/>
    <m/>
    <m/>
    <m/>
    <m/>
    <m/>
    <m/>
    <m/>
    <m/>
    <s v="MMR001CMP029"/>
    <s v="Update date: 27/April/2017. Data source: Programme Unit_UNHCR"/>
  </r>
  <r>
    <x v="2"/>
    <x v="0"/>
    <x v="0"/>
    <s v="KBC"/>
    <s v="Kachin"/>
    <x v="2"/>
    <s v="Maing Khaung"/>
    <m/>
    <m/>
    <m/>
    <n v="15"/>
    <n v="15"/>
    <n v="15"/>
    <n v="15"/>
    <n v="15"/>
    <n v="15"/>
    <m/>
    <n v="15"/>
    <n v="30"/>
    <m/>
    <m/>
    <m/>
    <m/>
    <n v="15"/>
    <m/>
    <m/>
    <n v="15"/>
    <e v="#REF!"/>
    <e v="#REF!"/>
    <e v="#REF!"/>
    <m/>
    <m/>
    <m/>
    <m/>
    <m/>
    <m/>
    <m/>
    <m/>
    <m/>
    <m/>
    <n v="0"/>
    <m/>
    <m/>
    <m/>
    <s v="MMR001CMP218"/>
    <s v="Update date: 27/April/2017. Data source: Programme Unit_UNHCR"/>
  </r>
  <r>
    <x v="2"/>
    <x v="0"/>
    <x v="1"/>
    <s v="Solidarites"/>
    <s v="Kachin"/>
    <x v="2"/>
    <s v="Maing Khaung"/>
    <m/>
    <n v="15"/>
    <m/>
    <m/>
    <n v="135"/>
    <m/>
    <m/>
    <m/>
    <m/>
    <m/>
    <n v="15"/>
    <m/>
    <m/>
    <m/>
    <m/>
    <m/>
    <n v="15"/>
    <m/>
    <m/>
    <m/>
    <e v="#REF!"/>
    <e v="#REF!"/>
    <e v="#REF!"/>
    <m/>
    <m/>
    <m/>
    <m/>
    <m/>
    <m/>
    <m/>
    <m/>
    <m/>
    <m/>
    <n v="0"/>
    <m/>
    <m/>
    <m/>
    <s v="MMR001CMP218"/>
    <s v="Update date: 15/May/2017. Data source: SI "/>
  </r>
  <r>
    <x v="3"/>
    <x v="0"/>
    <x v="1"/>
    <s v="Solidarites"/>
    <s v="Kachin"/>
    <x v="3"/>
    <s v="Hpun Lum Yang "/>
    <m/>
    <n v="73"/>
    <m/>
    <n v="73"/>
    <n v="657"/>
    <n v="146"/>
    <m/>
    <n v="146"/>
    <m/>
    <m/>
    <n v="73"/>
    <n v="146"/>
    <m/>
    <m/>
    <m/>
    <m/>
    <n v="73"/>
    <m/>
    <m/>
    <m/>
    <e v="#REF!"/>
    <e v="#REF!"/>
    <e v="#REF!"/>
    <m/>
    <m/>
    <m/>
    <m/>
    <m/>
    <m/>
    <m/>
    <m/>
    <m/>
    <m/>
    <n v="0"/>
    <m/>
    <m/>
    <m/>
    <s v="MMR001CMP122"/>
    <s v="Update date: 15/May/2017. Data source: SI "/>
  </r>
  <r>
    <x v="3"/>
    <x v="0"/>
    <x v="1"/>
    <s v="Solidarites"/>
    <s v="Kachin"/>
    <x v="0"/>
    <s v="Woi Chyai "/>
    <m/>
    <n v="10"/>
    <m/>
    <n v="10"/>
    <n v="90"/>
    <n v="20"/>
    <m/>
    <n v="20"/>
    <m/>
    <m/>
    <n v="10"/>
    <n v="20"/>
    <m/>
    <m/>
    <m/>
    <m/>
    <n v="10"/>
    <m/>
    <m/>
    <m/>
    <e v="#REF!"/>
    <e v="#REF!"/>
    <e v="#REF!"/>
    <m/>
    <m/>
    <m/>
    <m/>
    <m/>
    <m/>
    <m/>
    <m/>
    <m/>
    <m/>
    <n v="0"/>
    <m/>
    <m/>
    <m/>
    <s v="MMR001CMP116"/>
    <s v="Update date: 15/May/2017. Data source: SI "/>
  </r>
  <r>
    <x v="4"/>
    <x v="0"/>
    <x v="0"/>
    <s v="KMSS_Myitkyina"/>
    <s v="Kachin"/>
    <x v="0"/>
    <s v="Maina Catholic Church (St. Joseph)"/>
    <m/>
    <m/>
    <m/>
    <n v="9"/>
    <n v="9"/>
    <n v="35"/>
    <n v="9"/>
    <n v="35"/>
    <n v="9"/>
    <m/>
    <n v="9"/>
    <n v="35"/>
    <m/>
    <m/>
    <m/>
    <m/>
    <n v="9"/>
    <m/>
    <m/>
    <n v="9"/>
    <e v="#REF!"/>
    <e v="#REF!"/>
    <e v="#REF!"/>
    <m/>
    <m/>
    <m/>
    <m/>
    <m/>
    <m/>
    <m/>
    <m/>
    <m/>
    <m/>
    <n v="0"/>
    <m/>
    <m/>
    <m/>
    <s v="MMR001CMP029"/>
    <s v="Update date: 27/April/2017. Data source: Programme Unit_UNHCR"/>
  </r>
  <r>
    <x v="5"/>
    <x v="0"/>
    <x v="0"/>
    <s v="Shalom"/>
    <s v="Kachin"/>
    <x v="0"/>
    <s v="Maina AG Church"/>
    <m/>
    <m/>
    <m/>
    <n v="5"/>
    <n v="5"/>
    <n v="21"/>
    <n v="5"/>
    <n v="21"/>
    <n v="5"/>
    <m/>
    <n v="5"/>
    <n v="21"/>
    <m/>
    <m/>
    <m/>
    <m/>
    <n v="5"/>
    <m/>
    <m/>
    <m/>
    <e v="#REF!"/>
    <e v="#REF!"/>
    <e v="#REF!"/>
    <m/>
    <m/>
    <m/>
    <m/>
    <m/>
    <m/>
    <m/>
    <m/>
    <m/>
    <m/>
    <n v="0"/>
    <m/>
    <m/>
    <m/>
    <s v="MMR001CMP031"/>
    <s v="Update date: 27/April/2017. Data source: Programme Unit_UNHCR"/>
  </r>
  <r>
    <x v="5"/>
    <x v="0"/>
    <x v="0"/>
    <s v="Shalom"/>
    <s v="Kachin"/>
    <x v="0"/>
    <s v="Qtr. 4 Monestry (Thargaya Thayett Taw)"/>
    <m/>
    <m/>
    <m/>
    <n v="6"/>
    <n v="6"/>
    <n v="13"/>
    <n v="6"/>
    <n v="13"/>
    <n v="6"/>
    <m/>
    <n v="6"/>
    <n v="13"/>
    <m/>
    <m/>
    <m/>
    <m/>
    <n v="6"/>
    <m/>
    <m/>
    <m/>
    <e v="#REF!"/>
    <e v="#REF!"/>
    <e v="#REF!"/>
    <m/>
    <m/>
    <m/>
    <m/>
    <m/>
    <m/>
    <m/>
    <m/>
    <m/>
    <m/>
    <n v="0"/>
    <m/>
    <m/>
    <m/>
    <s v="MMR001CMP026"/>
    <s v="Update date: 27/April/2017. Data source: Programme Unit_UNHCR"/>
  </r>
  <r>
    <x v="5"/>
    <x v="0"/>
    <x v="0"/>
    <s v="Shalom"/>
    <s v="Kachin"/>
    <x v="0"/>
    <s v="Qtr. 2 Lhaovo Baptist Church"/>
    <m/>
    <m/>
    <m/>
    <n v="9"/>
    <n v="9"/>
    <n v="19"/>
    <n v="9"/>
    <n v="19"/>
    <n v="9"/>
    <m/>
    <n v="9"/>
    <n v="19"/>
    <m/>
    <m/>
    <m/>
    <m/>
    <n v="9"/>
    <m/>
    <m/>
    <n v="10"/>
    <e v="#REF!"/>
    <e v="#REF!"/>
    <e v="#REF!"/>
    <m/>
    <m/>
    <m/>
    <m/>
    <m/>
    <m/>
    <m/>
    <m/>
    <m/>
    <m/>
    <n v="0"/>
    <m/>
    <m/>
    <m/>
    <s v="MMR001CMP032"/>
    <s v="Update date: 27/April/2017. Data source: Programme Unit_UNHCR"/>
  </r>
  <r>
    <x v="5"/>
    <x v="0"/>
    <x v="0"/>
    <s v="Shalom"/>
    <s v="Kachin"/>
    <x v="0"/>
    <s v="Waingmaw AG Church"/>
    <m/>
    <m/>
    <m/>
    <n v="6"/>
    <n v="6"/>
    <n v="17"/>
    <n v="6"/>
    <n v="17"/>
    <n v="6"/>
    <m/>
    <n v="6"/>
    <n v="17"/>
    <m/>
    <m/>
    <m/>
    <m/>
    <n v="6"/>
    <m/>
    <m/>
    <m/>
    <e v="#REF!"/>
    <e v="#REF!"/>
    <e v="#REF!"/>
    <m/>
    <m/>
    <m/>
    <m/>
    <m/>
    <m/>
    <m/>
    <m/>
    <m/>
    <m/>
    <n v="0"/>
    <m/>
    <m/>
    <m/>
    <s v="MMR001CMP038"/>
    <s v="Update date: 27/April/2017. Data source: Programme Unit_UNHCR"/>
  </r>
  <r>
    <x v="5"/>
    <x v="0"/>
    <x v="0"/>
    <s v="Shalom"/>
    <s v="Kachin"/>
    <x v="0"/>
    <s v="Thargaya Lisu Baptist Church"/>
    <m/>
    <m/>
    <m/>
    <n v="1"/>
    <n v="1"/>
    <n v="4"/>
    <n v="1"/>
    <n v="4"/>
    <n v="1"/>
    <m/>
    <n v="1"/>
    <n v="4"/>
    <m/>
    <m/>
    <m/>
    <m/>
    <n v="1"/>
    <m/>
    <m/>
    <m/>
    <e v="#REF!"/>
    <e v="#REF!"/>
    <e v="#REF!"/>
    <m/>
    <m/>
    <m/>
    <m/>
    <m/>
    <m/>
    <m/>
    <m/>
    <m/>
    <m/>
    <n v="0"/>
    <m/>
    <m/>
    <m/>
    <s v="MMR001CMP037"/>
    <s v="Update date: 27/April/2017. Data source: Programme Unit_UNHCR"/>
  </r>
  <r>
    <x v="5"/>
    <x v="0"/>
    <x v="0"/>
    <s v="KBC"/>
    <s v="Kachin"/>
    <x v="2"/>
    <s v="Man Kawng Baptist Church"/>
    <m/>
    <m/>
    <m/>
    <n v="11"/>
    <n v="11"/>
    <n v="32"/>
    <n v="11"/>
    <n v="32"/>
    <n v="11"/>
    <m/>
    <n v="11"/>
    <n v="52"/>
    <m/>
    <m/>
    <m/>
    <m/>
    <n v="11"/>
    <m/>
    <m/>
    <n v="11"/>
    <e v="#REF!"/>
    <e v="#REF!"/>
    <e v="#REF!"/>
    <m/>
    <m/>
    <m/>
    <m/>
    <m/>
    <m/>
    <m/>
    <m/>
    <m/>
    <m/>
    <n v="0"/>
    <m/>
    <m/>
    <m/>
    <s v="MMR001CMP212"/>
    <s v="Update date: 27/April/2017. Data source: Programme Unit_UNHCR"/>
  </r>
  <r>
    <x v="6"/>
    <x v="0"/>
    <x v="1"/>
    <s v="Solidarites"/>
    <s v="Kachin"/>
    <x v="0"/>
    <s v="Je Yang Hka "/>
    <m/>
    <n v="38"/>
    <m/>
    <n v="38"/>
    <n v="342"/>
    <n v="76"/>
    <m/>
    <n v="76"/>
    <m/>
    <m/>
    <n v="38"/>
    <n v="76"/>
    <m/>
    <m/>
    <m/>
    <m/>
    <n v="38"/>
    <m/>
    <m/>
    <m/>
    <m/>
    <m/>
    <m/>
    <m/>
    <m/>
    <m/>
    <m/>
    <m/>
    <m/>
    <m/>
    <m/>
    <m/>
    <m/>
    <n v="0"/>
    <m/>
    <m/>
    <m/>
    <s v="MMR001CMP121"/>
    <s v="Update date: 15/May/2017. Data source: SI "/>
  </r>
  <r>
    <x v="6"/>
    <x v="0"/>
    <x v="0"/>
    <s v="KMSS_Bhamo"/>
    <s v="Kachin"/>
    <x v="2"/>
    <s v="Man Kawng Catholic Church"/>
    <m/>
    <m/>
    <m/>
    <n v="24"/>
    <n v="25"/>
    <n v="45"/>
    <n v="25"/>
    <n v="45"/>
    <n v="25"/>
    <m/>
    <n v="25"/>
    <n v="83"/>
    <m/>
    <m/>
    <m/>
    <m/>
    <n v="25"/>
    <m/>
    <m/>
    <m/>
    <m/>
    <m/>
    <m/>
    <m/>
    <m/>
    <m/>
    <m/>
    <m/>
    <m/>
    <m/>
    <m/>
    <m/>
    <m/>
    <n v="0"/>
    <m/>
    <m/>
    <m/>
    <s v="MMR001CMP213"/>
    <s v="Data source: KMSS_Bhamo. Data was received when the camps status was changed as &quot;Closed&quot;"/>
  </r>
  <r>
    <x v="6"/>
    <x v="0"/>
    <x v="0"/>
    <s v="KMSS_Bhamo"/>
    <s v="Kachin"/>
    <x v="2"/>
    <s v="Man Kawng Catholic Church"/>
    <m/>
    <m/>
    <m/>
    <n v="24"/>
    <n v="25"/>
    <n v="45"/>
    <n v="25"/>
    <n v="45"/>
    <n v="25"/>
    <m/>
    <n v="25"/>
    <n v="83"/>
    <m/>
    <m/>
    <m/>
    <m/>
    <m/>
    <m/>
    <m/>
    <m/>
    <m/>
    <m/>
    <m/>
    <m/>
    <m/>
    <m/>
    <m/>
    <m/>
    <m/>
    <m/>
    <m/>
    <m/>
    <m/>
    <n v="0"/>
    <m/>
    <m/>
    <m/>
    <s v="MMR001CMP213"/>
    <s v="Data source: KMSS_Bhamo. Data was received when the camps status was changed as &quot;Closed&quot;"/>
  </r>
  <r>
    <x v="7"/>
    <x v="0"/>
    <x v="0"/>
    <s v="KBC"/>
    <s v="Kachin"/>
    <x v="0"/>
    <s v="Maina KBC (Bawng Ring)"/>
    <m/>
    <m/>
    <m/>
    <n v="6"/>
    <n v="6"/>
    <n v="18"/>
    <n v="6"/>
    <n v="24"/>
    <n v="6"/>
    <m/>
    <n v="6"/>
    <n v="24"/>
    <m/>
    <m/>
    <m/>
    <m/>
    <n v="6"/>
    <m/>
    <m/>
    <n v="6"/>
    <m/>
    <m/>
    <m/>
    <m/>
    <m/>
    <m/>
    <m/>
    <m/>
    <m/>
    <m/>
    <m/>
    <m/>
    <m/>
    <n v="0"/>
    <m/>
    <m/>
    <m/>
    <s v="MMR001CMP040"/>
    <s v="Update date: 27/April/2017. Data source: Programme Unit_UNHCR"/>
  </r>
  <r>
    <x v="8"/>
    <x v="0"/>
    <x v="0"/>
    <s v="KMSS_Myitkyina"/>
    <s v="Kachin"/>
    <x v="0"/>
    <s v="Maina Catholic Church (St. Joseph)"/>
    <m/>
    <m/>
    <m/>
    <m/>
    <m/>
    <m/>
    <m/>
    <m/>
    <m/>
    <m/>
    <m/>
    <m/>
    <m/>
    <m/>
    <m/>
    <m/>
    <m/>
    <m/>
    <m/>
    <n v="10"/>
    <m/>
    <m/>
    <m/>
    <m/>
    <m/>
    <m/>
    <m/>
    <m/>
    <m/>
    <m/>
    <m/>
    <m/>
    <m/>
    <n v="0"/>
    <m/>
    <m/>
    <m/>
    <s v="MMR001CMP029"/>
    <s v="Update date: 27/April/2017. Data source: Programme Unit_UNHCR"/>
  </r>
  <r>
    <x v="9"/>
    <x v="0"/>
    <x v="0"/>
    <s v="KMSS_Myitkyina"/>
    <s v="Kachin"/>
    <x v="1"/>
    <s v="Pa Dauk Myaing(Pa La Na)"/>
    <m/>
    <m/>
    <m/>
    <n v="1"/>
    <n v="1"/>
    <n v="3"/>
    <n v="1"/>
    <n v="3"/>
    <n v="1"/>
    <m/>
    <n v="1"/>
    <n v="3"/>
    <m/>
    <m/>
    <m/>
    <m/>
    <n v="1"/>
    <m/>
    <m/>
    <m/>
    <m/>
    <m/>
    <m/>
    <m/>
    <m/>
    <m/>
    <m/>
    <m/>
    <m/>
    <m/>
    <m/>
    <m/>
    <m/>
    <n v="0"/>
    <m/>
    <m/>
    <m/>
    <s v="MMR001CMP162"/>
    <s v="Update date: 24/April/2017. Data source: KMSS_Myitkyina/under Feb_2017_CAR"/>
  </r>
  <r>
    <x v="9"/>
    <x v="0"/>
    <x v="0"/>
    <s v="KMSS_Myitkyina"/>
    <s v="Kachin"/>
    <x v="0"/>
    <s v="Maina Catholic Church (St. Joseph)"/>
    <m/>
    <m/>
    <m/>
    <n v="22"/>
    <n v="22"/>
    <n v="76"/>
    <n v="22"/>
    <n v="76"/>
    <n v="22"/>
    <m/>
    <n v="22"/>
    <n v="76"/>
    <m/>
    <m/>
    <m/>
    <m/>
    <n v="22"/>
    <m/>
    <m/>
    <m/>
    <m/>
    <m/>
    <m/>
    <m/>
    <m/>
    <m/>
    <m/>
    <m/>
    <m/>
    <m/>
    <m/>
    <m/>
    <m/>
    <n v="0"/>
    <m/>
    <m/>
    <m/>
    <s v="MMR001CMP029"/>
    <s v="Update date: 27/April/2017. Data source: Programme Unit_UNHCR"/>
  </r>
  <r>
    <x v="10"/>
    <x v="1"/>
    <x v="0"/>
    <s v="KBC"/>
    <s v="Kachin"/>
    <x v="4"/>
    <s v="Shwe Gu Baptist Church"/>
    <m/>
    <m/>
    <m/>
    <m/>
    <n v="50"/>
    <m/>
    <m/>
    <m/>
    <m/>
    <m/>
    <m/>
    <m/>
    <m/>
    <m/>
    <m/>
    <m/>
    <m/>
    <m/>
    <m/>
    <m/>
    <m/>
    <m/>
    <m/>
    <m/>
    <m/>
    <m/>
    <m/>
    <m/>
    <m/>
    <m/>
    <m/>
    <m/>
    <m/>
    <n v="0"/>
    <m/>
    <m/>
    <m/>
    <s v="MMR001CMP067"/>
    <s v="Update date: 27/April/2017. Data source: Programme Unit_UNHCR"/>
  </r>
  <r>
    <x v="11"/>
    <x v="1"/>
    <x v="0"/>
    <s v="KMSS_Bhamo"/>
    <s v="Kachin"/>
    <x v="2"/>
    <s v="Maing Khaung Catholic Church"/>
    <m/>
    <m/>
    <m/>
    <n v="25"/>
    <n v="25"/>
    <n v="25"/>
    <n v="25"/>
    <n v="45"/>
    <n v="25"/>
    <m/>
    <n v="25"/>
    <n v="83"/>
    <m/>
    <m/>
    <m/>
    <m/>
    <n v="25"/>
    <m/>
    <m/>
    <m/>
    <m/>
    <m/>
    <m/>
    <m/>
    <m/>
    <m/>
    <m/>
    <m/>
    <m/>
    <m/>
    <m/>
    <m/>
    <m/>
    <n v="0"/>
    <m/>
    <m/>
    <m/>
    <s v="MMR001CMP223"/>
    <s v="Update date: 27/April/2017. Data source: Programme Unit_UNHCR"/>
  </r>
  <r>
    <x v="12"/>
    <x v="1"/>
    <x v="0"/>
    <s v="KBC"/>
    <s v="Kachin"/>
    <x v="0"/>
    <s v="Maina KBC (Bawng Ring)"/>
    <m/>
    <m/>
    <m/>
    <n v="17"/>
    <n v="17"/>
    <n v="114"/>
    <n v="17"/>
    <n v="174"/>
    <n v="17"/>
    <m/>
    <n v="17"/>
    <n v="188"/>
    <m/>
    <m/>
    <m/>
    <m/>
    <n v="17"/>
    <m/>
    <m/>
    <n v="49"/>
    <m/>
    <m/>
    <m/>
    <m/>
    <m/>
    <m/>
    <m/>
    <m/>
    <m/>
    <m/>
    <m/>
    <m/>
    <m/>
    <n v="0"/>
    <m/>
    <m/>
    <m/>
    <s v="MMR001CMP040"/>
    <s v="Update date: 27/April/2017. Data source: Programme Unit_UNHCR"/>
  </r>
  <r>
    <x v="13"/>
    <x v="1"/>
    <x v="0"/>
    <s v="KBC"/>
    <s v="Kachin"/>
    <x v="1"/>
    <s v="Shatapru Thida Aye Baptist Church"/>
    <m/>
    <m/>
    <m/>
    <n v="4"/>
    <n v="4"/>
    <n v="10"/>
    <n v="4"/>
    <n v="14"/>
    <n v="4"/>
    <m/>
    <n v="4"/>
    <n v="14"/>
    <m/>
    <m/>
    <m/>
    <m/>
    <n v="4"/>
    <m/>
    <m/>
    <m/>
    <m/>
    <m/>
    <m/>
    <m/>
    <m/>
    <m/>
    <m/>
    <m/>
    <m/>
    <m/>
    <m/>
    <m/>
    <m/>
    <n v="0"/>
    <m/>
    <m/>
    <m/>
    <s v="MMR001CMP007"/>
    <s v="Update date: 27/April/2017. Data source: Programme Unit_UNHCR"/>
  </r>
  <r>
    <x v="13"/>
    <x v="1"/>
    <x v="0"/>
    <s v="KBC"/>
    <s v="Kachin"/>
    <x v="1"/>
    <s v="Njang Dung Baptist Church "/>
    <m/>
    <m/>
    <m/>
    <n v="4"/>
    <n v="4"/>
    <n v="8"/>
    <n v="4"/>
    <n v="11"/>
    <n v="4"/>
    <m/>
    <n v="4"/>
    <n v="11"/>
    <m/>
    <m/>
    <m/>
    <m/>
    <n v="4"/>
    <m/>
    <m/>
    <m/>
    <m/>
    <m/>
    <m/>
    <m/>
    <m/>
    <m/>
    <m/>
    <m/>
    <m/>
    <m/>
    <m/>
    <m/>
    <m/>
    <n v="0"/>
    <m/>
    <m/>
    <m/>
    <s v="MMR001CMP002"/>
    <s v="Update date: 27/April/2017. Data source: Programme Unit_UNHCR"/>
  </r>
  <r>
    <x v="13"/>
    <x v="1"/>
    <x v="0"/>
    <s v="KBC"/>
    <s v="Kachin"/>
    <x v="1"/>
    <s v="Tat Kone Galile Baptist Church"/>
    <m/>
    <m/>
    <m/>
    <n v="1"/>
    <n v="1"/>
    <n v="2"/>
    <n v="1"/>
    <n v="3"/>
    <n v="1"/>
    <m/>
    <n v="1"/>
    <n v="3"/>
    <m/>
    <m/>
    <m/>
    <m/>
    <n v="1"/>
    <m/>
    <m/>
    <m/>
    <m/>
    <m/>
    <m/>
    <m/>
    <m/>
    <m/>
    <m/>
    <m/>
    <m/>
    <m/>
    <m/>
    <m/>
    <m/>
    <n v="0"/>
    <m/>
    <m/>
    <m/>
    <s v="MMR001CMP003"/>
    <s v="Update date: 27/April/2017. Data source: Programme Unit_UNHCR"/>
  </r>
  <r>
    <x v="13"/>
    <x v="1"/>
    <x v="0"/>
    <s v="KBC"/>
    <s v="Kachin"/>
    <x v="1"/>
    <s v="Tat Kone San Pya Baptist Church"/>
    <m/>
    <m/>
    <m/>
    <n v="1"/>
    <n v="1"/>
    <n v="3"/>
    <n v="1"/>
    <n v="4"/>
    <n v="1"/>
    <m/>
    <n v="1"/>
    <n v="4"/>
    <m/>
    <m/>
    <m/>
    <m/>
    <n v="1"/>
    <m/>
    <m/>
    <m/>
    <m/>
    <m/>
    <m/>
    <m/>
    <m/>
    <m/>
    <m/>
    <m/>
    <m/>
    <m/>
    <m/>
    <m/>
    <m/>
    <n v="0"/>
    <m/>
    <m/>
    <m/>
    <s v="MMR001CMP005"/>
    <s v="Update date: 27/April/2017. Data source: Programme Unit_UNHCR"/>
  </r>
  <r>
    <x v="13"/>
    <x v="1"/>
    <x v="0"/>
    <s v="Shalom"/>
    <s v="Kachin"/>
    <x v="5"/>
    <s v="Mu-yin Baptist Church"/>
    <m/>
    <m/>
    <m/>
    <m/>
    <m/>
    <m/>
    <n v="8"/>
    <m/>
    <m/>
    <m/>
    <m/>
    <m/>
    <m/>
    <m/>
    <m/>
    <m/>
    <m/>
    <m/>
    <m/>
    <m/>
    <m/>
    <m/>
    <m/>
    <m/>
    <m/>
    <m/>
    <m/>
    <m/>
    <m/>
    <m/>
    <m/>
    <m/>
    <m/>
    <n v="0"/>
    <m/>
    <m/>
    <m/>
    <s v="MMR001CMP051"/>
    <s v="Update date: 27/April/2017. Data source: Programme Unit_UNHCR"/>
  </r>
  <r>
    <x v="14"/>
    <x v="1"/>
    <x v="0"/>
    <s v="KBC"/>
    <s v="Kachin"/>
    <x v="1"/>
    <s v="Le Kone Bethlehem Church"/>
    <m/>
    <m/>
    <m/>
    <n v="3"/>
    <n v="3"/>
    <n v="5"/>
    <n v="3"/>
    <n v="8"/>
    <n v="3"/>
    <m/>
    <n v="3"/>
    <n v="8"/>
    <m/>
    <m/>
    <m/>
    <m/>
    <n v="3"/>
    <m/>
    <m/>
    <m/>
    <m/>
    <m/>
    <m/>
    <m/>
    <m/>
    <m/>
    <m/>
    <m/>
    <m/>
    <m/>
    <m/>
    <m/>
    <m/>
    <n v="0"/>
    <m/>
    <m/>
    <m/>
    <s v="MMR001CMP015"/>
    <s v="Update date: 27/April/2017. Data source: Programme Unit_UNHCR"/>
  </r>
  <r>
    <x v="14"/>
    <x v="1"/>
    <x v="0"/>
    <s v="KBC"/>
    <s v="Kachin"/>
    <x v="1"/>
    <s v="Jan Mai Kawng Baptist Church"/>
    <m/>
    <m/>
    <m/>
    <n v="1"/>
    <n v="1"/>
    <n v="2"/>
    <n v="1"/>
    <n v="3"/>
    <n v="1"/>
    <m/>
    <n v="1"/>
    <n v="3"/>
    <m/>
    <m/>
    <m/>
    <m/>
    <n v="1"/>
    <m/>
    <m/>
    <m/>
    <m/>
    <m/>
    <m/>
    <m/>
    <m/>
    <m/>
    <m/>
    <m/>
    <m/>
    <m/>
    <m/>
    <m/>
    <m/>
    <n v="0"/>
    <m/>
    <m/>
    <m/>
    <s v="MMR001CMP018"/>
    <s v="Update date: 27/April/2017. Data source: Programme Unit_UNHCR"/>
  </r>
  <r>
    <x v="14"/>
    <x v="1"/>
    <x v="0"/>
    <s v="KBC"/>
    <s v="Kachin"/>
    <x v="1"/>
    <s v="Kyun Pin Thar Baptist Church"/>
    <m/>
    <m/>
    <m/>
    <n v="3"/>
    <n v="3"/>
    <n v="9"/>
    <n v="3"/>
    <n v="17"/>
    <n v="3"/>
    <m/>
    <n v="3"/>
    <n v="17"/>
    <m/>
    <m/>
    <m/>
    <m/>
    <n v="3"/>
    <m/>
    <m/>
    <m/>
    <m/>
    <m/>
    <m/>
    <m/>
    <m/>
    <m/>
    <m/>
    <m/>
    <m/>
    <m/>
    <m/>
    <m/>
    <m/>
    <n v="0"/>
    <m/>
    <m/>
    <m/>
    <s v="MMR001CMP013"/>
    <s v="Update date: 27/April/2017. Data source: Programme Unit_UNHCR"/>
  </r>
  <r>
    <x v="14"/>
    <x v="1"/>
    <x v="0"/>
    <s v="KBC"/>
    <s v="Kachin"/>
    <x v="1"/>
    <s v="Man Hkring Baptist Church"/>
    <m/>
    <m/>
    <m/>
    <n v="1"/>
    <n v="1"/>
    <n v="2"/>
    <n v="1"/>
    <n v="3"/>
    <n v="1"/>
    <m/>
    <n v="1"/>
    <n v="3"/>
    <m/>
    <m/>
    <m/>
    <m/>
    <n v="1"/>
    <m/>
    <m/>
    <m/>
    <m/>
    <m/>
    <m/>
    <m/>
    <m/>
    <m/>
    <m/>
    <m/>
    <m/>
    <m/>
    <m/>
    <m/>
    <m/>
    <n v="0"/>
    <m/>
    <m/>
    <m/>
    <s v="MMR001CMP008"/>
    <s v="Update date: 27/April/2017. Data source: Programme Unit_UNHCR"/>
  </r>
  <r>
    <x v="14"/>
    <x v="1"/>
    <x v="0"/>
    <s v="KBC"/>
    <s v="Kachin"/>
    <x v="1"/>
    <s v="Maliyang Baptist Church"/>
    <m/>
    <m/>
    <m/>
    <n v="1"/>
    <n v="1"/>
    <n v="2"/>
    <n v="1"/>
    <n v="3"/>
    <n v="1"/>
    <m/>
    <n v="1"/>
    <n v="3"/>
    <m/>
    <m/>
    <m/>
    <m/>
    <n v="1"/>
    <m/>
    <m/>
    <m/>
    <m/>
    <m/>
    <m/>
    <m/>
    <m/>
    <m/>
    <m/>
    <m/>
    <m/>
    <m/>
    <m/>
    <m/>
    <m/>
    <n v="0"/>
    <m/>
    <m/>
    <m/>
    <s v="MMR001CMP016"/>
    <s v="Update date: 27/April/2017. Data source: Programme Unit_UNHCR"/>
  </r>
  <r>
    <x v="15"/>
    <x v="1"/>
    <x v="0"/>
    <s v="KBC"/>
    <s v="Kachin"/>
    <x v="2"/>
    <s v="Maing Khaung"/>
    <m/>
    <m/>
    <m/>
    <n v="4"/>
    <n v="4"/>
    <n v="7"/>
    <n v="4"/>
    <n v="7"/>
    <n v="4"/>
    <m/>
    <n v="4"/>
    <n v="14"/>
    <m/>
    <m/>
    <m/>
    <m/>
    <n v="4"/>
    <m/>
    <m/>
    <m/>
    <m/>
    <m/>
    <m/>
    <m/>
    <m/>
    <m/>
    <m/>
    <m/>
    <m/>
    <m/>
    <m/>
    <m/>
    <m/>
    <n v="0"/>
    <m/>
    <m/>
    <m/>
    <s v="MMR001CMP218"/>
    <s v="Update date: 27/April/2017. Data source: Programme Unit_UNHCR"/>
  </r>
  <r>
    <x v="15"/>
    <x v="1"/>
    <x v="1"/>
    <s v="Solidarites"/>
    <s v="Kachin"/>
    <x v="2"/>
    <s v="Maing Khaung"/>
    <m/>
    <n v="2"/>
    <m/>
    <m/>
    <n v="18"/>
    <m/>
    <m/>
    <m/>
    <m/>
    <m/>
    <n v="2"/>
    <m/>
    <m/>
    <m/>
    <m/>
    <m/>
    <n v="2"/>
    <m/>
    <m/>
    <m/>
    <m/>
    <m/>
    <m/>
    <m/>
    <m/>
    <m/>
    <m/>
    <m/>
    <m/>
    <m/>
    <m/>
    <m/>
    <m/>
    <n v="0"/>
    <m/>
    <m/>
    <m/>
    <s v="MMR001CMP218"/>
    <s v="Update date: 15/May/2017. Data source: SI and confirmed by CCCM unit."/>
  </r>
  <r>
    <x v="15"/>
    <x v="1"/>
    <x v="0"/>
    <s v="KMSS_Bhamo"/>
    <s v="Kachin"/>
    <x v="2"/>
    <s v="Maing Khaung Catholic Church"/>
    <m/>
    <m/>
    <m/>
    <n v="1"/>
    <n v="1"/>
    <n v="2"/>
    <n v="1"/>
    <n v="2"/>
    <n v="1"/>
    <m/>
    <n v="1"/>
    <n v="3"/>
    <m/>
    <m/>
    <m/>
    <m/>
    <n v="1"/>
    <m/>
    <m/>
    <m/>
    <m/>
    <m/>
    <m/>
    <m/>
    <m/>
    <m/>
    <m/>
    <m/>
    <m/>
    <m/>
    <m/>
    <m/>
    <m/>
    <n v="0"/>
    <m/>
    <m/>
    <m/>
    <s v="MMR001CMP223"/>
    <s v="Update date: 27/April/2017. Data source: Programme Unit_UNHCR"/>
  </r>
  <r>
    <x v="16"/>
    <x v="1"/>
    <x v="0"/>
    <s v="KBC"/>
    <s v="Kachin"/>
    <x v="6"/>
    <s v="Shar Du Zut KBC church "/>
    <m/>
    <m/>
    <m/>
    <m/>
    <m/>
    <m/>
    <m/>
    <m/>
    <m/>
    <m/>
    <m/>
    <m/>
    <n v="62"/>
    <n v="33"/>
    <m/>
    <m/>
    <m/>
    <m/>
    <m/>
    <m/>
    <m/>
    <m/>
    <m/>
    <m/>
    <m/>
    <m/>
    <m/>
    <m/>
    <m/>
    <m/>
    <m/>
    <m/>
    <m/>
    <n v="1"/>
    <m/>
    <m/>
    <m/>
    <s v="MMR001CMP244"/>
    <s v="Update date: 27/April/2017. Data source: Programme Unit_UNHCR"/>
  </r>
  <r>
    <x v="17"/>
    <x v="2"/>
    <x v="1"/>
    <s v="Solidarites"/>
    <s v="Kachin"/>
    <x v="0"/>
    <s v="Hka Shi"/>
    <m/>
    <n v="55"/>
    <m/>
    <m/>
    <n v="495"/>
    <m/>
    <m/>
    <m/>
    <m/>
    <m/>
    <n v="55"/>
    <m/>
    <m/>
    <m/>
    <m/>
    <m/>
    <n v="55"/>
    <m/>
    <m/>
    <m/>
    <m/>
    <m/>
    <m/>
    <m/>
    <m/>
    <m/>
    <m/>
    <m/>
    <m/>
    <m/>
    <m/>
    <m/>
    <m/>
    <n v="0"/>
    <m/>
    <m/>
    <m/>
    <s v="MMR001CMP248"/>
    <s v="Update date: 15/May/2017. Data source: SI "/>
  </r>
  <r>
    <x v="17"/>
    <x v="2"/>
    <x v="1"/>
    <s v="Solidarites"/>
    <s v="Kachin"/>
    <x v="0"/>
    <s v="Sadung"/>
    <m/>
    <n v="91"/>
    <m/>
    <n v="92"/>
    <n v="546"/>
    <n v="184"/>
    <n v="170"/>
    <n v="184"/>
    <m/>
    <m/>
    <n v="91"/>
    <n v="184"/>
    <m/>
    <m/>
    <m/>
    <m/>
    <n v="91"/>
    <m/>
    <n v="85"/>
    <m/>
    <m/>
    <m/>
    <m/>
    <m/>
    <m/>
    <m/>
    <m/>
    <m/>
    <m/>
    <m/>
    <m/>
    <m/>
    <m/>
    <n v="0"/>
    <m/>
    <m/>
    <m/>
    <s v="MMR001CMP258"/>
    <s v="Update date: 15/May/2017. Data source: SI (IDP site)"/>
  </r>
  <r>
    <x v="18"/>
    <x v="2"/>
    <x v="1"/>
    <s v="Solidarites"/>
    <s v="Kachin"/>
    <x v="3"/>
    <s v="Hpun Lum Yang "/>
    <m/>
    <m/>
    <m/>
    <n v="8"/>
    <m/>
    <n v="16"/>
    <m/>
    <n v="16"/>
    <m/>
    <m/>
    <m/>
    <n v="16"/>
    <m/>
    <m/>
    <m/>
    <m/>
    <m/>
    <m/>
    <m/>
    <m/>
    <m/>
    <m/>
    <m/>
    <m/>
    <m/>
    <m/>
    <m/>
    <m/>
    <m/>
    <m/>
    <m/>
    <m/>
    <m/>
    <n v="0"/>
    <m/>
    <m/>
    <m/>
    <s v="MMR001CMP122"/>
    <s v="Update date: 15/May/2017. Data source: SI "/>
  </r>
  <r>
    <x v="18"/>
    <x v="2"/>
    <x v="1"/>
    <s v="Solidarites"/>
    <s v="Kachin"/>
    <x v="0"/>
    <s v="Je Yang Hka "/>
    <m/>
    <m/>
    <m/>
    <n v="6"/>
    <m/>
    <n v="12"/>
    <m/>
    <n v="12"/>
    <m/>
    <m/>
    <m/>
    <n v="12"/>
    <m/>
    <m/>
    <m/>
    <m/>
    <m/>
    <m/>
    <m/>
    <m/>
    <m/>
    <m/>
    <m/>
    <m/>
    <m/>
    <m/>
    <m/>
    <m/>
    <m/>
    <m/>
    <m/>
    <m/>
    <m/>
    <n v="0"/>
    <m/>
    <m/>
    <m/>
    <s v="MMR001CMP121"/>
    <s v="Update date: 15/May/2017. Data source: SI "/>
  </r>
  <r>
    <x v="19"/>
    <x v="2"/>
    <x v="0"/>
    <s v="Shalom"/>
    <s v="Kachin"/>
    <x v="7"/>
    <s v="Chipwi KBC camp"/>
    <m/>
    <m/>
    <m/>
    <m/>
    <m/>
    <m/>
    <m/>
    <m/>
    <m/>
    <m/>
    <m/>
    <m/>
    <n v="79"/>
    <n v="152"/>
    <m/>
    <m/>
    <m/>
    <m/>
    <m/>
    <m/>
    <m/>
    <m/>
    <m/>
    <m/>
    <m/>
    <m/>
    <m/>
    <m/>
    <m/>
    <m/>
    <m/>
    <m/>
    <m/>
    <n v="1"/>
    <m/>
    <m/>
    <m/>
    <s v="MMR001CMP042"/>
    <s v="3/May/2017: Update NFI distribution data. Data source: Shalom (CAR_March data)"/>
  </r>
  <r>
    <x v="19"/>
    <x v="2"/>
    <x v="1"/>
    <s v="Solidarites"/>
    <s v="Kachin"/>
    <x v="0"/>
    <s v="Woi Chyai "/>
    <m/>
    <m/>
    <m/>
    <n v="6"/>
    <m/>
    <n v="12"/>
    <m/>
    <n v="12"/>
    <m/>
    <m/>
    <m/>
    <n v="12"/>
    <m/>
    <m/>
    <m/>
    <m/>
    <m/>
    <m/>
    <m/>
    <m/>
    <m/>
    <m/>
    <m/>
    <m/>
    <m/>
    <m/>
    <m/>
    <m/>
    <m/>
    <m/>
    <m/>
    <m/>
    <m/>
    <n v="0"/>
    <m/>
    <m/>
    <m/>
    <s v="MMR001CMP116"/>
    <s v="Update date: 15/May/2017. Data source: SI "/>
  </r>
  <r>
    <x v="20"/>
    <x v="2"/>
    <x v="0"/>
    <s v="Shalom"/>
    <s v="Kachin"/>
    <x v="7"/>
    <s v="Lhaovao Baptist Church (LBC)"/>
    <m/>
    <m/>
    <m/>
    <m/>
    <m/>
    <m/>
    <m/>
    <m/>
    <m/>
    <m/>
    <m/>
    <m/>
    <n v="97"/>
    <n v="203"/>
    <m/>
    <m/>
    <m/>
    <m/>
    <m/>
    <m/>
    <m/>
    <m/>
    <m/>
    <m/>
    <m/>
    <m/>
    <m/>
    <m/>
    <m/>
    <m/>
    <m/>
    <m/>
    <m/>
    <n v="1"/>
    <m/>
    <m/>
    <m/>
    <s v="MMR001CMP195"/>
    <s v="3/May/2017: Update NFI distribution data. Data source: Shalom (CAR_March data)"/>
  </r>
  <r>
    <x v="21"/>
    <x v="2"/>
    <x v="0"/>
    <s v="KBC"/>
    <s v="Kachin"/>
    <x v="8"/>
    <s v="Ndup Yang"/>
    <m/>
    <m/>
    <m/>
    <m/>
    <m/>
    <m/>
    <m/>
    <n v="292"/>
    <m/>
    <m/>
    <m/>
    <m/>
    <m/>
    <m/>
    <m/>
    <m/>
    <m/>
    <m/>
    <m/>
    <m/>
    <m/>
    <m/>
    <m/>
    <m/>
    <m/>
    <m/>
    <m/>
    <m/>
    <m/>
    <m/>
    <m/>
    <m/>
    <m/>
    <n v="0"/>
    <m/>
    <m/>
    <m/>
    <s v="MMR001CMP238"/>
    <s v="2/June/2017: Update blanket data. Data source: KBC"/>
  </r>
  <r>
    <x v="22"/>
    <x v="2"/>
    <x v="0"/>
    <s v="KBC"/>
    <s v="Kachin"/>
    <x v="8"/>
    <s v="Salang Yang"/>
    <m/>
    <m/>
    <m/>
    <m/>
    <m/>
    <m/>
    <m/>
    <n v="134"/>
    <m/>
    <m/>
    <m/>
    <m/>
    <m/>
    <m/>
    <m/>
    <m/>
    <m/>
    <m/>
    <m/>
    <m/>
    <m/>
    <m/>
    <m/>
    <m/>
    <m/>
    <m/>
    <m/>
    <m/>
    <m/>
    <m/>
    <m/>
    <m/>
    <m/>
    <n v="0"/>
    <m/>
    <m/>
    <m/>
    <s v="MMR001CMP239"/>
    <s v="2/June/2017: Update blanket data. Data source: KBC"/>
  </r>
  <r>
    <x v="23"/>
    <x v="2"/>
    <x v="0"/>
    <s v="Shalom"/>
    <s v="Kachin"/>
    <x v="0"/>
    <s v="Nawng Hee Village"/>
    <m/>
    <m/>
    <m/>
    <n v="5"/>
    <n v="5"/>
    <n v="10"/>
    <n v="5"/>
    <n v="10"/>
    <n v="5"/>
    <m/>
    <n v="5"/>
    <n v="28"/>
    <m/>
    <m/>
    <m/>
    <m/>
    <n v="5"/>
    <m/>
    <m/>
    <m/>
    <m/>
    <m/>
    <m/>
    <m/>
    <m/>
    <m/>
    <m/>
    <m/>
    <m/>
    <m/>
    <m/>
    <m/>
    <m/>
    <n v="0"/>
    <m/>
    <m/>
    <m/>
    <s v="MMR001CMP033"/>
    <s v="3/May/2017: Update NFI distribution data. Data source: Shalom (CAR_March data)"/>
  </r>
  <r>
    <x v="24"/>
    <x v="2"/>
    <x v="2"/>
    <s v="NRC"/>
    <s v="Shan_North"/>
    <x v="9"/>
    <s v="Kutkai downtown (RC Church)"/>
    <m/>
    <m/>
    <m/>
    <m/>
    <m/>
    <m/>
    <m/>
    <m/>
    <m/>
    <m/>
    <m/>
    <m/>
    <n v="540"/>
    <m/>
    <m/>
    <n v="135"/>
    <m/>
    <m/>
    <m/>
    <m/>
    <m/>
    <m/>
    <m/>
    <m/>
    <m/>
    <m/>
    <m/>
    <m/>
    <m/>
    <m/>
    <m/>
    <m/>
    <m/>
    <n v="1"/>
    <m/>
    <m/>
    <m/>
    <s v="MMR015CMP017"/>
    <s v="Update date: 16/May/2017. Data source: NRC"/>
  </r>
  <r>
    <x v="25"/>
    <x v="3"/>
    <x v="2"/>
    <s v="NRC"/>
    <s v="Kachin"/>
    <x v="2"/>
    <s v="Maing Khaung Catholic Church"/>
    <m/>
    <m/>
    <m/>
    <m/>
    <m/>
    <m/>
    <m/>
    <m/>
    <m/>
    <m/>
    <m/>
    <m/>
    <n v="144"/>
    <m/>
    <m/>
    <n v="36"/>
    <m/>
    <m/>
    <m/>
    <m/>
    <m/>
    <m/>
    <m/>
    <m/>
    <m/>
    <m/>
    <m/>
    <m/>
    <m/>
    <m/>
    <m/>
    <m/>
    <m/>
    <n v="1"/>
    <m/>
    <m/>
    <m/>
    <s v="MMR001CMP223"/>
    <s v="Update date: 16/May/2017. Data source: NRC"/>
  </r>
  <r>
    <x v="26"/>
    <x v="3"/>
    <x v="0"/>
    <s v="Shalom"/>
    <s v="Kachin"/>
    <x v="0"/>
    <s v="Qtr. 2 Lhaovo Baptist Church"/>
    <m/>
    <m/>
    <m/>
    <n v="17"/>
    <n v="17"/>
    <n v="58"/>
    <n v="17"/>
    <n v="58"/>
    <n v="17"/>
    <m/>
    <n v="17"/>
    <n v="76"/>
    <m/>
    <m/>
    <m/>
    <m/>
    <n v="17"/>
    <m/>
    <m/>
    <n v="15"/>
    <m/>
    <m/>
    <m/>
    <m/>
    <m/>
    <m/>
    <m/>
    <m/>
    <m/>
    <m/>
    <m/>
    <m/>
    <m/>
    <n v="0"/>
    <m/>
    <m/>
    <m/>
    <s v="MMR001CMP032"/>
    <s v="Update date: 2/June/2017. Data source: CAR_April"/>
  </r>
  <r>
    <x v="27"/>
    <x v="3"/>
    <x v="1"/>
    <s v="Solidarites"/>
    <s v="Kachin"/>
    <x v="0"/>
    <s v="Qtr. 2 Lhaovo Baptist Church"/>
    <m/>
    <n v="10"/>
    <m/>
    <m/>
    <n v="90"/>
    <m/>
    <m/>
    <m/>
    <m/>
    <m/>
    <n v="10"/>
    <m/>
    <m/>
    <m/>
    <m/>
    <m/>
    <n v="10"/>
    <m/>
    <m/>
    <m/>
    <m/>
    <m/>
    <m/>
    <m/>
    <m/>
    <m/>
    <m/>
    <m/>
    <m/>
    <m/>
    <m/>
    <m/>
    <m/>
    <n v="0"/>
    <m/>
    <m/>
    <m/>
    <s v="MMR001CMP032"/>
    <s v="Update date: 15/May/2017. Data source: SI "/>
  </r>
  <r>
    <x v="28"/>
    <x v="4"/>
    <x v="0"/>
    <s v="Shalom"/>
    <s v="Kachin"/>
    <x v="0"/>
    <s v="Hkat Cho "/>
    <m/>
    <m/>
    <m/>
    <n v="3"/>
    <n v="3"/>
    <n v="9"/>
    <n v="3"/>
    <n v="10"/>
    <n v="5"/>
    <m/>
    <n v="5"/>
    <n v="28"/>
    <m/>
    <m/>
    <m/>
    <m/>
    <m/>
    <m/>
    <m/>
    <m/>
    <m/>
    <m/>
    <m/>
    <m/>
    <m/>
    <m/>
    <m/>
    <m/>
    <m/>
    <m/>
    <m/>
    <m/>
    <m/>
    <n v="0"/>
    <m/>
    <m/>
    <m/>
    <s v="MMR001CMP028"/>
    <m/>
  </r>
  <r>
    <x v="28"/>
    <x v="4"/>
    <x v="0"/>
    <s v="Shalom"/>
    <s v="Kachin"/>
    <x v="0"/>
    <s v="Thargaya Lisu Baptist Church"/>
    <m/>
    <m/>
    <m/>
    <n v="1"/>
    <n v="1"/>
    <n v="3"/>
    <n v="1"/>
    <n v="3"/>
    <n v="1"/>
    <m/>
    <n v="1"/>
    <n v="3"/>
    <m/>
    <m/>
    <m/>
    <m/>
    <m/>
    <m/>
    <m/>
    <m/>
    <m/>
    <m/>
    <m/>
    <m/>
    <m/>
    <m/>
    <m/>
    <m/>
    <m/>
    <m/>
    <m/>
    <m/>
    <m/>
    <n v="0"/>
    <m/>
    <m/>
    <m/>
    <s v="MMR001CMP037"/>
    <m/>
  </r>
  <r>
    <x v="28"/>
    <x v="4"/>
    <x v="0"/>
    <s v="Shalom"/>
    <s v="Kachin"/>
    <x v="0"/>
    <s v="Nawng Hee Village"/>
    <m/>
    <m/>
    <m/>
    <n v="1"/>
    <n v="1"/>
    <n v="2"/>
    <n v="1"/>
    <n v="2"/>
    <n v="1"/>
    <m/>
    <n v="1"/>
    <n v="3"/>
    <m/>
    <m/>
    <m/>
    <m/>
    <m/>
    <m/>
    <m/>
    <m/>
    <m/>
    <m/>
    <m/>
    <m/>
    <m/>
    <m/>
    <m/>
    <m/>
    <m/>
    <m/>
    <m/>
    <m/>
    <m/>
    <n v="0"/>
    <m/>
    <m/>
    <m/>
    <s v="MMR001CMP033"/>
    <m/>
  </r>
  <r>
    <x v="28"/>
    <x v="4"/>
    <x v="0"/>
    <s v="Shalom"/>
    <s v="Kachin"/>
    <x v="0"/>
    <s v="Waingmaw AG Church"/>
    <m/>
    <m/>
    <m/>
    <n v="2"/>
    <n v="2"/>
    <n v="7"/>
    <n v="6"/>
    <n v="7"/>
    <n v="2"/>
    <m/>
    <n v="2"/>
    <n v="9"/>
    <m/>
    <m/>
    <m/>
    <m/>
    <m/>
    <m/>
    <m/>
    <m/>
    <m/>
    <m/>
    <m/>
    <m/>
    <m/>
    <m/>
    <m/>
    <m/>
    <m/>
    <m/>
    <m/>
    <m/>
    <m/>
    <n v="0"/>
    <m/>
    <m/>
    <m/>
    <s v="MMR001CMP038"/>
    <m/>
  </r>
  <r>
    <x v="29"/>
    <x v="4"/>
    <x v="2"/>
    <s v="NRC"/>
    <s v="Kachin"/>
    <x v="5"/>
    <s v="Pang Hkawng Yang"/>
    <m/>
    <m/>
    <m/>
    <m/>
    <m/>
    <n v="54"/>
    <n v="6"/>
    <n v="108"/>
    <n v="54"/>
    <m/>
    <m/>
    <n v="54"/>
    <m/>
    <m/>
    <m/>
    <m/>
    <m/>
    <m/>
    <m/>
    <m/>
    <m/>
    <m/>
    <m/>
    <m/>
    <m/>
    <m/>
    <m/>
    <m/>
    <m/>
    <m/>
    <m/>
    <m/>
    <m/>
    <n v="0"/>
    <m/>
    <m/>
    <m/>
    <s v=""/>
    <s v="Update date: 3/Jul/2017. Data source NRC. Distribution for Storm affected villages."/>
  </r>
  <r>
    <x v="30"/>
    <x v="4"/>
    <x v="2"/>
    <s v="NRC"/>
    <s v="Kachin"/>
    <x v="2"/>
    <s v="Man Kawng Catholic Church"/>
    <m/>
    <m/>
    <m/>
    <m/>
    <m/>
    <m/>
    <m/>
    <n v="350"/>
    <n v="38"/>
    <m/>
    <m/>
    <n v="175"/>
    <m/>
    <m/>
    <m/>
    <m/>
    <m/>
    <m/>
    <m/>
    <m/>
    <m/>
    <m/>
    <m/>
    <m/>
    <m/>
    <m/>
    <m/>
    <m/>
    <m/>
    <m/>
    <m/>
    <m/>
    <m/>
    <n v="0"/>
    <m/>
    <m/>
    <m/>
    <s v="MMR001CMP213"/>
    <m/>
  </r>
  <r>
    <x v="31"/>
    <x v="4"/>
    <x v="2"/>
    <s v="NRC"/>
    <s v="Shan_North"/>
    <x v="10"/>
    <s v="Nam Sa Larp"/>
    <m/>
    <m/>
    <m/>
    <m/>
    <m/>
    <n v="57"/>
    <m/>
    <m/>
    <n v="57"/>
    <m/>
    <m/>
    <n v="57"/>
    <m/>
    <m/>
    <m/>
    <m/>
    <m/>
    <m/>
    <m/>
    <m/>
    <m/>
    <m/>
    <m/>
    <m/>
    <m/>
    <m/>
    <m/>
    <m/>
    <m/>
    <m/>
    <m/>
    <m/>
    <m/>
    <n v="0"/>
    <m/>
    <m/>
    <m/>
    <s v="MMR015CMP218"/>
    <s v="3/Jul/2017: Updated NFI distribution. Data source NRC."/>
  </r>
  <r>
    <x v="32"/>
    <x v="4"/>
    <x v="2"/>
    <s v="NRC"/>
    <s v="Shan_North"/>
    <x v="9"/>
    <s v="Kutkai downtown (KBC Church-2)"/>
    <m/>
    <m/>
    <m/>
    <m/>
    <m/>
    <n v="46"/>
    <n v="12"/>
    <n v="92"/>
    <n v="46"/>
    <m/>
    <m/>
    <n v="46"/>
    <m/>
    <m/>
    <m/>
    <m/>
    <m/>
    <m/>
    <m/>
    <m/>
    <m/>
    <m/>
    <m/>
    <m/>
    <m/>
    <m/>
    <m/>
    <m/>
    <m/>
    <m/>
    <m/>
    <m/>
    <m/>
    <n v="0"/>
    <m/>
    <m/>
    <m/>
    <s v="MMR015CMP245"/>
    <s v="3/Jul/2017: Updated NFI distribution. Data source NRC."/>
  </r>
  <r>
    <x v="33"/>
    <x v="4"/>
    <x v="2"/>
    <s v="NRC"/>
    <s v="Shan_North"/>
    <x v="9"/>
    <s v="Man Loi"/>
    <m/>
    <m/>
    <m/>
    <m/>
    <m/>
    <n v="24"/>
    <n v="9"/>
    <n v="48"/>
    <n v="24"/>
    <m/>
    <m/>
    <n v="24"/>
    <m/>
    <m/>
    <m/>
    <m/>
    <m/>
    <m/>
    <m/>
    <m/>
    <m/>
    <m/>
    <m/>
    <m/>
    <m/>
    <m/>
    <m/>
    <m/>
    <m/>
    <m/>
    <m/>
    <m/>
    <m/>
    <n v="0"/>
    <m/>
    <m/>
    <m/>
    <s v="MMR015CMP246"/>
    <s v="3/Jul/2017: Updated NFI distribution. Data source NRC."/>
  </r>
  <r>
    <x v="33"/>
    <x v="4"/>
    <x v="2"/>
    <s v="NRC"/>
    <s v="Shan_North"/>
    <x v="9"/>
    <s v="Kutkai downtown (KBC Church-2)"/>
    <m/>
    <m/>
    <m/>
    <m/>
    <m/>
    <m/>
    <n v="24"/>
    <m/>
    <m/>
    <m/>
    <m/>
    <m/>
    <m/>
    <m/>
    <m/>
    <m/>
    <m/>
    <m/>
    <m/>
    <m/>
    <m/>
    <m/>
    <m/>
    <m/>
    <m/>
    <m/>
    <m/>
    <m/>
    <m/>
    <m/>
    <m/>
    <m/>
    <m/>
    <n v="0"/>
    <m/>
    <m/>
    <m/>
    <s v="MMR015CMP245"/>
    <m/>
  </r>
  <r>
    <x v="34"/>
    <x v="4"/>
    <x v="2"/>
    <s v="NRC"/>
    <s v="Shan_North"/>
    <x v="9"/>
    <s v="Mai Yu Lay New (Ta'ang)"/>
    <m/>
    <m/>
    <m/>
    <m/>
    <m/>
    <n v="143"/>
    <n v="62"/>
    <n v="286"/>
    <n v="143"/>
    <m/>
    <m/>
    <n v="143"/>
    <m/>
    <m/>
    <m/>
    <m/>
    <m/>
    <m/>
    <m/>
    <m/>
    <m/>
    <m/>
    <m/>
    <m/>
    <m/>
    <m/>
    <m/>
    <m/>
    <m/>
    <m/>
    <m/>
    <m/>
    <m/>
    <n v="0"/>
    <m/>
    <m/>
    <m/>
    <s v="MMR015CMP220"/>
    <s v="3/Jul/2017: Updated NFI distribution. Data source NRC."/>
  </r>
  <r>
    <x v="35"/>
    <x v="4"/>
    <x v="2"/>
    <s v="NRC"/>
    <s v="Shan_North"/>
    <x v="11"/>
    <s v="Nam Tu Baptist"/>
    <m/>
    <m/>
    <m/>
    <m/>
    <m/>
    <n v="46"/>
    <n v="9"/>
    <n v="46"/>
    <n v="46"/>
    <m/>
    <m/>
    <n v="46"/>
    <m/>
    <m/>
    <m/>
    <m/>
    <m/>
    <m/>
    <m/>
    <m/>
    <m/>
    <m/>
    <m/>
    <m/>
    <m/>
    <m/>
    <m/>
    <m/>
    <m/>
    <m/>
    <m/>
    <m/>
    <m/>
    <n v="0"/>
    <m/>
    <m/>
    <m/>
    <s v="MMR015CMP014"/>
    <s v="3/Jul/2017: Updated NFI distribution. Data source NRC."/>
  </r>
  <r>
    <x v="35"/>
    <x v="4"/>
    <x v="2"/>
    <s v="NRC"/>
    <s v="Shan_North"/>
    <x v="11"/>
    <s v="Lisu Church Namtu"/>
    <m/>
    <m/>
    <m/>
    <m/>
    <m/>
    <n v="25"/>
    <n v="5"/>
    <n v="25"/>
    <n v="25"/>
    <m/>
    <m/>
    <n v="25"/>
    <m/>
    <m/>
    <m/>
    <m/>
    <m/>
    <m/>
    <m/>
    <m/>
    <m/>
    <m/>
    <m/>
    <m/>
    <m/>
    <m/>
    <m/>
    <m/>
    <m/>
    <m/>
    <m/>
    <m/>
    <m/>
    <n v="0"/>
    <m/>
    <m/>
    <m/>
    <s v="MMR015CMP232"/>
    <s v="3/Jul/2017: Updated NFI distribution. Data source NRC."/>
  </r>
  <r>
    <x v="35"/>
    <x v="4"/>
    <x v="2"/>
    <s v="NRC"/>
    <s v="Shan_North"/>
    <x v="11"/>
    <s v="Pan Ta Pyae"/>
    <m/>
    <m/>
    <m/>
    <m/>
    <m/>
    <n v="16"/>
    <n v="3"/>
    <n v="16"/>
    <n v="16"/>
    <m/>
    <m/>
    <n v="16"/>
    <m/>
    <m/>
    <m/>
    <m/>
    <m/>
    <m/>
    <m/>
    <m/>
    <m/>
    <m/>
    <m/>
    <m/>
    <m/>
    <m/>
    <m/>
    <m/>
    <m/>
    <m/>
    <m/>
    <m/>
    <m/>
    <n v="0"/>
    <m/>
    <m/>
    <m/>
    <s v="MMR015CMP221"/>
    <s v="3/Jul/2017: Updated NFI distribution. Data source NRC."/>
  </r>
  <r>
    <x v="35"/>
    <x v="4"/>
    <x v="2"/>
    <s v="NRC"/>
    <s v="Shan_North"/>
    <x v="11"/>
    <s v="Kyu Sot"/>
    <m/>
    <m/>
    <m/>
    <m/>
    <m/>
    <n v="60"/>
    <m/>
    <n v="60"/>
    <n v="60"/>
    <m/>
    <m/>
    <n v="60"/>
    <m/>
    <m/>
    <m/>
    <m/>
    <m/>
    <m/>
    <m/>
    <m/>
    <m/>
    <m/>
    <m/>
    <m/>
    <m/>
    <m/>
    <m/>
    <m/>
    <m/>
    <m/>
    <m/>
    <m/>
    <m/>
    <n v="0"/>
    <m/>
    <m/>
    <m/>
    <s v="MMR015CMP248"/>
    <s v="3/Jul/2017: Updated NFI distribution. Data source NRC."/>
  </r>
  <r>
    <x v="36"/>
    <x v="5"/>
    <x v="2"/>
    <s v="KBC"/>
    <s v="Kachin"/>
    <x v="5"/>
    <s v="Host Families"/>
    <m/>
    <m/>
    <m/>
    <m/>
    <m/>
    <n v="79"/>
    <m/>
    <n v="158"/>
    <n v="79"/>
    <m/>
    <m/>
    <n v="79"/>
    <m/>
    <m/>
    <m/>
    <m/>
    <m/>
    <m/>
    <m/>
    <m/>
    <m/>
    <m/>
    <m/>
    <m/>
    <m/>
    <m/>
    <m/>
    <m/>
    <m/>
    <m/>
    <m/>
    <m/>
    <m/>
    <n v="0"/>
    <m/>
    <m/>
    <m/>
    <s v="MMR001CMP163"/>
    <m/>
  </r>
  <r>
    <x v="37"/>
    <x v="5"/>
    <x v="2"/>
    <s v="KBC"/>
    <s v="Kachin"/>
    <x v="2"/>
    <s v="Man Wing Catholic Church II"/>
    <m/>
    <m/>
    <m/>
    <m/>
    <m/>
    <n v="143"/>
    <m/>
    <n v="27"/>
    <n v="83"/>
    <m/>
    <m/>
    <n v="143"/>
    <m/>
    <m/>
    <m/>
    <m/>
    <m/>
    <n v="167"/>
    <m/>
    <m/>
    <m/>
    <m/>
    <m/>
    <m/>
    <m/>
    <m/>
    <m/>
    <m/>
    <m/>
    <m/>
    <m/>
    <m/>
    <m/>
    <n v="0"/>
    <m/>
    <m/>
    <m/>
    <s v="MMR001CMP228"/>
    <m/>
  </r>
  <r>
    <x v="37"/>
    <x v="5"/>
    <x v="2"/>
    <s v="KBC"/>
    <s v="Kachin"/>
    <x v="2"/>
    <s v="Man Wing Baptist Church"/>
    <m/>
    <m/>
    <m/>
    <m/>
    <m/>
    <n v="40"/>
    <m/>
    <m/>
    <m/>
    <m/>
    <m/>
    <n v="39"/>
    <m/>
    <m/>
    <m/>
    <m/>
    <m/>
    <n v="139"/>
    <m/>
    <m/>
    <m/>
    <m/>
    <m/>
    <m/>
    <m/>
    <m/>
    <m/>
    <m/>
    <m/>
    <m/>
    <m/>
    <m/>
    <m/>
    <n v="0"/>
    <m/>
    <m/>
    <m/>
    <s v="MMR001CMP133"/>
    <m/>
  </r>
  <r>
    <x v="38"/>
    <x v="5"/>
    <x v="3"/>
    <m/>
    <s v="Kachin"/>
    <x v="12"/>
    <s v="Tanai"/>
    <n v="288"/>
    <m/>
    <m/>
    <m/>
    <m/>
    <m/>
    <m/>
    <m/>
    <m/>
    <m/>
    <m/>
    <m/>
    <m/>
    <m/>
    <m/>
    <m/>
    <m/>
    <m/>
    <m/>
    <m/>
    <m/>
    <m/>
    <m/>
    <m/>
    <m/>
    <m/>
    <m/>
    <m/>
    <m/>
    <m/>
    <m/>
    <m/>
    <m/>
    <n v="0"/>
    <m/>
    <m/>
    <m/>
    <s v=""/>
    <s v="Data source Metta"/>
  </r>
  <r>
    <x v="38"/>
    <x v="5"/>
    <x v="4"/>
    <m/>
    <s v="Kachin"/>
    <x v="12"/>
    <s v="Tanai"/>
    <m/>
    <m/>
    <m/>
    <m/>
    <m/>
    <n v="255"/>
    <n v="255"/>
    <n v="255"/>
    <m/>
    <m/>
    <m/>
    <m/>
    <m/>
    <m/>
    <m/>
    <m/>
    <m/>
    <m/>
    <m/>
    <m/>
    <m/>
    <m/>
    <m/>
    <m/>
    <m/>
    <m/>
    <m/>
    <m/>
    <m/>
    <m/>
    <m/>
    <m/>
    <m/>
    <n v="0"/>
    <m/>
    <m/>
    <m/>
    <s v=""/>
    <s v="Data source MRCS"/>
  </r>
  <r>
    <x v="39"/>
    <x v="5"/>
    <x v="2"/>
    <s v="KBC"/>
    <s v="Kachin"/>
    <x v="5"/>
    <s v="Ta Gun Taing Monastery (Shwe Kyi Na)"/>
    <m/>
    <m/>
    <m/>
    <m/>
    <m/>
    <n v="20"/>
    <m/>
    <n v="40"/>
    <n v="20"/>
    <m/>
    <m/>
    <n v="20"/>
    <m/>
    <m/>
    <m/>
    <m/>
    <m/>
    <m/>
    <m/>
    <m/>
    <m/>
    <m/>
    <m/>
    <m/>
    <m/>
    <m/>
    <m/>
    <m/>
    <m/>
    <m/>
    <m/>
    <m/>
    <m/>
    <n v="0"/>
    <m/>
    <m/>
    <m/>
    <s v="MMR001CMP055"/>
    <m/>
  </r>
  <r>
    <x v="40"/>
    <x v="5"/>
    <x v="2"/>
    <s v="KBC"/>
    <s v="Kachin"/>
    <x v="5"/>
    <s v="Nant Hlaing Church"/>
    <m/>
    <m/>
    <m/>
    <m/>
    <m/>
    <m/>
    <m/>
    <m/>
    <n v="22"/>
    <m/>
    <m/>
    <m/>
    <m/>
    <m/>
    <m/>
    <m/>
    <m/>
    <m/>
    <m/>
    <m/>
    <m/>
    <m/>
    <m/>
    <m/>
    <m/>
    <m/>
    <m/>
    <m/>
    <m/>
    <m/>
    <m/>
    <m/>
    <m/>
    <n v="0"/>
    <m/>
    <m/>
    <m/>
    <s v="MMR001CMP054"/>
    <m/>
  </r>
  <r>
    <x v="40"/>
    <x v="5"/>
    <x v="2"/>
    <s v="KBC"/>
    <s v="Kachin"/>
    <x v="5"/>
    <s v="Yoe Kyi Monastery"/>
    <m/>
    <m/>
    <m/>
    <m/>
    <m/>
    <m/>
    <m/>
    <m/>
    <n v="14"/>
    <m/>
    <m/>
    <m/>
    <m/>
    <m/>
    <m/>
    <m/>
    <m/>
    <m/>
    <m/>
    <m/>
    <m/>
    <m/>
    <m/>
    <m/>
    <m/>
    <m/>
    <m/>
    <m/>
    <m/>
    <m/>
    <m/>
    <m/>
    <m/>
    <n v="0"/>
    <m/>
    <m/>
    <m/>
    <s v="MMR001CMP053"/>
    <m/>
  </r>
  <r>
    <x v="41"/>
    <x v="6"/>
    <x v="0"/>
    <s v="Shalom"/>
    <s v="Kachin"/>
    <x v="1"/>
    <s v="Ka Bu Dam CoC"/>
    <m/>
    <m/>
    <m/>
    <n v="17"/>
    <n v="14"/>
    <n v="25"/>
    <n v="17"/>
    <n v="38"/>
    <n v="17"/>
    <m/>
    <n v="17"/>
    <n v="26"/>
    <m/>
    <m/>
    <m/>
    <m/>
    <n v="17"/>
    <m/>
    <m/>
    <n v="17"/>
    <m/>
    <m/>
    <m/>
    <m/>
    <m/>
    <m/>
    <m/>
    <m/>
    <m/>
    <m/>
    <m/>
    <m/>
    <m/>
    <n v="0"/>
    <m/>
    <m/>
    <m/>
    <s v="MMR001CMP256"/>
    <m/>
  </r>
  <r>
    <x v="42"/>
    <x v="7"/>
    <x v="2"/>
    <s v="NRC"/>
    <s v="Kachin"/>
    <x v="3"/>
    <s v="Loi Je Lisu Camp"/>
    <m/>
    <m/>
    <m/>
    <m/>
    <m/>
    <m/>
    <n v="2"/>
    <m/>
    <m/>
    <m/>
    <m/>
    <m/>
    <m/>
    <m/>
    <m/>
    <m/>
    <m/>
    <m/>
    <m/>
    <m/>
    <m/>
    <m/>
    <m/>
    <m/>
    <m/>
    <m/>
    <m/>
    <m/>
    <m/>
    <m/>
    <m/>
    <m/>
    <m/>
    <n v="0"/>
    <m/>
    <m/>
    <m/>
    <s v="MMR001CMP070"/>
    <m/>
  </r>
  <r>
    <x v="42"/>
    <x v="7"/>
    <x v="2"/>
    <s v="NRC"/>
    <s v="Kachin"/>
    <x v="5"/>
    <s v="Ta Gun Taing Monastery (Shwe Kyi Na)"/>
    <m/>
    <m/>
    <m/>
    <m/>
    <m/>
    <m/>
    <n v="2"/>
    <m/>
    <m/>
    <m/>
    <m/>
    <m/>
    <m/>
    <m/>
    <m/>
    <m/>
    <m/>
    <m/>
    <m/>
    <m/>
    <m/>
    <m/>
    <m/>
    <m/>
    <m/>
    <m/>
    <m/>
    <m/>
    <m/>
    <m/>
    <m/>
    <m/>
    <m/>
    <n v="0"/>
    <m/>
    <m/>
    <m/>
    <s v="MMR001CMP055"/>
    <m/>
  </r>
  <r>
    <x v="43"/>
    <x v="7"/>
    <x v="2"/>
    <s v="KBC"/>
    <s v="Kachin"/>
    <x v="4"/>
    <s v="Pan Hkawn Yang village"/>
    <m/>
    <m/>
    <m/>
    <m/>
    <m/>
    <n v="60"/>
    <n v="10"/>
    <n v="60"/>
    <m/>
    <n v="60"/>
    <n v="30"/>
    <n v="60"/>
    <m/>
    <m/>
    <m/>
    <m/>
    <m/>
    <n v="60"/>
    <m/>
    <m/>
    <m/>
    <m/>
    <m/>
    <m/>
    <m/>
    <m/>
    <m/>
    <m/>
    <m/>
    <m/>
    <m/>
    <m/>
    <m/>
    <n v="0"/>
    <m/>
    <m/>
    <m/>
    <s v=""/>
    <m/>
  </r>
  <r>
    <x v="44"/>
    <x v="7"/>
    <x v="1"/>
    <s v="Solidarites"/>
    <s v="Kachin"/>
    <x v="4"/>
    <s v="Yel Lay village"/>
    <m/>
    <m/>
    <m/>
    <m/>
    <m/>
    <n v="10"/>
    <m/>
    <n v="10"/>
    <n v="5"/>
    <m/>
    <m/>
    <n v="10"/>
    <m/>
    <m/>
    <m/>
    <m/>
    <m/>
    <m/>
    <m/>
    <m/>
    <m/>
    <m/>
    <m/>
    <m/>
    <m/>
    <m/>
    <m/>
    <m/>
    <m/>
    <m/>
    <m/>
    <m/>
    <m/>
    <n v="0"/>
    <m/>
    <m/>
    <m/>
    <s v=""/>
    <m/>
  </r>
  <r>
    <x v="44"/>
    <x v="7"/>
    <x v="1"/>
    <s v="Solidarites"/>
    <s v="Kachin"/>
    <x v="4"/>
    <s v="Moe Sein Tune village"/>
    <m/>
    <m/>
    <m/>
    <m/>
    <m/>
    <n v="4"/>
    <m/>
    <n v="4"/>
    <n v="2"/>
    <m/>
    <m/>
    <n v="4"/>
    <m/>
    <m/>
    <m/>
    <m/>
    <m/>
    <m/>
    <m/>
    <m/>
    <m/>
    <m/>
    <m/>
    <m/>
    <m/>
    <m/>
    <m/>
    <m/>
    <m/>
    <m/>
    <m/>
    <m/>
    <m/>
    <n v="0"/>
    <m/>
    <m/>
    <m/>
    <s v=""/>
    <m/>
  </r>
  <r>
    <x v="44"/>
    <x v="7"/>
    <x v="2"/>
    <s v="NRC"/>
    <s v="Kachin"/>
    <x v="2"/>
    <s v="Maing Khaung"/>
    <m/>
    <m/>
    <m/>
    <m/>
    <m/>
    <m/>
    <m/>
    <m/>
    <m/>
    <m/>
    <m/>
    <m/>
    <m/>
    <m/>
    <m/>
    <m/>
    <m/>
    <n v="166"/>
    <m/>
    <m/>
    <m/>
    <m/>
    <m/>
    <m/>
    <m/>
    <m/>
    <m/>
    <m/>
    <m/>
    <m/>
    <m/>
    <m/>
    <m/>
    <n v="0"/>
    <m/>
    <m/>
    <m/>
    <s v="MMR001CMP218"/>
    <m/>
  </r>
  <r>
    <x v="44"/>
    <x v="7"/>
    <x v="2"/>
    <s v="NRC"/>
    <s v="Kachin"/>
    <x v="2"/>
    <s v="Mai Hkawng KBC Camp-2"/>
    <m/>
    <m/>
    <m/>
    <m/>
    <m/>
    <m/>
    <m/>
    <m/>
    <m/>
    <m/>
    <m/>
    <m/>
    <m/>
    <m/>
    <m/>
    <m/>
    <m/>
    <n v="64"/>
    <m/>
    <m/>
    <m/>
    <m/>
    <m/>
    <m/>
    <m/>
    <m/>
    <m/>
    <m/>
    <m/>
    <m/>
    <m/>
    <m/>
    <m/>
    <n v="0"/>
    <m/>
    <m/>
    <m/>
    <s v=""/>
    <m/>
  </r>
  <r>
    <x v="45"/>
    <x v="7"/>
    <x v="1"/>
    <s v="Solidarites"/>
    <s v="Kachin"/>
    <x v="4"/>
    <s v="Lat Pan La village"/>
    <m/>
    <m/>
    <m/>
    <m/>
    <m/>
    <n v="14"/>
    <m/>
    <n v="14"/>
    <n v="7"/>
    <m/>
    <m/>
    <n v="14"/>
    <m/>
    <m/>
    <m/>
    <m/>
    <m/>
    <m/>
    <m/>
    <m/>
    <m/>
    <m/>
    <m/>
    <m/>
    <m/>
    <m/>
    <m/>
    <m/>
    <m/>
    <m/>
    <m/>
    <m/>
    <m/>
    <n v="0"/>
    <m/>
    <m/>
    <m/>
    <s v=""/>
    <m/>
  </r>
  <r>
    <x v="45"/>
    <x v="7"/>
    <x v="1"/>
    <s v="Solidarites"/>
    <s v="Kachin"/>
    <x v="4"/>
    <s v="Man ma Lin village"/>
    <m/>
    <m/>
    <m/>
    <m/>
    <m/>
    <n v="8"/>
    <m/>
    <n v="8"/>
    <n v="4"/>
    <m/>
    <m/>
    <n v="8"/>
    <m/>
    <m/>
    <m/>
    <m/>
    <m/>
    <m/>
    <m/>
    <m/>
    <m/>
    <m/>
    <m/>
    <m/>
    <m/>
    <m/>
    <m/>
    <m/>
    <m/>
    <m/>
    <m/>
    <m/>
    <m/>
    <n v="0"/>
    <m/>
    <m/>
    <m/>
    <s v=""/>
    <m/>
  </r>
  <r>
    <x v="45"/>
    <x v="7"/>
    <x v="1"/>
    <s v="Solidarites"/>
    <s v="Kachin"/>
    <x v="5"/>
    <s v="Min Jong Kone Ward"/>
    <m/>
    <m/>
    <m/>
    <m/>
    <m/>
    <n v="12"/>
    <m/>
    <n v="12"/>
    <n v="6"/>
    <m/>
    <m/>
    <n v="12"/>
    <m/>
    <m/>
    <m/>
    <m/>
    <m/>
    <m/>
    <m/>
    <m/>
    <m/>
    <m/>
    <m/>
    <m/>
    <m/>
    <m/>
    <m/>
    <m/>
    <m/>
    <m/>
    <m/>
    <m/>
    <m/>
    <n v="0"/>
    <m/>
    <m/>
    <m/>
    <s v=""/>
    <m/>
  </r>
  <r>
    <x v="45"/>
    <x v="7"/>
    <x v="1"/>
    <s v="Solidarites"/>
    <s v="Kachin"/>
    <x v="5"/>
    <s v="Pauk Kone Ward"/>
    <m/>
    <m/>
    <m/>
    <m/>
    <m/>
    <n v="68"/>
    <m/>
    <n v="68"/>
    <n v="34"/>
    <m/>
    <m/>
    <n v="68"/>
    <m/>
    <m/>
    <m/>
    <m/>
    <m/>
    <m/>
    <m/>
    <m/>
    <m/>
    <m/>
    <m/>
    <m/>
    <m/>
    <m/>
    <m/>
    <m/>
    <m/>
    <m/>
    <m/>
    <m/>
    <m/>
    <n v="0"/>
    <m/>
    <m/>
    <m/>
    <s v=""/>
    <m/>
  </r>
  <r>
    <x v="45"/>
    <x v="7"/>
    <x v="1"/>
    <s v="Solidarites"/>
    <s v="Kachin"/>
    <x v="5"/>
    <s v="Khun Thar Ward"/>
    <m/>
    <m/>
    <m/>
    <m/>
    <m/>
    <n v="166"/>
    <m/>
    <n v="166"/>
    <n v="83"/>
    <m/>
    <m/>
    <n v="166"/>
    <m/>
    <m/>
    <m/>
    <m/>
    <m/>
    <m/>
    <m/>
    <m/>
    <m/>
    <m/>
    <m/>
    <m/>
    <m/>
    <m/>
    <m/>
    <m/>
    <m/>
    <m/>
    <m/>
    <m/>
    <m/>
    <n v="0"/>
    <m/>
    <m/>
    <m/>
    <s v=""/>
    <m/>
  </r>
  <r>
    <x v="46"/>
    <x v="7"/>
    <x v="1"/>
    <s v="Solidarites"/>
    <s v="Kachin"/>
    <x v="5"/>
    <s v="Host Families"/>
    <m/>
    <n v="131"/>
    <m/>
    <n v="141"/>
    <m/>
    <m/>
    <m/>
    <m/>
    <m/>
    <m/>
    <m/>
    <m/>
    <m/>
    <m/>
    <m/>
    <m/>
    <m/>
    <m/>
    <m/>
    <m/>
    <m/>
    <m/>
    <m/>
    <m/>
    <m/>
    <m/>
    <m/>
    <m/>
    <m/>
    <m/>
    <m/>
    <m/>
    <m/>
    <n v="0"/>
    <m/>
    <m/>
    <m/>
    <s v="MMR001CMP163"/>
    <m/>
  </r>
  <r>
    <x v="47"/>
    <x v="7"/>
    <x v="1"/>
    <s v="Solidarites"/>
    <s v="Kachin"/>
    <x v="1"/>
    <s v="Pamati AG church"/>
    <m/>
    <n v="29"/>
    <m/>
    <m/>
    <m/>
    <m/>
    <m/>
    <m/>
    <m/>
    <m/>
    <m/>
    <m/>
    <m/>
    <m/>
    <m/>
    <m/>
    <m/>
    <m/>
    <m/>
    <m/>
    <m/>
    <m/>
    <m/>
    <m/>
    <m/>
    <m/>
    <m/>
    <m/>
    <m/>
    <m/>
    <m/>
    <m/>
    <m/>
    <n v="0"/>
    <m/>
    <m/>
    <m/>
    <s v=""/>
    <m/>
  </r>
  <r>
    <x v="48"/>
    <x v="8"/>
    <x v="0"/>
    <s v="KMSS_Bhamo"/>
    <s v="Kachin"/>
    <x v="5"/>
    <s v="Loi Je RC camp"/>
    <m/>
    <m/>
    <m/>
    <m/>
    <m/>
    <m/>
    <n v="15"/>
    <m/>
    <m/>
    <m/>
    <m/>
    <m/>
    <m/>
    <m/>
    <m/>
    <m/>
    <m/>
    <m/>
    <m/>
    <m/>
    <m/>
    <m/>
    <m/>
    <m/>
    <m/>
    <m/>
    <m/>
    <m/>
    <m/>
    <m/>
    <m/>
    <m/>
    <m/>
    <n v="0"/>
    <m/>
    <m/>
    <m/>
    <s v=""/>
    <m/>
  </r>
  <r>
    <x v="49"/>
    <x v="8"/>
    <x v="0"/>
    <s v="Shalom"/>
    <s v="Kachin"/>
    <x v="0"/>
    <s v="Waignmaw lhavo zonal"/>
    <m/>
    <m/>
    <m/>
    <n v="4"/>
    <n v="4"/>
    <n v="6"/>
    <n v="4"/>
    <n v="4"/>
    <n v="3"/>
    <m/>
    <n v="3"/>
    <n v="5"/>
    <m/>
    <m/>
    <m/>
    <m/>
    <n v="4"/>
    <m/>
    <m/>
    <m/>
    <m/>
    <m/>
    <m/>
    <m/>
    <m/>
    <m/>
    <m/>
    <m/>
    <m/>
    <m/>
    <m/>
    <m/>
    <m/>
    <n v="0"/>
    <m/>
    <m/>
    <m/>
    <s v=""/>
    <m/>
  </r>
  <r>
    <x v="49"/>
    <x v="8"/>
    <x v="0"/>
    <s v="Shalom"/>
    <s v="Kachin"/>
    <x v="0"/>
    <s v="Waignmaw AG"/>
    <m/>
    <m/>
    <m/>
    <n v="3"/>
    <n v="3"/>
    <n v="6"/>
    <n v="3"/>
    <n v="8"/>
    <n v="2"/>
    <m/>
    <n v="2"/>
    <n v="8"/>
    <m/>
    <m/>
    <m/>
    <m/>
    <n v="3"/>
    <m/>
    <m/>
    <m/>
    <m/>
    <m/>
    <m/>
    <m/>
    <m/>
    <m/>
    <m/>
    <m/>
    <m/>
    <m/>
    <m/>
    <m/>
    <m/>
    <n v="0"/>
    <m/>
    <m/>
    <m/>
    <s v=""/>
    <m/>
  </r>
  <r>
    <x v="50"/>
    <x v="8"/>
    <x v="1"/>
    <s v="Solidarites"/>
    <s v="Kachin"/>
    <x v="12"/>
    <s v="Tanai RC church (kinsa Ra)"/>
    <m/>
    <n v="31"/>
    <m/>
    <m/>
    <m/>
    <m/>
    <m/>
    <m/>
    <m/>
    <m/>
    <m/>
    <m/>
    <m/>
    <m/>
    <m/>
    <m/>
    <m/>
    <m/>
    <m/>
    <m/>
    <m/>
    <m/>
    <m/>
    <m/>
    <m/>
    <m/>
    <m/>
    <m/>
    <m/>
    <m/>
    <m/>
    <m/>
    <m/>
    <n v="0"/>
    <m/>
    <m/>
    <m/>
    <s v=""/>
    <m/>
  </r>
  <r>
    <x v="51"/>
    <x v="9"/>
    <x v="5"/>
    <s v="UNHCR"/>
    <s v="Kachin"/>
    <x v="1"/>
    <s v="Maw Hpawng Hka Nan Baptist Church"/>
    <m/>
    <m/>
    <m/>
    <n v="1"/>
    <n v="1"/>
    <n v="3"/>
    <n v="1"/>
    <s v=" "/>
    <n v="1"/>
    <m/>
    <n v="1"/>
    <n v="3"/>
    <m/>
    <m/>
    <m/>
    <m/>
    <n v="1"/>
    <m/>
    <m/>
    <m/>
    <m/>
    <m/>
    <m/>
    <m/>
    <m/>
    <m/>
    <m/>
    <m/>
    <m/>
    <m/>
    <m/>
    <m/>
    <m/>
    <n v="0"/>
    <m/>
    <m/>
    <m/>
    <s v="MMR001CMP020"/>
    <m/>
  </r>
  <r>
    <x v="51"/>
    <x v="9"/>
    <x v="5"/>
    <s v="UNHCR"/>
    <s v="Kachin"/>
    <x v="0"/>
    <s v="Qtr. 2 Lhaovo Baptist Church"/>
    <m/>
    <m/>
    <m/>
    <n v="4"/>
    <n v="4"/>
    <n v="6"/>
    <n v="4"/>
    <n v="4"/>
    <n v="3"/>
    <m/>
    <n v="3"/>
    <n v="5"/>
    <m/>
    <m/>
    <m/>
    <m/>
    <n v="4"/>
    <m/>
    <m/>
    <m/>
    <m/>
    <m/>
    <m/>
    <m/>
    <m/>
    <m/>
    <m/>
    <m/>
    <m/>
    <m/>
    <m/>
    <m/>
    <m/>
    <n v="0"/>
    <m/>
    <m/>
    <m/>
    <s v="MMR001CMP032"/>
    <m/>
  </r>
  <r>
    <x v="51"/>
    <x v="9"/>
    <x v="5"/>
    <s v="UNHCR"/>
    <s v="Kachin"/>
    <x v="0"/>
    <s v="Waingmaw AG Church"/>
    <m/>
    <m/>
    <m/>
    <n v="2"/>
    <n v="2"/>
    <n v="3"/>
    <n v="2"/>
    <n v="5"/>
    <n v="1"/>
    <m/>
    <n v="1"/>
    <n v="5"/>
    <m/>
    <m/>
    <m/>
    <m/>
    <n v="2"/>
    <m/>
    <m/>
    <m/>
    <m/>
    <m/>
    <m/>
    <m/>
    <m/>
    <m/>
    <m/>
    <m/>
    <m/>
    <m/>
    <m/>
    <m/>
    <m/>
    <n v="0"/>
    <m/>
    <m/>
    <m/>
    <s v="MMR001CMP038"/>
    <m/>
  </r>
  <r>
    <x v="52"/>
    <x v="9"/>
    <x v="6"/>
    <s v="UNHCR"/>
    <s v="Kachin"/>
    <x v="3"/>
    <s v="Je Yang Hka "/>
    <m/>
    <m/>
    <m/>
    <m/>
    <m/>
    <m/>
    <m/>
    <n v="3170"/>
    <m/>
    <m/>
    <m/>
    <m/>
    <m/>
    <n v="2536"/>
    <m/>
    <m/>
    <m/>
    <m/>
    <m/>
    <m/>
    <m/>
    <m/>
    <m/>
    <m/>
    <m/>
    <m/>
    <m/>
    <m/>
    <m/>
    <m/>
    <m/>
    <m/>
    <m/>
    <n v="1"/>
    <m/>
    <m/>
    <m/>
    <s v="MMR001CMP121"/>
    <s v="21/Dec/2017: Updated NFI distribution. Data source KMSS-M"/>
  </r>
  <r>
    <x v="53"/>
    <x v="9"/>
    <x v="6"/>
    <s v="UNHCR"/>
    <s v="Kachin"/>
    <x v="0"/>
    <s v="Post 6 Camp"/>
    <m/>
    <m/>
    <m/>
    <m/>
    <m/>
    <m/>
    <m/>
    <n v="182"/>
    <m/>
    <m/>
    <m/>
    <m/>
    <n v="137"/>
    <n v="264"/>
    <m/>
    <m/>
    <m/>
    <m/>
    <m/>
    <m/>
    <m/>
    <m/>
    <m/>
    <m/>
    <m/>
    <m/>
    <m/>
    <m/>
    <m/>
    <m/>
    <m/>
    <m/>
    <m/>
    <n v="1"/>
    <m/>
    <m/>
    <m/>
    <s v="MMR001CMP160"/>
    <s v="21/Dec/2017: Updated NFI distribution. Data source KMSS-M"/>
  </r>
  <r>
    <x v="54"/>
    <x v="9"/>
    <x v="6"/>
    <s v="UNHCR"/>
    <s v="Kachin"/>
    <x v="3"/>
    <s v="Dum Bung "/>
    <m/>
    <m/>
    <m/>
    <m/>
    <m/>
    <m/>
    <m/>
    <n v="196"/>
    <m/>
    <m/>
    <m/>
    <m/>
    <n v="195"/>
    <n v="214"/>
    <m/>
    <m/>
    <m/>
    <m/>
    <m/>
    <m/>
    <m/>
    <m/>
    <m/>
    <m/>
    <m/>
    <m/>
    <m/>
    <m/>
    <m/>
    <m/>
    <m/>
    <m/>
    <m/>
    <n v="1"/>
    <m/>
    <m/>
    <m/>
    <s v="MMR001CMP123"/>
    <s v="21/Dec/2017: Updated NFI distribution. Data source KMSS-M"/>
  </r>
  <r>
    <x v="55"/>
    <x v="9"/>
    <x v="6"/>
    <s v="UNHCR"/>
    <s v="Kachin"/>
    <x v="0"/>
    <s v="Border Post 8"/>
    <m/>
    <m/>
    <m/>
    <m/>
    <m/>
    <m/>
    <m/>
    <n v="304"/>
    <m/>
    <m/>
    <m/>
    <m/>
    <n v="348"/>
    <n v="269"/>
    <m/>
    <m/>
    <m/>
    <m/>
    <m/>
    <m/>
    <m/>
    <m/>
    <m/>
    <m/>
    <m/>
    <m/>
    <m/>
    <m/>
    <m/>
    <m/>
    <m/>
    <m/>
    <m/>
    <n v="1"/>
    <m/>
    <m/>
    <m/>
    <s v="MMR001CMP113"/>
    <s v="21/Dec/2017: Updated NFI distribution. Data source KMSS-M"/>
  </r>
  <r>
    <x v="56"/>
    <x v="9"/>
    <x v="2"/>
    <s v="NRC"/>
    <s v="Kachin"/>
    <x v="3"/>
    <s v="Daw Hpum Yang Boarder Camp"/>
    <n v="69"/>
    <m/>
    <m/>
    <m/>
    <m/>
    <m/>
    <m/>
    <m/>
    <m/>
    <m/>
    <m/>
    <m/>
    <m/>
    <m/>
    <m/>
    <m/>
    <m/>
    <m/>
    <m/>
    <m/>
    <m/>
    <m/>
    <m/>
    <m/>
    <m/>
    <m/>
    <m/>
    <m/>
    <m/>
    <m/>
    <m/>
    <m/>
    <m/>
    <n v="0"/>
    <m/>
    <m/>
    <m/>
    <s v=""/>
    <m/>
  </r>
  <r>
    <x v="57"/>
    <x v="10"/>
    <x v="7"/>
    <s v="RI"/>
    <s v="Shan_North"/>
    <x v="11"/>
    <s v="Kyu Sot"/>
    <m/>
    <m/>
    <m/>
    <m/>
    <m/>
    <m/>
    <m/>
    <m/>
    <m/>
    <m/>
    <m/>
    <m/>
    <m/>
    <m/>
    <n v="60"/>
    <m/>
    <m/>
    <m/>
    <m/>
    <m/>
    <m/>
    <m/>
    <m/>
    <m/>
    <m/>
    <m/>
    <m/>
    <m/>
    <m/>
    <m/>
    <m/>
    <m/>
    <m/>
    <n v="1"/>
    <m/>
    <m/>
    <m/>
    <s v="MMR015CMP248"/>
    <m/>
  </r>
  <r>
    <x v="57"/>
    <x v="10"/>
    <x v="7"/>
    <s v="RI"/>
    <s v="Shan_North"/>
    <x v="11"/>
    <s v="Nam Tu Baptist"/>
    <m/>
    <m/>
    <m/>
    <m/>
    <m/>
    <m/>
    <m/>
    <m/>
    <m/>
    <m/>
    <m/>
    <m/>
    <m/>
    <m/>
    <n v="46"/>
    <m/>
    <m/>
    <m/>
    <m/>
    <m/>
    <m/>
    <m/>
    <m/>
    <m/>
    <m/>
    <m/>
    <m/>
    <m/>
    <m/>
    <m/>
    <m/>
    <m/>
    <m/>
    <n v="1"/>
    <m/>
    <m/>
    <m/>
    <s v="MMR015CMP014"/>
    <m/>
  </r>
  <r>
    <x v="58"/>
    <x v="10"/>
    <x v="0"/>
    <s v="Shalom"/>
    <s v="Kachin"/>
    <x v="1"/>
    <s v="Ka Bu Dam CoC"/>
    <m/>
    <m/>
    <m/>
    <m/>
    <m/>
    <m/>
    <m/>
    <n v="50"/>
    <m/>
    <m/>
    <m/>
    <m/>
    <n v="36"/>
    <n v="13"/>
    <m/>
    <m/>
    <m/>
    <m/>
    <m/>
    <m/>
    <m/>
    <m/>
    <m/>
    <m/>
    <m/>
    <m/>
    <m/>
    <m/>
    <m/>
    <m/>
    <m/>
    <m/>
    <m/>
    <n v="1"/>
    <m/>
    <m/>
    <m/>
    <s v="MMR001CMP256"/>
    <m/>
  </r>
  <r>
    <x v="59"/>
    <x v="10"/>
    <x v="7"/>
    <s v="RI"/>
    <s v="Shan_North"/>
    <x v="13"/>
    <s v="Muse Baptist Church"/>
    <m/>
    <m/>
    <m/>
    <m/>
    <m/>
    <m/>
    <m/>
    <m/>
    <m/>
    <m/>
    <m/>
    <m/>
    <m/>
    <m/>
    <n v="43"/>
    <m/>
    <m/>
    <m/>
    <m/>
    <m/>
    <m/>
    <m/>
    <m/>
    <m/>
    <m/>
    <m/>
    <m/>
    <m/>
    <m/>
    <m/>
    <m/>
    <m/>
    <m/>
    <n v="1"/>
    <m/>
    <m/>
    <m/>
    <s v="MMR015CMP213"/>
    <m/>
  </r>
  <r>
    <x v="59"/>
    <x v="10"/>
    <x v="7"/>
    <s v="RI"/>
    <s v="Shan_North"/>
    <x v="13"/>
    <s v="Muse Catholic Church"/>
    <m/>
    <m/>
    <m/>
    <m/>
    <m/>
    <m/>
    <m/>
    <m/>
    <m/>
    <m/>
    <m/>
    <m/>
    <m/>
    <m/>
    <n v="22"/>
    <m/>
    <m/>
    <m/>
    <m/>
    <m/>
    <m/>
    <m/>
    <m/>
    <m/>
    <m/>
    <m/>
    <m/>
    <m/>
    <m/>
    <m/>
    <m/>
    <m/>
    <m/>
    <n v="1"/>
    <m/>
    <m/>
    <m/>
    <s v="MMR015CMP216"/>
    <m/>
  </r>
  <r>
    <x v="60"/>
    <x v="11"/>
    <x v="4"/>
    <m/>
    <s v="Kachin"/>
    <x v="3"/>
    <s v="Loi Je Baptist Church"/>
    <m/>
    <m/>
    <m/>
    <m/>
    <m/>
    <m/>
    <m/>
    <m/>
    <m/>
    <m/>
    <m/>
    <m/>
    <m/>
    <m/>
    <m/>
    <n v="93"/>
    <m/>
    <m/>
    <m/>
    <m/>
    <m/>
    <m/>
    <m/>
    <m/>
    <m/>
    <m/>
    <m/>
    <m/>
    <m/>
    <m/>
    <m/>
    <m/>
    <m/>
    <n v="1"/>
    <m/>
    <m/>
    <m/>
    <s v="MMR001CMP071"/>
    <m/>
  </r>
  <r>
    <x v="60"/>
    <x v="11"/>
    <x v="4"/>
    <m/>
    <s v="Kachin"/>
    <x v="3"/>
    <s v="Loi Je Catholic Church"/>
    <m/>
    <m/>
    <m/>
    <m/>
    <m/>
    <m/>
    <m/>
    <m/>
    <m/>
    <m/>
    <m/>
    <m/>
    <m/>
    <m/>
    <m/>
    <n v="143"/>
    <m/>
    <m/>
    <m/>
    <m/>
    <m/>
    <m/>
    <m/>
    <m/>
    <m/>
    <m/>
    <m/>
    <m/>
    <m/>
    <m/>
    <m/>
    <m/>
    <m/>
    <n v="1"/>
    <m/>
    <m/>
    <m/>
    <s v="MMR001CMP069"/>
    <m/>
  </r>
  <r>
    <x v="60"/>
    <x v="11"/>
    <x v="4"/>
    <m/>
    <s v="Kachin"/>
    <x v="3"/>
    <s v="Loi Je Lisu Camp"/>
    <m/>
    <m/>
    <m/>
    <m/>
    <m/>
    <m/>
    <m/>
    <m/>
    <m/>
    <m/>
    <m/>
    <m/>
    <m/>
    <m/>
    <m/>
    <n v="474"/>
    <m/>
    <m/>
    <m/>
    <m/>
    <m/>
    <m/>
    <m/>
    <m/>
    <m/>
    <m/>
    <m/>
    <m/>
    <m/>
    <m/>
    <m/>
    <m/>
    <m/>
    <n v="1"/>
    <m/>
    <m/>
    <m/>
    <s v="MMR001CMP070"/>
    <m/>
  </r>
  <r>
    <x v="60"/>
    <x v="11"/>
    <x v="4"/>
    <m/>
    <s v="Kachin"/>
    <x v="3"/>
    <s v="Nyaung Na Pin "/>
    <m/>
    <m/>
    <m/>
    <m/>
    <m/>
    <m/>
    <m/>
    <m/>
    <m/>
    <m/>
    <m/>
    <m/>
    <m/>
    <m/>
    <m/>
    <n v="122"/>
    <m/>
    <m/>
    <m/>
    <m/>
    <m/>
    <m/>
    <m/>
    <m/>
    <m/>
    <m/>
    <m/>
    <m/>
    <m/>
    <m/>
    <m/>
    <m/>
    <m/>
    <n v="1"/>
    <m/>
    <m/>
    <m/>
    <s v="MMR001CMP072"/>
    <m/>
  </r>
  <r>
    <x v="60"/>
    <x v="11"/>
    <x v="4"/>
    <m/>
    <s v="Kachin"/>
    <x v="3"/>
    <s v="Seng Ja "/>
    <m/>
    <m/>
    <m/>
    <m/>
    <m/>
    <m/>
    <m/>
    <m/>
    <m/>
    <m/>
    <m/>
    <m/>
    <m/>
    <m/>
    <m/>
    <n v="101"/>
    <m/>
    <m/>
    <m/>
    <m/>
    <m/>
    <m/>
    <m/>
    <m/>
    <m/>
    <m/>
    <m/>
    <m/>
    <m/>
    <m/>
    <m/>
    <m/>
    <m/>
    <n v="1"/>
    <m/>
    <m/>
    <m/>
    <s v="MMR001CMP073"/>
    <m/>
  </r>
  <r>
    <x v="61"/>
    <x v="11"/>
    <x v="7"/>
    <s v="RI"/>
    <s v="Shan_North"/>
    <x v="11"/>
    <s v="B.E.H.S(1)"/>
    <m/>
    <m/>
    <m/>
    <n v="15"/>
    <m/>
    <m/>
    <m/>
    <m/>
    <m/>
    <m/>
    <m/>
    <m/>
    <m/>
    <m/>
    <n v="15"/>
    <m/>
    <m/>
    <m/>
    <m/>
    <m/>
    <m/>
    <m/>
    <m/>
    <m/>
    <m/>
    <m/>
    <m/>
    <m/>
    <m/>
    <m/>
    <m/>
    <m/>
    <m/>
    <n v="1"/>
    <m/>
    <m/>
    <m/>
    <s v=""/>
    <m/>
  </r>
  <r>
    <x v="62"/>
    <x v="11"/>
    <x v="8"/>
    <s v="UNFPA"/>
    <s v="Shan_North"/>
    <x v="14"/>
    <s v="Namhkan - Pang Long KBC"/>
    <m/>
    <m/>
    <n v="10"/>
    <m/>
    <m/>
    <m/>
    <m/>
    <m/>
    <m/>
    <m/>
    <m/>
    <m/>
    <m/>
    <m/>
    <m/>
    <m/>
    <m/>
    <m/>
    <m/>
    <m/>
    <m/>
    <m/>
    <m/>
    <m/>
    <m/>
    <m/>
    <m/>
    <m/>
    <m/>
    <m/>
    <m/>
    <m/>
    <m/>
    <n v="0"/>
    <m/>
    <m/>
    <m/>
    <s v="MMR015CMP215"/>
    <m/>
  </r>
  <r>
    <x v="63"/>
    <x v="11"/>
    <x v="8"/>
    <s v="UNFPA"/>
    <s v="Shan_North"/>
    <x v="14"/>
    <s v="Namhkan - Pang Long KBC"/>
    <m/>
    <m/>
    <n v="8"/>
    <m/>
    <m/>
    <m/>
    <m/>
    <m/>
    <m/>
    <m/>
    <m/>
    <m/>
    <m/>
    <m/>
    <m/>
    <m/>
    <m/>
    <m/>
    <m/>
    <m/>
    <m/>
    <m/>
    <m/>
    <m/>
    <m/>
    <m/>
    <m/>
    <m/>
    <m/>
    <m/>
    <m/>
    <m/>
    <m/>
    <n v="0"/>
    <m/>
    <m/>
    <m/>
    <s v="MMR015CMP215"/>
    <m/>
  </r>
  <r>
    <x v="64"/>
    <x v="11"/>
    <x v="4"/>
    <m/>
    <s v="Kachin"/>
    <x v="5"/>
    <s v="AD-2000 Tharthana Compound"/>
    <m/>
    <m/>
    <m/>
    <m/>
    <m/>
    <m/>
    <m/>
    <m/>
    <m/>
    <m/>
    <m/>
    <m/>
    <m/>
    <m/>
    <m/>
    <n v="257"/>
    <m/>
    <m/>
    <m/>
    <m/>
    <m/>
    <m/>
    <m/>
    <m/>
    <m/>
    <m/>
    <m/>
    <m/>
    <m/>
    <m/>
    <m/>
    <m/>
    <m/>
    <n v="1"/>
    <m/>
    <m/>
    <m/>
    <s v="MMR001CMP050"/>
    <m/>
  </r>
  <r>
    <x v="64"/>
    <x v="11"/>
    <x v="4"/>
    <m/>
    <s v="Kachin"/>
    <x v="5"/>
    <s v="Lisu Boarding-House"/>
    <m/>
    <m/>
    <m/>
    <m/>
    <m/>
    <m/>
    <m/>
    <m/>
    <m/>
    <m/>
    <m/>
    <m/>
    <m/>
    <m/>
    <m/>
    <n v="130"/>
    <m/>
    <m/>
    <m/>
    <m/>
    <m/>
    <m/>
    <m/>
    <m/>
    <m/>
    <m/>
    <m/>
    <m/>
    <m/>
    <m/>
    <m/>
    <m/>
    <m/>
    <n v="1"/>
    <m/>
    <m/>
    <m/>
    <s v="MMR001CMP049"/>
    <m/>
  </r>
  <r>
    <x v="64"/>
    <x v="11"/>
    <x v="4"/>
    <m/>
    <s v="Kachin"/>
    <x v="5"/>
    <s v="Nant Hlaing Church"/>
    <m/>
    <m/>
    <m/>
    <m/>
    <m/>
    <m/>
    <m/>
    <m/>
    <m/>
    <m/>
    <m/>
    <m/>
    <m/>
    <m/>
    <m/>
    <n v="21"/>
    <m/>
    <m/>
    <m/>
    <m/>
    <m/>
    <m/>
    <m/>
    <m/>
    <m/>
    <m/>
    <m/>
    <m/>
    <m/>
    <m/>
    <m/>
    <m/>
    <m/>
    <n v="1"/>
    <m/>
    <m/>
    <m/>
    <s v="MMR001CMP054"/>
    <m/>
  </r>
  <r>
    <x v="64"/>
    <x v="11"/>
    <x v="4"/>
    <m/>
    <s v="Kachin"/>
    <x v="5"/>
    <s v="Phan Khar Kone"/>
    <m/>
    <m/>
    <m/>
    <m/>
    <m/>
    <m/>
    <m/>
    <m/>
    <m/>
    <m/>
    <m/>
    <m/>
    <m/>
    <m/>
    <m/>
    <n v="144"/>
    <m/>
    <m/>
    <m/>
    <m/>
    <m/>
    <m/>
    <m/>
    <m/>
    <m/>
    <m/>
    <m/>
    <m/>
    <m/>
    <m/>
    <m/>
    <m/>
    <m/>
    <n v="1"/>
    <m/>
    <m/>
    <m/>
    <s v="MMR001CMP193"/>
    <m/>
  </r>
  <r>
    <x v="64"/>
    <x v="11"/>
    <x v="4"/>
    <m/>
    <s v="Kachin"/>
    <x v="5"/>
    <s v="Ta Gun Taing Monastery (Shwe Kyi Na)"/>
    <m/>
    <m/>
    <m/>
    <m/>
    <m/>
    <m/>
    <m/>
    <m/>
    <m/>
    <m/>
    <m/>
    <m/>
    <m/>
    <m/>
    <m/>
    <n v="20"/>
    <m/>
    <m/>
    <m/>
    <m/>
    <m/>
    <m/>
    <m/>
    <m/>
    <m/>
    <m/>
    <m/>
    <m/>
    <m/>
    <m/>
    <m/>
    <m/>
    <m/>
    <n v="1"/>
    <m/>
    <m/>
    <m/>
    <s v="MMR001CMP055"/>
    <m/>
  </r>
  <r>
    <x v="64"/>
    <x v="11"/>
    <x v="4"/>
    <m/>
    <s v="Kachin"/>
    <x v="5"/>
    <s v="Yoe Kyi Monastery"/>
    <m/>
    <m/>
    <m/>
    <m/>
    <m/>
    <m/>
    <m/>
    <m/>
    <m/>
    <m/>
    <m/>
    <m/>
    <m/>
    <m/>
    <m/>
    <n v="14"/>
    <m/>
    <m/>
    <m/>
    <m/>
    <m/>
    <m/>
    <m/>
    <m/>
    <m/>
    <m/>
    <m/>
    <m/>
    <m/>
    <m/>
    <m/>
    <m/>
    <m/>
    <n v="1"/>
    <m/>
    <m/>
    <m/>
    <s v="MMR001CMP053"/>
    <m/>
  </r>
  <r>
    <x v="64"/>
    <x v="11"/>
    <x v="4"/>
    <m/>
    <s v="Kachin"/>
    <x v="5"/>
    <s v="Mu-yin Baptist Church"/>
    <m/>
    <m/>
    <m/>
    <m/>
    <m/>
    <m/>
    <m/>
    <m/>
    <m/>
    <m/>
    <m/>
    <m/>
    <m/>
    <m/>
    <m/>
    <n v="13"/>
    <m/>
    <m/>
    <m/>
    <m/>
    <m/>
    <m/>
    <m/>
    <m/>
    <m/>
    <m/>
    <m/>
    <m/>
    <m/>
    <m/>
    <m/>
    <m/>
    <m/>
    <n v="1"/>
    <m/>
    <m/>
    <m/>
    <s v="MMR001CMP051"/>
    <m/>
  </r>
  <r>
    <x v="64"/>
    <x v="11"/>
    <x v="4"/>
    <m/>
    <s v="Kachin"/>
    <x v="5"/>
    <s v="Htoi San Church"/>
    <m/>
    <m/>
    <m/>
    <m/>
    <m/>
    <m/>
    <m/>
    <m/>
    <m/>
    <m/>
    <m/>
    <m/>
    <m/>
    <m/>
    <m/>
    <n v="39"/>
    <m/>
    <m/>
    <m/>
    <m/>
    <m/>
    <m/>
    <m/>
    <m/>
    <m/>
    <m/>
    <m/>
    <m/>
    <m/>
    <m/>
    <m/>
    <m/>
    <m/>
    <n v="1"/>
    <m/>
    <m/>
    <m/>
    <s v="MMR001CMP052"/>
    <m/>
  </r>
  <r>
    <x v="64"/>
    <x v="11"/>
    <x v="4"/>
    <m/>
    <s v="Kachin"/>
    <x v="5"/>
    <s v="Robert Church"/>
    <m/>
    <m/>
    <m/>
    <m/>
    <m/>
    <m/>
    <m/>
    <m/>
    <m/>
    <m/>
    <m/>
    <m/>
    <m/>
    <m/>
    <m/>
    <n v="508"/>
    <m/>
    <m/>
    <m/>
    <m/>
    <m/>
    <m/>
    <m/>
    <m/>
    <m/>
    <m/>
    <m/>
    <m/>
    <m/>
    <m/>
    <m/>
    <m/>
    <m/>
    <n v="1"/>
    <m/>
    <m/>
    <m/>
    <s v="MMR001CMP047"/>
    <m/>
  </r>
  <r>
    <x v="64"/>
    <x v="11"/>
    <x v="4"/>
    <m/>
    <s v="Kachin"/>
    <x v="3"/>
    <s v="Mandalay Monestry"/>
    <m/>
    <m/>
    <m/>
    <m/>
    <m/>
    <m/>
    <m/>
    <m/>
    <m/>
    <m/>
    <m/>
    <m/>
    <m/>
    <m/>
    <m/>
    <n v="5"/>
    <m/>
    <m/>
    <m/>
    <m/>
    <m/>
    <m/>
    <m/>
    <m/>
    <m/>
    <m/>
    <m/>
    <m/>
    <m/>
    <m/>
    <m/>
    <m/>
    <m/>
    <n v="1"/>
    <m/>
    <m/>
    <m/>
    <s v="MMR001CMP058"/>
    <m/>
  </r>
  <r>
    <x v="64"/>
    <x v="11"/>
    <x v="4"/>
    <m/>
    <s v="Kachin"/>
    <x v="3"/>
    <s v="Man Bung Catholic compound"/>
    <m/>
    <m/>
    <m/>
    <m/>
    <m/>
    <m/>
    <m/>
    <m/>
    <m/>
    <m/>
    <m/>
    <m/>
    <m/>
    <m/>
    <m/>
    <n v="223"/>
    <m/>
    <m/>
    <m/>
    <m/>
    <m/>
    <m/>
    <m/>
    <m/>
    <m/>
    <m/>
    <m/>
    <m/>
    <m/>
    <m/>
    <m/>
    <m/>
    <m/>
    <n v="1"/>
    <m/>
    <m/>
    <m/>
    <s v="MMR001CMP062"/>
    <m/>
  </r>
  <r>
    <x v="64"/>
    <x v="11"/>
    <x v="4"/>
    <m/>
    <s v="Kachin"/>
    <x v="3"/>
    <s v="Momauk Baptist Church"/>
    <m/>
    <m/>
    <m/>
    <m/>
    <m/>
    <m/>
    <m/>
    <m/>
    <m/>
    <m/>
    <m/>
    <m/>
    <m/>
    <m/>
    <m/>
    <n v="383"/>
    <m/>
    <m/>
    <m/>
    <m/>
    <m/>
    <m/>
    <m/>
    <m/>
    <m/>
    <m/>
    <m/>
    <m/>
    <m/>
    <m/>
    <m/>
    <m/>
    <m/>
    <n v="1"/>
    <m/>
    <m/>
    <m/>
    <s v="MMR001CMP056"/>
    <m/>
  </r>
  <r>
    <x v="64"/>
    <x v="11"/>
    <x v="4"/>
    <m/>
    <s v="Kachin"/>
    <x v="1"/>
    <s v="Jan Mai Kawng Baptist Church"/>
    <m/>
    <m/>
    <m/>
    <m/>
    <m/>
    <m/>
    <m/>
    <m/>
    <m/>
    <m/>
    <m/>
    <m/>
    <m/>
    <m/>
    <m/>
    <n v="202"/>
    <m/>
    <m/>
    <m/>
    <m/>
    <m/>
    <m/>
    <m/>
    <m/>
    <m/>
    <m/>
    <m/>
    <m/>
    <m/>
    <m/>
    <m/>
    <m/>
    <m/>
    <n v="1"/>
    <m/>
    <m/>
    <m/>
    <s v="MMR001CMP018"/>
    <m/>
  </r>
  <r>
    <x v="64"/>
    <x v="11"/>
    <x v="4"/>
    <m/>
    <s v="Kachin"/>
    <x v="1"/>
    <s v="Jan Mai Kawng Catholic Church"/>
    <m/>
    <m/>
    <m/>
    <m/>
    <m/>
    <m/>
    <m/>
    <m/>
    <m/>
    <m/>
    <m/>
    <m/>
    <m/>
    <m/>
    <m/>
    <n v="86"/>
    <m/>
    <m/>
    <m/>
    <m/>
    <m/>
    <m/>
    <m/>
    <m/>
    <m/>
    <m/>
    <m/>
    <m/>
    <m/>
    <m/>
    <m/>
    <m/>
    <m/>
    <n v="1"/>
    <m/>
    <m/>
    <m/>
    <s v="MMR001CMP019"/>
    <m/>
  </r>
  <r>
    <x v="64"/>
    <x v="11"/>
    <x v="4"/>
    <m/>
    <s v="Kachin"/>
    <x v="1"/>
    <s v="Kyun Pin Thar Baptist Church"/>
    <m/>
    <m/>
    <m/>
    <m/>
    <m/>
    <m/>
    <m/>
    <m/>
    <m/>
    <m/>
    <m/>
    <m/>
    <m/>
    <m/>
    <m/>
    <n v="17"/>
    <m/>
    <m/>
    <m/>
    <m/>
    <m/>
    <m/>
    <m/>
    <m/>
    <m/>
    <m/>
    <m/>
    <m/>
    <m/>
    <m/>
    <m/>
    <m/>
    <m/>
    <n v="1"/>
    <m/>
    <m/>
    <m/>
    <s v="MMR001CMP013"/>
    <m/>
  </r>
  <r>
    <x v="64"/>
    <x v="11"/>
    <x v="4"/>
    <m/>
    <s v="Kachin"/>
    <x v="1"/>
    <s v="Le Kone Bethlehem Church"/>
    <m/>
    <m/>
    <m/>
    <m/>
    <m/>
    <m/>
    <m/>
    <m/>
    <m/>
    <m/>
    <m/>
    <m/>
    <m/>
    <m/>
    <m/>
    <n v="30"/>
    <m/>
    <m/>
    <m/>
    <m/>
    <m/>
    <m/>
    <m/>
    <m/>
    <m/>
    <m/>
    <m/>
    <m/>
    <m/>
    <m/>
    <m/>
    <m/>
    <m/>
    <n v="1"/>
    <m/>
    <m/>
    <m/>
    <s v="MMR001CMP015"/>
    <m/>
  </r>
  <r>
    <x v="64"/>
    <x v="11"/>
    <x v="4"/>
    <m/>
    <s v="Kachin"/>
    <x v="1"/>
    <s v="Le Kone Ziun Baptist Church "/>
    <m/>
    <m/>
    <m/>
    <m/>
    <m/>
    <m/>
    <m/>
    <m/>
    <m/>
    <m/>
    <m/>
    <m/>
    <m/>
    <m/>
    <m/>
    <n v="86"/>
    <m/>
    <m/>
    <m/>
    <m/>
    <m/>
    <m/>
    <m/>
    <m/>
    <m/>
    <m/>
    <m/>
    <m/>
    <m/>
    <m/>
    <m/>
    <m/>
    <m/>
    <n v="1"/>
    <m/>
    <m/>
    <m/>
    <s v="MMR001CMP014"/>
    <m/>
  </r>
  <r>
    <x v="64"/>
    <x v="11"/>
    <x v="4"/>
    <m/>
    <s v="Kachin"/>
    <x v="1"/>
    <s v="Maliyang Baptist Church"/>
    <m/>
    <m/>
    <m/>
    <m/>
    <m/>
    <m/>
    <m/>
    <m/>
    <m/>
    <m/>
    <m/>
    <m/>
    <m/>
    <m/>
    <m/>
    <n v="61"/>
    <m/>
    <m/>
    <m/>
    <m/>
    <m/>
    <m/>
    <m/>
    <m/>
    <m/>
    <m/>
    <m/>
    <m/>
    <m/>
    <m/>
    <m/>
    <m/>
    <m/>
    <n v="1"/>
    <m/>
    <m/>
    <m/>
    <s v="MMR001CMP016"/>
    <m/>
  </r>
  <r>
    <x v="64"/>
    <x v="11"/>
    <x v="4"/>
    <m/>
    <s v="Kachin"/>
    <x v="1"/>
    <s v="Man Hkring Baptist Church"/>
    <m/>
    <m/>
    <m/>
    <m/>
    <m/>
    <m/>
    <m/>
    <m/>
    <m/>
    <m/>
    <m/>
    <m/>
    <m/>
    <m/>
    <m/>
    <n v="103"/>
    <m/>
    <m/>
    <m/>
    <m/>
    <m/>
    <m/>
    <m/>
    <m/>
    <m/>
    <m/>
    <m/>
    <m/>
    <m/>
    <m/>
    <m/>
    <m/>
    <m/>
    <n v="1"/>
    <m/>
    <m/>
    <m/>
    <s v="MMR001CMP008"/>
    <m/>
  </r>
  <r>
    <x v="64"/>
    <x v="11"/>
    <x v="4"/>
    <m/>
    <s v="Kachin"/>
    <x v="1"/>
    <s v="Maw Hpawng Hka Nan Baptist Church"/>
    <m/>
    <m/>
    <m/>
    <m/>
    <m/>
    <m/>
    <m/>
    <m/>
    <m/>
    <m/>
    <m/>
    <m/>
    <m/>
    <m/>
    <m/>
    <n v="24"/>
    <m/>
    <m/>
    <m/>
    <m/>
    <m/>
    <m/>
    <m/>
    <m/>
    <m/>
    <m/>
    <m/>
    <m/>
    <m/>
    <m/>
    <m/>
    <m/>
    <m/>
    <n v="1"/>
    <m/>
    <m/>
    <m/>
    <s v="MMR001CMP020"/>
    <m/>
  </r>
  <r>
    <x v="64"/>
    <x v="11"/>
    <x v="4"/>
    <m/>
    <s v="Kachin"/>
    <x v="1"/>
    <s v="Maw Hpawng Lhaovo Baptist Church"/>
    <m/>
    <m/>
    <m/>
    <m/>
    <m/>
    <m/>
    <m/>
    <m/>
    <m/>
    <m/>
    <m/>
    <m/>
    <m/>
    <m/>
    <m/>
    <n v="14"/>
    <m/>
    <m/>
    <m/>
    <m/>
    <m/>
    <m/>
    <m/>
    <m/>
    <m/>
    <m/>
    <m/>
    <m/>
    <m/>
    <m/>
    <m/>
    <m/>
    <m/>
    <n v="1"/>
    <m/>
    <m/>
    <m/>
    <s v="MMR001CMP021"/>
    <m/>
  </r>
  <r>
    <x v="64"/>
    <x v="11"/>
    <x v="4"/>
    <m/>
    <s v="Kachin"/>
    <x v="1"/>
    <s v="Nan Kway St. John Catholic Church"/>
    <m/>
    <m/>
    <m/>
    <m/>
    <m/>
    <m/>
    <m/>
    <m/>
    <m/>
    <m/>
    <m/>
    <m/>
    <m/>
    <m/>
    <m/>
    <n v="60"/>
    <m/>
    <m/>
    <m/>
    <m/>
    <m/>
    <m/>
    <m/>
    <m/>
    <m/>
    <m/>
    <m/>
    <m/>
    <m/>
    <m/>
    <m/>
    <m/>
    <m/>
    <n v="1"/>
    <m/>
    <m/>
    <m/>
    <s v="MMR001CMP024"/>
    <m/>
  </r>
  <r>
    <x v="64"/>
    <x v="11"/>
    <x v="4"/>
    <m/>
    <s v="Kachin"/>
    <x v="1"/>
    <s v="Njang Dung Baptist Church "/>
    <m/>
    <m/>
    <m/>
    <m/>
    <m/>
    <m/>
    <m/>
    <m/>
    <m/>
    <m/>
    <m/>
    <m/>
    <m/>
    <m/>
    <m/>
    <n v="66"/>
    <m/>
    <m/>
    <m/>
    <m/>
    <m/>
    <m/>
    <m/>
    <m/>
    <m/>
    <m/>
    <m/>
    <m/>
    <m/>
    <m/>
    <m/>
    <m/>
    <m/>
    <n v="1"/>
    <m/>
    <m/>
    <m/>
    <s v="MMR001CMP002"/>
    <m/>
  </r>
  <r>
    <x v="64"/>
    <x v="11"/>
    <x v="4"/>
    <m/>
    <s v="Kachin"/>
    <x v="1"/>
    <s v="Pa Dauk Myaing(Pa La Na)"/>
    <m/>
    <m/>
    <m/>
    <m/>
    <m/>
    <m/>
    <m/>
    <m/>
    <m/>
    <m/>
    <m/>
    <m/>
    <m/>
    <m/>
    <m/>
    <n v="46"/>
    <m/>
    <m/>
    <m/>
    <m/>
    <m/>
    <m/>
    <m/>
    <m/>
    <m/>
    <m/>
    <m/>
    <m/>
    <m/>
    <m/>
    <m/>
    <m/>
    <m/>
    <n v="1"/>
    <m/>
    <m/>
    <m/>
    <s v="MMR001CMP162"/>
    <m/>
  </r>
  <r>
    <x v="64"/>
    <x v="11"/>
    <x v="4"/>
    <m/>
    <s v="Kachin"/>
    <x v="1"/>
    <s v="Shatapru Sut Ngai Tawng"/>
    <m/>
    <m/>
    <m/>
    <m/>
    <m/>
    <m/>
    <m/>
    <m/>
    <m/>
    <m/>
    <m/>
    <m/>
    <m/>
    <m/>
    <m/>
    <n v="119"/>
    <m/>
    <m/>
    <m/>
    <m/>
    <m/>
    <m/>
    <m/>
    <m/>
    <m/>
    <m/>
    <m/>
    <m/>
    <m/>
    <m/>
    <m/>
    <m/>
    <m/>
    <n v="1"/>
    <m/>
    <m/>
    <m/>
    <s v="MMR001CMP006"/>
    <m/>
  </r>
  <r>
    <x v="64"/>
    <x v="11"/>
    <x v="4"/>
    <m/>
    <s v="Kachin"/>
    <x v="1"/>
    <s v="Shatapru Thida Aye Baptist Church"/>
    <m/>
    <m/>
    <m/>
    <m/>
    <m/>
    <m/>
    <m/>
    <m/>
    <m/>
    <m/>
    <m/>
    <m/>
    <m/>
    <m/>
    <m/>
    <n v="23"/>
    <m/>
    <m/>
    <m/>
    <m/>
    <m/>
    <m/>
    <m/>
    <m/>
    <m/>
    <m/>
    <m/>
    <m/>
    <m/>
    <m/>
    <m/>
    <m/>
    <m/>
    <n v="1"/>
    <m/>
    <m/>
    <m/>
    <s v="MMR001CMP007"/>
    <m/>
  </r>
  <r>
    <x v="64"/>
    <x v="11"/>
    <x v="4"/>
    <m/>
    <s v="Kachin"/>
    <x v="1"/>
    <s v="Shwe Zet Baptist Church"/>
    <m/>
    <m/>
    <m/>
    <m/>
    <m/>
    <m/>
    <m/>
    <m/>
    <m/>
    <m/>
    <m/>
    <m/>
    <m/>
    <m/>
    <m/>
    <n v="91"/>
    <m/>
    <m/>
    <m/>
    <m/>
    <m/>
    <m/>
    <m/>
    <m/>
    <m/>
    <m/>
    <m/>
    <m/>
    <m/>
    <m/>
    <m/>
    <m/>
    <m/>
    <n v="1"/>
    <m/>
    <m/>
    <m/>
    <s v="MMR001CMP009"/>
    <m/>
  </r>
  <r>
    <x v="64"/>
    <x v="11"/>
    <x v="4"/>
    <m/>
    <s v="Kachin"/>
    <x v="1"/>
    <s v="Tat Kone Baptist Church"/>
    <m/>
    <m/>
    <m/>
    <m/>
    <m/>
    <m/>
    <m/>
    <m/>
    <m/>
    <m/>
    <m/>
    <m/>
    <m/>
    <m/>
    <m/>
    <n v="69"/>
    <m/>
    <m/>
    <m/>
    <m/>
    <m/>
    <m/>
    <m/>
    <m/>
    <m/>
    <m/>
    <m/>
    <m/>
    <m/>
    <m/>
    <m/>
    <m/>
    <m/>
    <n v="1"/>
    <m/>
    <m/>
    <m/>
    <s v="MMR001CMP001"/>
    <m/>
  </r>
  <r>
    <x v="64"/>
    <x v="11"/>
    <x v="4"/>
    <m/>
    <s v="Kachin"/>
    <x v="1"/>
    <s v="Tat Kone Emanuel Church"/>
    <m/>
    <m/>
    <m/>
    <m/>
    <m/>
    <m/>
    <m/>
    <m/>
    <m/>
    <m/>
    <m/>
    <m/>
    <m/>
    <m/>
    <m/>
    <n v="7"/>
    <m/>
    <m/>
    <m/>
    <m/>
    <m/>
    <m/>
    <m/>
    <m/>
    <m/>
    <m/>
    <m/>
    <m/>
    <m/>
    <m/>
    <m/>
    <m/>
    <m/>
    <n v="1"/>
    <m/>
    <m/>
    <m/>
    <s v="MMR001CMP004"/>
    <m/>
  </r>
  <r>
    <x v="64"/>
    <x v="11"/>
    <x v="4"/>
    <m/>
    <s v="Kachin"/>
    <x v="1"/>
    <s v="Tat Kone Galile Baptist Church"/>
    <m/>
    <m/>
    <m/>
    <m/>
    <m/>
    <m/>
    <m/>
    <m/>
    <m/>
    <m/>
    <m/>
    <m/>
    <m/>
    <m/>
    <m/>
    <n v="30"/>
    <m/>
    <m/>
    <m/>
    <m/>
    <m/>
    <m/>
    <m/>
    <m/>
    <m/>
    <m/>
    <m/>
    <m/>
    <m/>
    <m/>
    <m/>
    <m/>
    <m/>
    <n v="1"/>
    <m/>
    <m/>
    <m/>
    <s v="MMR001CMP003"/>
    <m/>
  </r>
  <r>
    <x v="64"/>
    <x v="11"/>
    <x v="4"/>
    <m/>
    <s v="Kachin"/>
    <x v="1"/>
    <s v="Tat Kone San Pya Baptist Church"/>
    <m/>
    <m/>
    <m/>
    <m/>
    <m/>
    <m/>
    <m/>
    <m/>
    <m/>
    <m/>
    <m/>
    <m/>
    <m/>
    <m/>
    <m/>
    <n v="46"/>
    <m/>
    <m/>
    <m/>
    <m/>
    <m/>
    <m/>
    <m/>
    <m/>
    <m/>
    <m/>
    <m/>
    <m/>
    <m/>
    <m/>
    <m/>
    <m/>
    <m/>
    <n v="1"/>
    <m/>
    <m/>
    <m/>
    <s v="MMR001CMP005"/>
    <m/>
  </r>
  <r>
    <x v="64"/>
    <x v="11"/>
    <x v="4"/>
    <m/>
    <s v="Kachin"/>
    <x v="1"/>
    <s v="Tat Kone COC Baptist - Tat Kone Htoi San"/>
    <m/>
    <m/>
    <m/>
    <m/>
    <m/>
    <m/>
    <m/>
    <m/>
    <m/>
    <m/>
    <m/>
    <m/>
    <m/>
    <m/>
    <m/>
    <n v="54"/>
    <m/>
    <m/>
    <m/>
    <m/>
    <m/>
    <m/>
    <m/>
    <m/>
    <m/>
    <m/>
    <m/>
    <m/>
    <m/>
    <m/>
    <m/>
    <m/>
    <m/>
    <n v="1"/>
    <m/>
    <m/>
    <m/>
    <s v="MMR001CMP023"/>
    <m/>
  </r>
  <r>
    <x v="64"/>
    <x v="11"/>
    <x v="4"/>
    <m/>
    <s v="Kachin"/>
    <x v="1"/>
    <s v="Du Kahtawng Baptist"/>
    <m/>
    <m/>
    <m/>
    <m/>
    <m/>
    <m/>
    <m/>
    <m/>
    <m/>
    <m/>
    <m/>
    <m/>
    <m/>
    <m/>
    <m/>
    <n v="20"/>
    <m/>
    <m/>
    <m/>
    <m/>
    <m/>
    <m/>
    <m/>
    <m/>
    <m/>
    <m/>
    <m/>
    <m/>
    <m/>
    <m/>
    <m/>
    <m/>
    <m/>
    <n v="1"/>
    <m/>
    <m/>
    <m/>
    <s v="MMR001CMP010"/>
    <m/>
  </r>
  <r>
    <x v="64"/>
    <x v="11"/>
    <x v="4"/>
    <m/>
    <s v="Kachin"/>
    <x v="15"/>
    <s v="Nawng Ing (Indawgyi) Baptist Church  "/>
    <m/>
    <m/>
    <m/>
    <m/>
    <m/>
    <m/>
    <m/>
    <m/>
    <m/>
    <m/>
    <m/>
    <m/>
    <m/>
    <m/>
    <m/>
    <n v="23"/>
    <m/>
    <m/>
    <m/>
    <m/>
    <m/>
    <m/>
    <m/>
    <m/>
    <m/>
    <m/>
    <m/>
    <m/>
    <m/>
    <m/>
    <m/>
    <m/>
    <m/>
    <n v="1"/>
    <m/>
    <m/>
    <m/>
    <s v="MMR001CMP152"/>
    <m/>
  </r>
  <r>
    <x v="64"/>
    <x v="11"/>
    <x v="4"/>
    <m/>
    <s v="Kachin"/>
    <x v="15"/>
    <s v="St. Patrick Catholic Church "/>
    <m/>
    <m/>
    <m/>
    <m/>
    <m/>
    <m/>
    <m/>
    <m/>
    <m/>
    <m/>
    <m/>
    <m/>
    <m/>
    <m/>
    <m/>
    <n v="11"/>
    <m/>
    <m/>
    <m/>
    <m/>
    <m/>
    <m/>
    <m/>
    <m/>
    <m/>
    <m/>
    <m/>
    <m/>
    <m/>
    <m/>
    <m/>
    <m/>
    <m/>
    <n v="1"/>
    <m/>
    <m/>
    <m/>
    <s v="MMR001CMP080"/>
    <m/>
  </r>
  <r>
    <x v="64"/>
    <x v="11"/>
    <x v="4"/>
    <m/>
    <s v="Kachin"/>
    <x v="15"/>
    <s v="Aup Kyin Shan "/>
    <m/>
    <m/>
    <m/>
    <m/>
    <m/>
    <m/>
    <m/>
    <m/>
    <m/>
    <m/>
    <m/>
    <m/>
    <m/>
    <m/>
    <m/>
    <n v="54"/>
    <m/>
    <m/>
    <m/>
    <m/>
    <m/>
    <m/>
    <m/>
    <m/>
    <m/>
    <m/>
    <m/>
    <m/>
    <m/>
    <m/>
    <m/>
    <m/>
    <m/>
    <n v="1"/>
    <m/>
    <m/>
    <m/>
    <s v=""/>
    <m/>
  </r>
  <r>
    <x v="64"/>
    <x v="11"/>
    <x v="4"/>
    <s v="ICRC"/>
    <s v="Kachin"/>
    <x v="4"/>
    <s v="Shwe Gu Baptist Church"/>
    <m/>
    <m/>
    <m/>
    <m/>
    <m/>
    <m/>
    <m/>
    <m/>
    <m/>
    <m/>
    <m/>
    <m/>
    <n v="344"/>
    <n v="602"/>
    <n v="1032"/>
    <n v="172"/>
    <m/>
    <m/>
    <m/>
    <m/>
    <m/>
    <m/>
    <m/>
    <m/>
    <m/>
    <m/>
    <m/>
    <m/>
    <m/>
    <m/>
    <m/>
    <m/>
    <m/>
    <n v="1"/>
    <m/>
    <m/>
    <m/>
    <s v="MMR001CMP067"/>
    <m/>
  </r>
  <r>
    <x v="64"/>
    <x v="11"/>
    <x v="4"/>
    <s v="ICRC"/>
    <s v="Kachin"/>
    <x v="4"/>
    <s v="Shwe Gu Catholic Church"/>
    <m/>
    <m/>
    <m/>
    <m/>
    <m/>
    <m/>
    <m/>
    <m/>
    <m/>
    <m/>
    <m/>
    <m/>
    <n v="212"/>
    <n v="371"/>
    <n v="636"/>
    <n v="106"/>
    <m/>
    <m/>
    <m/>
    <m/>
    <m/>
    <m/>
    <m/>
    <m/>
    <m/>
    <m/>
    <m/>
    <m/>
    <m/>
    <m/>
    <m/>
    <m/>
    <m/>
    <n v="1"/>
    <m/>
    <m/>
    <m/>
    <s v="MMR001CMP068"/>
    <m/>
  </r>
  <r>
    <x v="64"/>
    <x v="11"/>
    <x v="9"/>
    <s v="UNFPA"/>
    <s v="Shan_North"/>
    <x v="14"/>
    <s v="Nam Hkam - Nay Win Ni (Palawng)"/>
    <m/>
    <m/>
    <n v="7"/>
    <m/>
    <m/>
    <m/>
    <m/>
    <m/>
    <m/>
    <m/>
    <m/>
    <m/>
    <m/>
    <m/>
    <m/>
    <m/>
    <m/>
    <m/>
    <m/>
    <m/>
    <m/>
    <m/>
    <m/>
    <m/>
    <m/>
    <m/>
    <m/>
    <m/>
    <m/>
    <m/>
    <m/>
    <m/>
    <m/>
    <n v="0"/>
    <m/>
    <m/>
    <m/>
    <s v="MMR015CMP004"/>
    <m/>
  </r>
  <r>
    <x v="65"/>
    <x v="11"/>
    <x v="7"/>
    <s v="RI"/>
    <s v="Shan_North"/>
    <x v="14"/>
    <s v="Namhkan - Pang Long KBC"/>
    <m/>
    <m/>
    <m/>
    <m/>
    <m/>
    <m/>
    <m/>
    <m/>
    <m/>
    <m/>
    <m/>
    <m/>
    <m/>
    <m/>
    <n v="15"/>
    <m/>
    <m/>
    <m/>
    <m/>
    <m/>
    <m/>
    <m/>
    <m/>
    <m/>
    <m/>
    <m/>
    <m/>
    <m/>
    <m/>
    <m/>
    <m/>
    <m/>
    <m/>
    <n v="1"/>
    <m/>
    <m/>
    <m/>
    <s v="MMR015CMP215"/>
    <m/>
  </r>
  <r>
    <x v="65"/>
    <x v="11"/>
    <x v="7"/>
    <s v="RI"/>
    <s v="Shan_North"/>
    <x v="14"/>
    <s v="Nam Hkam - Nay Win Ni (Palawng)"/>
    <m/>
    <m/>
    <m/>
    <m/>
    <m/>
    <m/>
    <m/>
    <m/>
    <m/>
    <m/>
    <m/>
    <m/>
    <m/>
    <m/>
    <n v="8"/>
    <m/>
    <m/>
    <m/>
    <m/>
    <m/>
    <m/>
    <m/>
    <m/>
    <m/>
    <m/>
    <m/>
    <m/>
    <m/>
    <m/>
    <m/>
    <m/>
    <m/>
    <m/>
    <n v="1"/>
    <m/>
    <m/>
    <m/>
    <s v="MMR015CMP004"/>
    <m/>
  </r>
  <r>
    <x v="65"/>
    <x v="11"/>
    <x v="7"/>
    <s v="RI"/>
    <s v="Shan_North"/>
    <x v="14"/>
    <s v="Nam Hkam Catholic Church ( St. Thomas I)"/>
    <m/>
    <m/>
    <m/>
    <m/>
    <m/>
    <m/>
    <m/>
    <m/>
    <m/>
    <m/>
    <m/>
    <m/>
    <m/>
    <m/>
    <n v="1"/>
    <m/>
    <m/>
    <m/>
    <m/>
    <m/>
    <m/>
    <m/>
    <m/>
    <m/>
    <m/>
    <m/>
    <m/>
    <m/>
    <m/>
    <m/>
    <m/>
    <m/>
    <m/>
    <n v="1"/>
    <m/>
    <m/>
    <m/>
    <s v="MMR015CMP003"/>
    <m/>
  </r>
  <r>
    <x v="65"/>
    <x v="11"/>
    <x v="10"/>
    <s v="SCI"/>
    <s v="Kachin"/>
    <x v="2"/>
    <s v="Man Wing Catholic Church"/>
    <m/>
    <m/>
    <m/>
    <n v="11"/>
    <m/>
    <m/>
    <m/>
    <m/>
    <m/>
    <m/>
    <m/>
    <m/>
    <m/>
    <m/>
    <m/>
    <m/>
    <m/>
    <m/>
    <m/>
    <m/>
    <m/>
    <m/>
    <m/>
    <m/>
    <m/>
    <m/>
    <m/>
    <m/>
    <m/>
    <m/>
    <m/>
    <m/>
    <m/>
    <n v="0"/>
    <m/>
    <m/>
    <m/>
    <s v="MMR001CMP132"/>
    <s v="9/1/2018: Updated NFI distribution. Data source SCI"/>
  </r>
  <r>
    <x v="65"/>
    <x v="11"/>
    <x v="10"/>
    <s v="SCI"/>
    <s v="Kachin"/>
    <x v="2"/>
    <s v="Man Wing Catholic Church II"/>
    <m/>
    <m/>
    <m/>
    <n v="3"/>
    <m/>
    <m/>
    <m/>
    <m/>
    <m/>
    <m/>
    <m/>
    <m/>
    <m/>
    <m/>
    <m/>
    <m/>
    <m/>
    <m/>
    <m/>
    <m/>
    <m/>
    <m/>
    <m/>
    <m/>
    <m/>
    <m/>
    <m/>
    <m/>
    <m/>
    <m/>
    <m/>
    <m/>
    <m/>
    <n v="0"/>
    <m/>
    <m/>
    <m/>
    <s v="MMR001CMP228"/>
    <s v="9/1/2018: Updated NFI distribution. Data source SCI"/>
  </r>
  <r>
    <x v="65"/>
    <x v="11"/>
    <x v="10"/>
    <s v="SCI"/>
    <s v="Kachin"/>
    <x v="2"/>
    <s v="Man Wing Baptist Church Cultural Compound"/>
    <m/>
    <m/>
    <m/>
    <n v="20"/>
    <m/>
    <m/>
    <m/>
    <m/>
    <m/>
    <m/>
    <m/>
    <m/>
    <m/>
    <m/>
    <m/>
    <m/>
    <m/>
    <m/>
    <m/>
    <m/>
    <m/>
    <m/>
    <m/>
    <m/>
    <m/>
    <m/>
    <m/>
    <m/>
    <m/>
    <m/>
    <m/>
    <m/>
    <m/>
    <n v="0"/>
    <m/>
    <m/>
    <m/>
    <s v="MMR001CMP230"/>
    <s v="9/1/2018: Updated NFI distribution. Data source SCI"/>
  </r>
  <r>
    <x v="65"/>
    <x v="11"/>
    <x v="10"/>
    <s v="SCI"/>
    <s v="Shan_North"/>
    <x v="14"/>
    <s v="Namhkan - Pang Long KBC"/>
    <m/>
    <m/>
    <m/>
    <n v="14"/>
    <m/>
    <m/>
    <m/>
    <m/>
    <m/>
    <m/>
    <m/>
    <m/>
    <m/>
    <m/>
    <m/>
    <m/>
    <m/>
    <m/>
    <m/>
    <m/>
    <m/>
    <m/>
    <m/>
    <m/>
    <m/>
    <m/>
    <m/>
    <m/>
    <m/>
    <m/>
    <m/>
    <m/>
    <m/>
    <n v="0"/>
    <m/>
    <m/>
    <m/>
    <s v="MMR015CMP215"/>
    <s v="9/1/2018: Updated NFI distribution. Data source SCI"/>
  </r>
  <r>
    <x v="65"/>
    <x v="11"/>
    <x v="10"/>
    <s v="SCI"/>
    <s v="Shan_North"/>
    <x v="14"/>
    <s v="Nam Hkam - Nay Win Ni (Palawng)"/>
    <m/>
    <m/>
    <m/>
    <n v="8"/>
    <m/>
    <m/>
    <m/>
    <m/>
    <m/>
    <m/>
    <m/>
    <m/>
    <m/>
    <m/>
    <m/>
    <m/>
    <m/>
    <m/>
    <m/>
    <m/>
    <m/>
    <m/>
    <m/>
    <m/>
    <m/>
    <m/>
    <m/>
    <m/>
    <m/>
    <m/>
    <m/>
    <m/>
    <m/>
    <n v="0"/>
    <m/>
    <m/>
    <m/>
    <s v="MMR015CMP004"/>
    <s v="9/1/2018: Updated NFI distribution. Data source SCI"/>
  </r>
  <r>
    <x v="66"/>
    <x v="12"/>
    <x v="7"/>
    <s v="RI"/>
    <s v="Shan_North"/>
    <x v="16"/>
    <s v="Thanti Thukha Religious building"/>
    <m/>
    <m/>
    <m/>
    <m/>
    <m/>
    <m/>
    <m/>
    <m/>
    <m/>
    <m/>
    <m/>
    <m/>
    <m/>
    <m/>
    <n v="72"/>
    <m/>
    <m/>
    <m/>
    <n v="10"/>
    <m/>
    <m/>
    <m/>
    <m/>
    <m/>
    <m/>
    <m/>
    <m/>
    <m/>
    <m/>
    <m/>
    <m/>
    <m/>
    <m/>
    <n v="1"/>
    <m/>
    <m/>
    <m/>
    <s v=""/>
    <m/>
  </r>
  <r>
    <x v="66"/>
    <x v="12"/>
    <x v="7"/>
    <s v="CSOs"/>
    <s v="Shan_North"/>
    <x v="16"/>
    <s v="Thanti Thukha Religious building"/>
    <m/>
    <m/>
    <m/>
    <m/>
    <m/>
    <m/>
    <m/>
    <m/>
    <m/>
    <m/>
    <m/>
    <m/>
    <n v="144"/>
    <m/>
    <n v="144"/>
    <n v="144"/>
    <m/>
    <m/>
    <n v="10"/>
    <m/>
    <m/>
    <m/>
    <m/>
    <m/>
    <m/>
    <m/>
    <m/>
    <m/>
    <m/>
    <m/>
    <m/>
    <m/>
    <m/>
    <n v="1"/>
    <m/>
    <m/>
    <m/>
    <s v=""/>
    <m/>
  </r>
  <r>
    <x v="66"/>
    <x v="12"/>
    <x v="7"/>
    <s v="CSOs"/>
    <s v="Shan_North"/>
    <x v="16"/>
    <s v="Aung Min Galar (Monastery)"/>
    <m/>
    <m/>
    <m/>
    <m/>
    <m/>
    <m/>
    <m/>
    <m/>
    <m/>
    <m/>
    <m/>
    <m/>
    <n v="102"/>
    <m/>
    <n v="102"/>
    <n v="102"/>
    <m/>
    <m/>
    <n v="10"/>
    <m/>
    <m/>
    <m/>
    <m/>
    <m/>
    <m/>
    <m/>
    <m/>
    <m/>
    <m/>
    <m/>
    <m/>
    <m/>
    <m/>
    <n v="1"/>
    <m/>
    <m/>
    <m/>
    <s v=""/>
    <m/>
  </r>
  <r>
    <x v="66"/>
    <x v="12"/>
    <x v="7"/>
    <s v="CSOs"/>
    <s v="Shan_North"/>
    <x v="16"/>
    <s v="Warso ( Monastery)"/>
    <m/>
    <m/>
    <m/>
    <m/>
    <m/>
    <m/>
    <m/>
    <m/>
    <m/>
    <m/>
    <m/>
    <m/>
    <n v="152"/>
    <m/>
    <n v="152"/>
    <n v="152"/>
    <m/>
    <m/>
    <m/>
    <m/>
    <m/>
    <m/>
    <m/>
    <m/>
    <m/>
    <m/>
    <m/>
    <m/>
    <m/>
    <m/>
    <m/>
    <m/>
    <m/>
    <n v="1"/>
    <m/>
    <m/>
    <m/>
    <s v=""/>
    <m/>
  </r>
  <r>
    <x v="66"/>
    <x v="12"/>
    <x v="7"/>
    <s v="CSOs"/>
    <s v="Shan_North"/>
    <x v="16"/>
    <s v="Aung Myay Thar Yar (Monastery)"/>
    <m/>
    <m/>
    <m/>
    <m/>
    <m/>
    <m/>
    <m/>
    <m/>
    <m/>
    <m/>
    <m/>
    <m/>
    <n v="62"/>
    <m/>
    <n v="62"/>
    <n v="62"/>
    <m/>
    <m/>
    <m/>
    <m/>
    <m/>
    <m/>
    <m/>
    <m/>
    <m/>
    <m/>
    <m/>
    <m/>
    <m/>
    <m/>
    <m/>
    <m/>
    <m/>
    <n v="1"/>
    <m/>
    <m/>
    <m/>
    <s v=""/>
    <m/>
  </r>
  <r>
    <x v="67"/>
    <x v="12"/>
    <x v="7"/>
    <s v="RI"/>
    <s v="Shan_North"/>
    <x v="16"/>
    <s v="Aung Min Galar Monastery"/>
    <m/>
    <m/>
    <m/>
    <m/>
    <m/>
    <m/>
    <m/>
    <m/>
    <m/>
    <m/>
    <m/>
    <m/>
    <m/>
    <m/>
    <n v="51"/>
    <m/>
    <m/>
    <m/>
    <n v="10"/>
    <m/>
    <m/>
    <m/>
    <m/>
    <m/>
    <m/>
    <m/>
    <m/>
    <m/>
    <m/>
    <m/>
    <m/>
    <m/>
    <m/>
    <n v="1"/>
    <m/>
    <m/>
    <m/>
    <s v=""/>
    <m/>
  </r>
  <r>
    <x v="68"/>
    <x v="12"/>
    <x v="7"/>
    <s v="RI"/>
    <s v="Shan_North"/>
    <x v="16"/>
    <s v="Warso Monastery"/>
    <m/>
    <m/>
    <m/>
    <m/>
    <m/>
    <m/>
    <m/>
    <m/>
    <m/>
    <m/>
    <m/>
    <m/>
    <m/>
    <m/>
    <n v="76"/>
    <m/>
    <m/>
    <m/>
    <m/>
    <m/>
    <m/>
    <m/>
    <m/>
    <m/>
    <m/>
    <m/>
    <m/>
    <m/>
    <m/>
    <m/>
    <m/>
    <m/>
    <m/>
    <n v="1"/>
    <m/>
    <m/>
    <m/>
    <s v=""/>
    <m/>
  </r>
  <r>
    <x v="69"/>
    <x v="12"/>
    <x v="7"/>
    <s v="RI"/>
    <s v="Shan_North"/>
    <x v="16"/>
    <s v="Aung Myay Thar Yar Monastery"/>
    <m/>
    <m/>
    <m/>
    <m/>
    <m/>
    <m/>
    <m/>
    <m/>
    <m/>
    <m/>
    <m/>
    <m/>
    <m/>
    <m/>
    <n v="31"/>
    <m/>
    <m/>
    <m/>
    <m/>
    <m/>
    <m/>
    <m/>
    <m/>
    <m/>
    <m/>
    <m/>
    <m/>
    <m/>
    <m/>
    <m/>
    <m/>
    <m/>
    <m/>
    <n v="1"/>
    <m/>
    <m/>
    <m/>
    <s v=""/>
    <m/>
  </r>
  <r>
    <x v="70"/>
    <x v="12"/>
    <x v="7"/>
    <s v="CSOs"/>
    <s v="Shan_North"/>
    <x v="11"/>
    <s v="Jawsaw"/>
    <m/>
    <n v="18"/>
    <m/>
    <m/>
    <m/>
    <m/>
    <m/>
    <m/>
    <m/>
    <m/>
    <m/>
    <m/>
    <m/>
    <m/>
    <m/>
    <m/>
    <m/>
    <m/>
    <m/>
    <m/>
    <m/>
    <m/>
    <m/>
    <m/>
    <m/>
    <m/>
    <m/>
    <m/>
    <m/>
    <m/>
    <m/>
    <m/>
    <m/>
    <n v="0"/>
    <m/>
    <m/>
    <m/>
    <s v=""/>
    <m/>
  </r>
  <r>
    <x v="71"/>
    <x v="12"/>
    <x v="5"/>
    <s v="UNHCR"/>
    <s v="Kachin"/>
    <x v="7"/>
    <s v="Chipwi KBC camp"/>
    <m/>
    <m/>
    <m/>
    <m/>
    <m/>
    <m/>
    <m/>
    <m/>
    <m/>
    <m/>
    <m/>
    <m/>
    <n v="284"/>
    <n v="236"/>
    <m/>
    <m/>
    <m/>
    <m/>
    <m/>
    <m/>
    <m/>
    <m/>
    <m/>
    <m/>
    <m/>
    <m/>
    <m/>
    <m/>
    <m/>
    <m/>
    <m/>
    <m/>
    <m/>
    <n v="1"/>
    <m/>
    <m/>
    <m/>
    <s v="MMR001CMP042"/>
    <m/>
  </r>
  <r>
    <x v="71"/>
    <x v="12"/>
    <x v="5"/>
    <s v="UNHCR"/>
    <s v="Kachin"/>
    <x v="7"/>
    <s v="Lhaovao Baptist Church (LBC)"/>
    <m/>
    <m/>
    <m/>
    <m/>
    <m/>
    <m/>
    <m/>
    <m/>
    <m/>
    <m/>
    <m/>
    <m/>
    <n v="295"/>
    <n v="345"/>
    <m/>
    <m/>
    <m/>
    <m/>
    <m/>
    <m/>
    <m/>
    <m/>
    <m/>
    <m/>
    <m/>
    <m/>
    <m/>
    <m/>
    <m/>
    <m/>
    <m/>
    <m/>
    <m/>
    <n v="1"/>
    <m/>
    <m/>
    <m/>
    <s v="MMR001CMP195"/>
    <m/>
  </r>
  <r>
    <x v="72"/>
    <x v="13"/>
    <x v="7"/>
    <s v="CSOs"/>
    <s v="Shan_North"/>
    <x v="10"/>
    <s v="Kaung AI (Monastery)"/>
    <m/>
    <n v="52"/>
    <m/>
    <m/>
    <m/>
    <m/>
    <m/>
    <m/>
    <m/>
    <m/>
    <m/>
    <m/>
    <m/>
    <m/>
    <m/>
    <m/>
    <m/>
    <m/>
    <m/>
    <m/>
    <m/>
    <m/>
    <m/>
    <m/>
    <m/>
    <m/>
    <m/>
    <m/>
    <m/>
    <m/>
    <m/>
    <m/>
    <m/>
    <n v="0"/>
    <m/>
    <m/>
    <m/>
    <s v=""/>
    <m/>
  </r>
  <r>
    <x v="72"/>
    <x v="13"/>
    <x v="7"/>
    <s v="CSOs"/>
    <s v="Shan_North"/>
    <x v="10"/>
    <s v="Hkauk Kwe (Monastery)"/>
    <m/>
    <n v="13"/>
    <m/>
    <m/>
    <m/>
    <m/>
    <m/>
    <m/>
    <m/>
    <m/>
    <m/>
    <m/>
    <m/>
    <m/>
    <m/>
    <m/>
    <m/>
    <m/>
    <m/>
    <m/>
    <m/>
    <m/>
    <m/>
    <m/>
    <m/>
    <m/>
    <m/>
    <m/>
    <m/>
    <m/>
    <m/>
    <m/>
    <m/>
    <n v="0"/>
    <m/>
    <m/>
    <m/>
    <s v=""/>
    <m/>
  </r>
  <r>
    <x v="65"/>
    <x v="11"/>
    <x v="11"/>
    <s v="KMSS_Myitkyina"/>
    <s v="Kachin"/>
    <x v="7"/>
    <s v="Pan Wa"/>
    <m/>
    <m/>
    <m/>
    <m/>
    <m/>
    <m/>
    <m/>
    <n v="270"/>
    <m/>
    <m/>
    <m/>
    <m/>
    <n v="95"/>
    <m/>
    <m/>
    <n v="123"/>
    <m/>
    <m/>
    <m/>
    <m/>
    <e v="#REF!"/>
    <e v="#REF!"/>
    <e v="#REF!"/>
    <e v="#REF!"/>
    <e v="#REF!"/>
    <e v="#REF!"/>
    <e v="#REF!"/>
    <e v="#REF!"/>
    <e v="#REF!"/>
    <e v="#REF!"/>
    <m/>
    <m/>
    <m/>
    <n v="1"/>
    <m/>
    <m/>
    <m/>
    <s v="MMR001CMP210"/>
    <m/>
  </r>
  <r>
    <x v="65"/>
    <x v="11"/>
    <x v="11"/>
    <s v="KMSS_Myitkyina"/>
    <s v="Kachin"/>
    <x v="7"/>
    <s v="Saw Zam"/>
    <m/>
    <m/>
    <m/>
    <m/>
    <m/>
    <m/>
    <m/>
    <n v="171"/>
    <m/>
    <m/>
    <m/>
    <m/>
    <n v="86"/>
    <m/>
    <m/>
    <n v="60"/>
    <m/>
    <m/>
    <m/>
    <m/>
    <e v="#REF!"/>
    <e v="#REF!"/>
    <e v="#REF!"/>
    <e v="#REF!"/>
    <e v="#REF!"/>
    <e v="#REF!"/>
    <e v="#REF!"/>
    <e v="#REF!"/>
    <e v="#REF!"/>
    <e v="#REF!"/>
    <m/>
    <m/>
    <m/>
    <n v="1"/>
    <m/>
    <m/>
    <m/>
    <s v="MMR001CMP225"/>
    <m/>
  </r>
  <r>
    <x v="73"/>
    <x v="14"/>
    <x v="11"/>
    <s v="KMSS_Myitkyina"/>
    <s v="Kachin"/>
    <x v="1"/>
    <s v="Pa Dauk Myaing(Pa La Na)"/>
    <m/>
    <m/>
    <m/>
    <n v="9"/>
    <n v="9"/>
    <n v="18"/>
    <n v="9"/>
    <n v="28"/>
    <n v="9"/>
    <m/>
    <n v="9"/>
    <n v="26"/>
    <m/>
    <m/>
    <m/>
    <m/>
    <n v="9"/>
    <m/>
    <m/>
    <m/>
    <e v="#REF!"/>
    <e v="#REF!"/>
    <e v="#REF!"/>
    <e v="#REF!"/>
    <e v="#REF!"/>
    <e v="#REF!"/>
    <e v="#REF!"/>
    <e v="#REF!"/>
    <e v="#REF!"/>
    <e v="#REF!"/>
    <m/>
    <m/>
    <m/>
    <n v="0"/>
    <m/>
    <m/>
    <m/>
    <s v="MMR001CMP162"/>
    <m/>
  </r>
  <r>
    <x v="74"/>
    <x v="14"/>
    <x v="11"/>
    <s v="KMSS_Myitkyina"/>
    <s v="Kachin"/>
    <x v="0"/>
    <s v="Maina Catholic Church (St. Joseph)"/>
    <m/>
    <m/>
    <m/>
    <m/>
    <m/>
    <m/>
    <m/>
    <m/>
    <m/>
    <m/>
    <m/>
    <m/>
    <m/>
    <m/>
    <n v="1473"/>
    <m/>
    <m/>
    <m/>
    <m/>
    <m/>
    <e v="#REF!"/>
    <e v="#REF!"/>
    <e v="#REF!"/>
    <e v="#REF!"/>
    <e v="#REF!"/>
    <e v="#REF!"/>
    <e v="#REF!"/>
    <e v="#REF!"/>
    <e v="#REF!"/>
    <e v="#REF!"/>
    <m/>
    <m/>
    <m/>
    <n v="1"/>
    <m/>
    <m/>
    <m/>
    <s v="MMR001CMP029"/>
    <m/>
  </r>
  <r>
    <x v="75"/>
    <x v="12"/>
    <x v="12"/>
    <m/>
    <s v="Shan_North"/>
    <x v="11"/>
    <s v="Nam Tu Baptist"/>
    <n v="1"/>
    <m/>
    <m/>
    <m/>
    <m/>
    <m/>
    <m/>
    <m/>
    <m/>
    <m/>
    <m/>
    <m/>
    <m/>
    <m/>
    <m/>
    <m/>
    <m/>
    <m/>
    <m/>
    <m/>
    <e v="#REF!"/>
    <e v="#REF!"/>
    <e v="#REF!"/>
    <e v="#REF!"/>
    <e v="#REF!"/>
    <e v="#REF!"/>
    <e v="#REF!"/>
    <e v="#REF!"/>
    <e v="#REF!"/>
    <e v="#REF!"/>
    <m/>
    <m/>
    <m/>
    <n v="0"/>
    <m/>
    <m/>
    <m/>
    <s v="MMR015CMP014"/>
    <m/>
  </r>
  <r>
    <x v="75"/>
    <x v="12"/>
    <x v="12"/>
    <m/>
    <s v="Shan_North"/>
    <x v="11"/>
    <s v="Lisu Church Namtu"/>
    <n v="1"/>
    <m/>
    <m/>
    <m/>
    <m/>
    <m/>
    <m/>
    <m/>
    <m/>
    <m/>
    <m/>
    <m/>
    <m/>
    <m/>
    <m/>
    <m/>
    <m/>
    <m/>
    <m/>
    <m/>
    <e v="#REF!"/>
    <e v="#REF!"/>
    <e v="#REF!"/>
    <e v="#REF!"/>
    <e v="#REF!"/>
    <e v="#REF!"/>
    <e v="#REF!"/>
    <e v="#REF!"/>
    <e v="#REF!"/>
    <e v="#REF!"/>
    <m/>
    <m/>
    <m/>
    <n v="0"/>
    <m/>
    <m/>
    <m/>
    <s v="MMR015CMP232"/>
    <s v=" "/>
  </r>
  <r>
    <x v="75"/>
    <x v="12"/>
    <x v="12"/>
    <m/>
    <s v="Kachin"/>
    <x v="2"/>
    <s v="Man Wing Catholic Church"/>
    <m/>
    <n v="3"/>
    <m/>
    <m/>
    <m/>
    <m/>
    <m/>
    <m/>
    <n v="3"/>
    <m/>
    <m/>
    <m/>
    <n v="3"/>
    <n v="3"/>
    <n v="3"/>
    <m/>
    <m/>
    <m/>
    <m/>
    <m/>
    <e v="#REF!"/>
    <e v="#REF!"/>
    <e v="#REF!"/>
    <e v="#REF!"/>
    <e v="#REF!"/>
    <e v="#REF!"/>
    <e v="#REF!"/>
    <e v="#REF!"/>
    <e v="#REF!"/>
    <e v="#REF!"/>
    <m/>
    <m/>
    <m/>
    <n v="1"/>
    <m/>
    <m/>
    <m/>
    <s v="MMR001CMP132"/>
    <m/>
  </r>
  <r>
    <x v="76"/>
    <x v="12"/>
    <x v="12"/>
    <m/>
    <s v="Shan_North"/>
    <x v="11"/>
    <s v="Kyu Sot"/>
    <n v="1"/>
    <m/>
    <m/>
    <m/>
    <m/>
    <m/>
    <m/>
    <m/>
    <m/>
    <m/>
    <m/>
    <m/>
    <m/>
    <m/>
    <m/>
    <m/>
    <m/>
    <m/>
    <m/>
    <m/>
    <e v="#REF!"/>
    <e v="#REF!"/>
    <e v="#REF!"/>
    <e v="#REF!"/>
    <e v="#REF!"/>
    <e v="#REF!"/>
    <e v="#REF!"/>
    <e v="#REF!"/>
    <e v="#REF!"/>
    <e v="#REF!"/>
    <m/>
    <m/>
    <m/>
    <n v="0"/>
    <m/>
    <m/>
    <m/>
    <s v="MMR015CMP248"/>
    <m/>
  </r>
  <r>
    <x v="77"/>
    <x v="12"/>
    <x v="12"/>
    <m/>
    <s v="Shan_North"/>
    <x v="11"/>
    <s v="Nam Tu Baptist"/>
    <n v="1"/>
    <m/>
    <m/>
    <m/>
    <m/>
    <m/>
    <m/>
    <m/>
    <m/>
    <m/>
    <m/>
    <m/>
    <m/>
    <m/>
    <m/>
    <m/>
    <m/>
    <m/>
    <m/>
    <m/>
    <e v="#REF!"/>
    <e v="#REF!"/>
    <e v="#REF!"/>
    <e v="#REF!"/>
    <e v="#REF!"/>
    <e v="#REF!"/>
    <e v="#REF!"/>
    <e v="#REF!"/>
    <e v="#REF!"/>
    <e v="#REF!"/>
    <m/>
    <m/>
    <m/>
    <n v="0"/>
    <m/>
    <m/>
    <m/>
    <s v="MMR015CMP014"/>
    <m/>
  </r>
  <r>
    <x v="78"/>
    <x v="12"/>
    <x v="12"/>
    <m/>
    <s v="Shan_North"/>
    <x v="11"/>
    <s v="Lisu Church Namtu"/>
    <n v="18"/>
    <m/>
    <m/>
    <m/>
    <m/>
    <m/>
    <m/>
    <m/>
    <m/>
    <m/>
    <m/>
    <m/>
    <m/>
    <m/>
    <m/>
    <m/>
    <m/>
    <m/>
    <m/>
    <m/>
    <e v="#REF!"/>
    <e v="#REF!"/>
    <e v="#REF!"/>
    <e v="#REF!"/>
    <e v="#REF!"/>
    <e v="#REF!"/>
    <e v="#REF!"/>
    <e v="#REF!"/>
    <e v="#REF!"/>
    <e v="#REF!"/>
    <m/>
    <m/>
    <m/>
    <n v="0"/>
    <m/>
    <m/>
    <m/>
    <s v="MMR015CMP232"/>
    <s v="Firewood support included"/>
  </r>
  <r>
    <x v="78"/>
    <x v="12"/>
    <x v="12"/>
    <m/>
    <s v="Shan_North"/>
    <x v="14"/>
    <s v="Nam Hkam Catholic Church ( St. Thomas I)"/>
    <n v="2"/>
    <m/>
    <m/>
    <m/>
    <m/>
    <m/>
    <m/>
    <m/>
    <n v="2"/>
    <m/>
    <n v="2"/>
    <m/>
    <m/>
    <m/>
    <m/>
    <n v="2"/>
    <m/>
    <m/>
    <m/>
    <m/>
    <e v="#REF!"/>
    <e v="#REF!"/>
    <e v="#REF!"/>
    <e v="#REF!"/>
    <e v="#REF!"/>
    <e v="#REF!"/>
    <e v="#REF!"/>
    <e v="#REF!"/>
    <e v="#REF!"/>
    <e v="#REF!"/>
    <m/>
    <m/>
    <m/>
    <n v="1"/>
    <m/>
    <m/>
    <m/>
    <s v="MMR015CMP003"/>
    <s v="Firewood support included"/>
  </r>
  <r>
    <x v="78"/>
    <x v="12"/>
    <x v="12"/>
    <m/>
    <s v="Shan_North"/>
    <x v="14"/>
    <s v="Nam Hkam - Nay Win Ni (Palawng)"/>
    <n v="8"/>
    <m/>
    <m/>
    <m/>
    <m/>
    <m/>
    <m/>
    <m/>
    <n v="8"/>
    <m/>
    <n v="8"/>
    <m/>
    <m/>
    <m/>
    <m/>
    <n v="8"/>
    <m/>
    <m/>
    <m/>
    <m/>
    <e v="#REF!"/>
    <e v="#REF!"/>
    <e v="#REF!"/>
    <e v="#REF!"/>
    <e v="#REF!"/>
    <e v="#REF!"/>
    <e v="#REF!"/>
    <e v="#REF!"/>
    <e v="#REF!"/>
    <e v="#REF!"/>
    <m/>
    <m/>
    <m/>
    <n v="1"/>
    <m/>
    <m/>
    <m/>
    <s v="MMR015CMP004"/>
    <s v="Firewood support included"/>
  </r>
  <r>
    <x v="78"/>
    <x v="12"/>
    <x v="12"/>
    <m/>
    <s v="Shan_North"/>
    <x v="14"/>
    <s v="Namhkan - Pang Long KBC"/>
    <n v="15"/>
    <m/>
    <m/>
    <m/>
    <m/>
    <m/>
    <m/>
    <m/>
    <n v="15"/>
    <m/>
    <n v="15"/>
    <m/>
    <m/>
    <m/>
    <m/>
    <n v="15"/>
    <m/>
    <m/>
    <m/>
    <m/>
    <e v="#REF!"/>
    <e v="#REF!"/>
    <e v="#REF!"/>
    <e v="#REF!"/>
    <e v="#REF!"/>
    <e v="#REF!"/>
    <e v="#REF!"/>
    <e v="#REF!"/>
    <e v="#REF!"/>
    <e v="#REF!"/>
    <m/>
    <m/>
    <m/>
    <n v="1"/>
    <m/>
    <m/>
    <m/>
    <s v="MMR015CMP215"/>
    <s v="Firewood support included"/>
  </r>
  <r>
    <x v="79"/>
    <x v="12"/>
    <x v="12"/>
    <m/>
    <s v="Kachin"/>
    <x v="2"/>
    <s v="Man Wing Catholic Church II"/>
    <m/>
    <n v="8"/>
    <m/>
    <m/>
    <m/>
    <m/>
    <m/>
    <m/>
    <n v="8"/>
    <m/>
    <m/>
    <m/>
    <n v="8"/>
    <n v="8"/>
    <n v="8"/>
    <n v="8"/>
    <m/>
    <m/>
    <m/>
    <m/>
    <e v="#REF!"/>
    <e v="#REF!"/>
    <e v="#REF!"/>
    <e v="#REF!"/>
    <e v="#REF!"/>
    <e v="#REF!"/>
    <e v="#REF!"/>
    <e v="#REF!"/>
    <e v="#REF!"/>
    <e v="#REF!"/>
    <m/>
    <m/>
    <m/>
    <n v="1"/>
    <m/>
    <m/>
    <m/>
    <s v="MMR001CMP228"/>
    <s v="8 Bedsheet"/>
  </r>
  <r>
    <x v="79"/>
    <x v="12"/>
    <x v="12"/>
    <m/>
    <s v="Kachin"/>
    <x v="2"/>
    <s v="Man Wing Baptist Church"/>
    <m/>
    <n v="1"/>
    <m/>
    <m/>
    <m/>
    <m/>
    <m/>
    <m/>
    <n v="1"/>
    <m/>
    <m/>
    <m/>
    <n v="1"/>
    <n v="1"/>
    <n v="1"/>
    <n v="1"/>
    <m/>
    <m/>
    <m/>
    <m/>
    <e v="#REF!"/>
    <e v="#REF!"/>
    <e v="#REF!"/>
    <e v="#REF!"/>
    <e v="#REF!"/>
    <e v="#REF!"/>
    <e v="#REF!"/>
    <e v="#REF!"/>
    <e v="#REF!"/>
    <e v="#REF!"/>
    <m/>
    <m/>
    <m/>
    <n v="1"/>
    <m/>
    <m/>
    <m/>
    <s v="MMR001CMP133"/>
    <s v="1 Bedsheet"/>
  </r>
  <r>
    <x v="79"/>
    <x v="12"/>
    <x v="12"/>
    <m/>
    <s v="Kachin"/>
    <x v="2"/>
    <s v="Man Wing Baptist Church Cultural Compound"/>
    <m/>
    <n v="25"/>
    <m/>
    <m/>
    <m/>
    <m/>
    <m/>
    <m/>
    <n v="25"/>
    <m/>
    <m/>
    <m/>
    <n v="25"/>
    <n v="25"/>
    <n v="25"/>
    <n v="25"/>
    <m/>
    <m/>
    <m/>
    <m/>
    <e v="#REF!"/>
    <e v="#REF!"/>
    <e v="#REF!"/>
    <e v="#REF!"/>
    <e v="#REF!"/>
    <e v="#REF!"/>
    <e v="#REF!"/>
    <e v="#REF!"/>
    <e v="#REF!"/>
    <e v="#REF!"/>
    <m/>
    <m/>
    <m/>
    <n v="1"/>
    <m/>
    <m/>
    <m/>
    <s v="MMR001CMP230"/>
    <s v="25 BedSheet"/>
  </r>
  <r>
    <x v="80"/>
    <x v="12"/>
    <x v="12"/>
    <m/>
    <s v="Shan_North"/>
    <x v="11"/>
    <s v="Lisu Church Namtu"/>
    <n v="1"/>
    <m/>
    <m/>
    <m/>
    <n v="7"/>
    <m/>
    <m/>
    <m/>
    <n v="6"/>
    <m/>
    <m/>
    <m/>
    <n v="19"/>
    <n v="19"/>
    <m/>
    <n v="19"/>
    <m/>
    <m/>
    <m/>
    <m/>
    <e v="#REF!"/>
    <e v="#REF!"/>
    <e v="#REF!"/>
    <e v="#REF!"/>
    <e v="#REF!"/>
    <e v="#REF!"/>
    <e v="#REF!"/>
    <e v="#REF!"/>
    <e v="#REF!"/>
    <e v="#REF!"/>
    <m/>
    <m/>
    <m/>
    <n v="1"/>
    <m/>
    <m/>
    <m/>
    <s v="MMR015CMP232"/>
    <m/>
  </r>
  <r>
    <x v="81"/>
    <x v="13"/>
    <x v="12"/>
    <m/>
    <s v="Shan_North"/>
    <x v="11"/>
    <s v="Nam Tu Baptist"/>
    <n v="18"/>
    <m/>
    <m/>
    <m/>
    <m/>
    <m/>
    <m/>
    <m/>
    <m/>
    <m/>
    <m/>
    <m/>
    <m/>
    <m/>
    <m/>
    <m/>
    <m/>
    <m/>
    <m/>
    <m/>
    <e v="#REF!"/>
    <e v="#REF!"/>
    <e v="#REF!"/>
    <e v="#REF!"/>
    <e v="#REF!"/>
    <e v="#REF!"/>
    <e v="#REF!"/>
    <e v="#REF!"/>
    <e v="#REF!"/>
    <e v="#REF!"/>
    <m/>
    <m/>
    <m/>
    <n v="0"/>
    <m/>
    <m/>
    <m/>
    <s v="MMR015CMP014"/>
    <s v="Transportation charges for Bamboo Transport"/>
  </r>
  <r>
    <x v="82"/>
    <x v="13"/>
    <x v="12"/>
    <m/>
    <s v="Kachin"/>
    <x v="2"/>
    <s v="Man Wing Catholic Church"/>
    <m/>
    <n v="8"/>
    <m/>
    <m/>
    <m/>
    <m/>
    <m/>
    <m/>
    <n v="8"/>
    <m/>
    <m/>
    <m/>
    <n v="8"/>
    <n v="8"/>
    <n v="8"/>
    <m/>
    <m/>
    <m/>
    <m/>
    <m/>
    <e v="#REF!"/>
    <e v="#REF!"/>
    <e v="#REF!"/>
    <e v="#REF!"/>
    <e v="#REF!"/>
    <e v="#REF!"/>
    <e v="#REF!"/>
    <e v="#REF!"/>
    <e v="#REF!"/>
    <e v="#REF!"/>
    <m/>
    <m/>
    <m/>
    <n v="1"/>
    <m/>
    <m/>
    <m/>
    <s v="MMR001CMP132"/>
    <m/>
  </r>
  <r>
    <x v="82"/>
    <x v="13"/>
    <x v="12"/>
    <m/>
    <s v="Kachin"/>
    <x v="2"/>
    <s v="Man Wing Catholic Church II"/>
    <n v="1"/>
    <m/>
    <m/>
    <m/>
    <m/>
    <m/>
    <m/>
    <m/>
    <m/>
    <m/>
    <m/>
    <m/>
    <m/>
    <m/>
    <m/>
    <m/>
    <m/>
    <m/>
    <m/>
    <m/>
    <e v="#REF!"/>
    <e v="#REF!"/>
    <e v="#REF!"/>
    <e v="#REF!"/>
    <e v="#REF!"/>
    <e v="#REF!"/>
    <e v="#REF!"/>
    <e v="#REF!"/>
    <e v="#REF!"/>
    <e v="#REF!"/>
    <m/>
    <m/>
    <m/>
    <n v="0"/>
    <m/>
    <m/>
    <m/>
    <s v="MMR001CMP228"/>
    <m/>
  </r>
  <r>
    <x v="82"/>
    <x v="13"/>
    <x v="12"/>
    <m/>
    <s v="Kachin"/>
    <x v="2"/>
    <s v="Man Wing Baptist Church Cultural Compound"/>
    <n v="1"/>
    <m/>
    <m/>
    <m/>
    <m/>
    <m/>
    <m/>
    <m/>
    <m/>
    <m/>
    <m/>
    <m/>
    <m/>
    <m/>
    <m/>
    <m/>
    <m/>
    <m/>
    <m/>
    <m/>
    <e v="#REF!"/>
    <e v="#REF!"/>
    <e v="#REF!"/>
    <e v="#REF!"/>
    <e v="#REF!"/>
    <e v="#REF!"/>
    <e v="#REF!"/>
    <e v="#REF!"/>
    <e v="#REF!"/>
    <e v="#REF!"/>
    <m/>
    <m/>
    <m/>
    <n v="0"/>
    <m/>
    <m/>
    <m/>
    <s v="MMR001CMP230"/>
    <m/>
  </r>
  <r>
    <x v="83"/>
    <x v="13"/>
    <x v="12"/>
    <m/>
    <s v="Shan_North"/>
    <x v="11"/>
    <s v="Kyu Sot"/>
    <n v="1"/>
    <m/>
    <m/>
    <m/>
    <m/>
    <m/>
    <m/>
    <m/>
    <m/>
    <m/>
    <m/>
    <m/>
    <m/>
    <m/>
    <m/>
    <m/>
    <m/>
    <m/>
    <m/>
    <m/>
    <e v="#REF!"/>
    <e v="#REF!"/>
    <e v="#REF!"/>
    <e v="#REF!"/>
    <e v="#REF!"/>
    <e v="#REF!"/>
    <e v="#REF!"/>
    <e v="#REF!"/>
    <e v="#REF!"/>
    <e v="#REF!"/>
    <m/>
    <m/>
    <m/>
    <n v="0"/>
    <m/>
    <m/>
    <m/>
    <s v="MMR015CMP248"/>
    <m/>
  </r>
  <r>
    <x v="83"/>
    <x v="13"/>
    <x v="12"/>
    <m/>
    <s v="Shan_North"/>
    <x v="11"/>
    <s v="Lisu Church Namtu"/>
    <n v="1"/>
    <m/>
    <m/>
    <m/>
    <m/>
    <m/>
    <m/>
    <m/>
    <m/>
    <m/>
    <m/>
    <m/>
    <m/>
    <m/>
    <m/>
    <m/>
    <m/>
    <m/>
    <m/>
    <m/>
    <e v="#REF!"/>
    <e v="#REF!"/>
    <e v="#REF!"/>
    <e v="#REF!"/>
    <e v="#REF!"/>
    <e v="#REF!"/>
    <e v="#REF!"/>
    <e v="#REF!"/>
    <e v="#REF!"/>
    <e v="#REF!"/>
    <m/>
    <m/>
    <m/>
    <n v="0"/>
    <m/>
    <m/>
    <m/>
    <s v="MMR015CMP232"/>
    <m/>
  </r>
  <r>
    <x v="84"/>
    <x v="13"/>
    <x v="12"/>
    <m/>
    <s v="Shan_North"/>
    <x v="14"/>
    <s v="Mong Wee Shan"/>
    <m/>
    <n v="2"/>
    <m/>
    <m/>
    <m/>
    <n v="2"/>
    <m/>
    <n v="2"/>
    <n v="2"/>
    <m/>
    <m/>
    <m/>
    <n v="2"/>
    <n v="2"/>
    <n v="2"/>
    <m/>
    <m/>
    <m/>
    <m/>
    <m/>
    <e v="#REF!"/>
    <e v="#REF!"/>
    <e v="#REF!"/>
    <e v="#REF!"/>
    <e v="#REF!"/>
    <e v="#REF!"/>
    <e v="#REF!"/>
    <e v="#REF!"/>
    <e v="#REF!"/>
    <e v="#REF!"/>
    <m/>
    <m/>
    <m/>
    <n v="1"/>
    <m/>
    <m/>
    <m/>
    <s v="MMR015CMP224"/>
    <m/>
  </r>
  <r>
    <x v="85"/>
    <x v="13"/>
    <x v="12"/>
    <m/>
    <s v="Shan_North"/>
    <x v="14"/>
    <s v="Mong Wee Shan"/>
    <n v="1"/>
    <m/>
    <m/>
    <m/>
    <m/>
    <m/>
    <m/>
    <m/>
    <m/>
    <m/>
    <m/>
    <m/>
    <m/>
    <m/>
    <m/>
    <m/>
    <m/>
    <m/>
    <m/>
    <m/>
    <e v="#REF!"/>
    <e v="#REF!"/>
    <e v="#REF!"/>
    <e v="#REF!"/>
    <e v="#REF!"/>
    <e v="#REF!"/>
    <e v="#REF!"/>
    <e v="#REF!"/>
    <e v="#REF!"/>
    <e v="#REF!"/>
    <m/>
    <m/>
    <m/>
    <n v="0"/>
    <m/>
    <m/>
    <m/>
    <s v="MMR015CMP224"/>
    <m/>
  </r>
  <r>
    <x v="86"/>
    <x v="14"/>
    <x v="12"/>
    <m/>
    <s v="Kachin"/>
    <x v="2"/>
    <s v="Man Wing Catholic Church"/>
    <n v="2"/>
    <m/>
    <m/>
    <m/>
    <m/>
    <m/>
    <m/>
    <m/>
    <m/>
    <m/>
    <m/>
    <m/>
    <m/>
    <m/>
    <m/>
    <m/>
    <m/>
    <m/>
    <m/>
    <m/>
    <e v="#REF!"/>
    <e v="#REF!"/>
    <e v="#REF!"/>
    <e v="#REF!"/>
    <e v="#REF!"/>
    <e v="#REF!"/>
    <e v="#REF!"/>
    <e v="#REF!"/>
    <e v="#REF!"/>
    <e v="#REF!"/>
    <m/>
    <m/>
    <m/>
    <n v="0"/>
    <m/>
    <m/>
    <m/>
    <s v="MMR001CMP132"/>
    <m/>
  </r>
  <r>
    <x v="87"/>
    <x v="14"/>
    <x v="12"/>
    <m/>
    <s v="Kachin"/>
    <x v="2"/>
    <s v="Man Wing Catholic Church"/>
    <m/>
    <n v="16"/>
    <m/>
    <m/>
    <m/>
    <m/>
    <m/>
    <m/>
    <n v="16"/>
    <m/>
    <m/>
    <m/>
    <n v="16"/>
    <n v="16"/>
    <n v="16"/>
    <n v="16"/>
    <m/>
    <m/>
    <m/>
    <m/>
    <e v="#REF!"/>
    <e v="#REF!"/>
    <e v="#REF!"/>
    <e v="#REF!"/>
    <e v="#REF!"/>
    <e v="#REF!"/>
    <e v="#REF!"/>
    <e v="#REF!"/>
    <e v="#REF!"/>
    <e v="#REF!"/>
    <m/>
    <m/>
    <m/>
    <n v="1"/>
    <m/>
    <m/>
    <m/>
    <s v="MMR001CMP132"/>
    <m/>
  </r>
  <r>
    <x v="88"/>
    <x v="14"/>
    <x v="12"/>
    <m/>
    <s v="Shan_North"/>
    <x v="11"/>
    <s v="Pan Ta Pyae"/>
    <m/>
    <m/>
    <m/>
    <m/>
    <m/>
    <m/>
    <m/>
    <m/>
    <m/>
    <m/>
    <m/>
    <m/>
    <m/>
    <m/>
    <m/>
    <m/>
    <m/>
    <m/>
    <n v="14"/>
    <m/>
    <e v="#REF!"/>
    <e v="#REF!"/>
    <e v="#REF!"/>
    <e v="#REF!"/>
    <e v="#REF!"/>
    <e v="#REF!"/>
    <e v="#REF!"/>
    <e v="#REF!"/>
    <e v="#REF!"/>
    <e v="#REF!"/>
    <m/>
    <m/>
    <m/>
    <n v="0"/>
    <m/>
    <m/>
    <m/>
    <s v="MMR015CMP221"/>
    <s v="Zinc roof Sheet"/>
  </r>
  <r>
    <x v="89"/>
    <x v="14"/>
    <x v="2"/>
    <s v="KBC"/>
    <s v="Kachin"/>
    <x v="3"/>
    <s v="Momauk Baptist Church"/>
    <m/>
    <m/>
    <m/>
    <m/>
    <m/>
    <m/>
    <m/>
    <n v="124"/>
    <m/>
    <m/>
    <m/>
    <n v="124"/>
    <m/>
    <m/>
    <m/>
    <m/>
    <m/>
    <m/>
    <m/>
    <m/>
    <e v="#REF!"/>
    <e v="#REF!"/>
    <e v="#REF!"/>
    <e v="#REF!"/>
    <e v="#REF!"/>
    <e v="#REF!"/>
    <e v="#REF!"/>
    <e v="#REF!"/>
    <e v="#REF!"/>
    <e v="#REF!"/>
    <m/>
    <m/>
    <m/>
    <n v="0"/>
    <m/>
    <m/>
    <m/>
    <s v="MMR001CMP056"/>
    <s v="124 Mattress"/>
  </r>
  <r>
    <x v="90"/>
    <x v="14"/>
    <x v="2"/>
    <m/>
    <s v="Kachin"/>
    <x v="3"/>
    <s v="Host Families"/>
    <m/>
    <m/>
    <m/>
    <m/>
    <m/>
    <m/>
    <m/>
    <n v="387"/>
    <m/>
    <m/>
    <m/>
    <n v="387"/>
    <m/>
    <m/>
    <m/>
    <m/>
    <m/>
    <m/>
    <m/>
    <m/>
    <e v="#REF!"/>
    <e v="#REF!"/>
    <e v="#REF!"/>
    <e v="#REF!"/>
    <e v="#REF!"/>
    <e v="#REF!"/>
    <e v="#REF!"/>
    <e v="#REF!"/>
    <e v="#REF!"/>
    <e v="#REF!"/>
    <m/>
    <m/>
    <m/>
    <n v="0"/>
    <m/>
    <m/>
    <m/>
    <s v="MMR001CMP163"/>
    <s v="387 Mattress"/>
  </r>
  <r>
    <x v="91"/>
    <x v="14"/>
    <x v="2"/>
    <m/>
    <s v="Kachin"/>
    <x v="2"/>
    <s v="Host Families"/>
    <m/>
    <m/>
    <m/>
    <m/>
    <m/>
    <m/>
    <m/>
    <n v="77"/>
    <m/>
    <m/>
    <m/>
    <n v="77"/>
    <m/>
    <m/>
    <m/>
    <m/>
    <m/>
    <m/>
    <m/>
    <m/>
    <e v="#REF!"/>
    <e v="#REF!"/>
    <e v="#REF!"/>
    <e v="#REF!"/>
    <e v="#REF!"/>
    <e v="#REF!"/>
    <e v="#REF!"/>
    <e v="#REF!"/>
    <e v="#REF!"/>
    <e v="#REF!"/>
    <m/>
    <m/>
    <m/>
    <n v="0"/>
    <m/>
    <m/>
    <m/>
    <s v="MMR001CMP163"/>
    <s v="77 Mattress"/>
  </r>
  <r>
    <x v="89"/>
    <x v="14"/>
    <x v="2"/>
    <s v="KMSS"/>
    <s v="Kachin"/>
    <x v="3"/>
    <s v="Man Bung Catholic compound"/>
    <m/>
    <m/>
    <m/>
    <m/>
    <m/>
    <m/>
    <m/>
    <n v="34"/>
    <m/>
    <m/>
    <m/>
    <n v="34"/>
    <m/>
    <m/>
    <m/>
    <m/>
    <m/>
    <m/>
    <m/>
    <m/>
    <e v="#REF!"/>
    <e v="#REF!"/>
    <e v="#REF!"/>
    <e v="#REF!"/>
    <e v="#REF!"/>
    <e v="#REF!"/>
    <e v="#REF!"/>
    <e v="#REF!"/>
    <e v="#REF!"/>
    <e v="#REF!"/>
    <m/>
    <m/>
    <m/>
    <n v="0"/>
    <m/>
    <m/>
    <m/>
    <s v="MMR001CMP062"/>
    <s v="34 Mattress"/>
  </r>
  <r>
    <x v="92"/>
    <x v="15"/>
    <x v="12"/>
    <m/>
    <s v="Shan_North"/>
    <x v="11"/>
    <s v="Lisu Church Namtu"/>
    <m/>
    <n v="101"/>
    <m/>
    <m/>
    <m/>
    <m/>
    <m/>
    <m/>
    <m/>
    <m/>
    <n v="101"/>
    <m/>
    <m/>
    <m/>
    <m/>
    <m/>
    <m/>
    <m/>
    <m/>
    <m/>
    <e v="#REF!"/>
    <e v="#REF!"/>
    <e v="#REF!"/>
    <e v="#REF!"/>
    <e v="#REF!"/>
    <e v="#REF!"/>
    <e v="#REF!"/>
    <e v="#REF!"/>
    <e v="#REF!"/>
    <e v="#REF!"/>
    <m/>
    <m/>
    <m/>
    <n v="0"/>
    <m/>
    <m/>
    <m/>
    <s v="MMR015CMP232"/>
    <m/>
  </r>
  <r>
    <x v="93"/>
    <x v="15"/>
    <x v="12"/>
    <m/>
    <s v="Shan_North"/>
    <x v="11"/>
    <s v="Nam Tu Baptist"/>
    <n v="1"/>
    <m/>
    <m/>
    <m/>
    <m/>
    <m/>
    <m/>
    <m/>
    <m/>
    <m/>
    <m/>
    <m/>
    <m/>
    <m/>
    <m/>
    <m/>
    <m/>
    <m/>
    <m/>
    <m/>
    <e v="#REF!"/>
    <e v="#REF!"/>
    <e v="#REF!"/>
    <e v="#REF!"/>
    <e v="#REF!"/>
    <e v="#REF!"/>
    <e v="#REF!"/>
    <e v="#REF!"/>
    <e v="#REF!"/>
    <e v="#REF!"/>
    <m/>
    <m/>
    <m/>
    <n v="0"/>
    <m/>
    <m/>
    <m/>
    <s v="MMR015CMP014"/>
    <m/>
  </r>
  <r>
    <x v="93"/>
    <x v="16"/>
    <x v="12"/>
    <m/>
    <s v="Shan_North"/>
    <x v="11"/>
    <s v="Kyu Sot"/>
    <n v="1"/>
    <m/>
    <m/>
    <m/>
    <m/>
    <m/>
    <m/>
    <m/>
    <m/>
    <m/>
    <m/>
    <m/>
    <m/>
    <m/>
    <m/>
    <m/>
    <m/>
    <m/>
    <m/>
    <m/>
    <e v="#REF!"/>
    <e v="#REF!"/>
    <e v="#REF!"/>
    <e v="#REF!"/>
    <e v="#REF!"/>
    <e v="#REF!"/>
    <e v="#REF!"/>
    <e v="#REF!"/>
    <e v="#REF!"/>
    <e v="#REF!"/>
    <m/>
    <m/>
    <m/>
    <n v="0"/>
    <m/>
    <m/>
    <m/>
    <s v="MMR015CMP248"/>
    <m/>
  </r>
  <r>
    <x v="93"/>
    <x v="16"/>
    <x v="12"/>
    <m/>
    <s v="Shan_North"/>
    <x v="11"/>
    <s v="Kyu Sot"/>
    <n v="1"/>
    <m/>
    <m/>
    <m/>
    <m/>
    <m/>
    <m/>
    <m/>
    <m/>
    <m/>
    <m/>
    <m/>
    <m/>
    <m/>
    <m/>
    <m/>
    <m/>
    <m/>
    <m/>
    <m/>
    <e v="#REF!"/>
    <e v="#REF!"/>
    <e v="#REF!"/>
    <e v="#REF!"/>
    <e v="#REF!"/>
    <e v="#REF!"/>
    <e v="#REF!"/>
    <e v="#REF!"/>
    <e v="#REF!"/>
    <e v="#REF!"/>
    <m/>
    <m/>
    <m/>
    <n v="0"/>
    <m/>
    <m/>
    <m/>
    <s v="MMR015CMP248"/>
    <m/>
  </r>
  <r>
    <x v="94"/>
    <x v="16"/>
    <x v="12"/>
    <m/>
    <s v="Kachin"/>
    <x v="2"/>
    <s v="Man Wing Catholic Church"/>
    <n v="1"/>
    <m/>
    <m/>
    <m/>
    <m/>
    <m/>
    <m/>
    <m/>
    <m/>
    <m/>
    <m/>
    <m/>
    <m/>
    <m/>
    <m/>
    <m/>
    <m/>
    <m/>
    <m/>
    <m/>
    <e v="#REF!"/>
    <e v="#REF!"/>
    <e v="#REF!"/>
    <e v="#REF!"/>
    <e v="#REF!"/>
    <e v="#REF!"/>
    <e v="#REF!"/>
    <e v="#REF!"/>
    <e v="#REF!"/>
    <e v="#REF!"/>
    <m/>
    <m/>
    <m/>
    <n v="0"/>
    <m/>
    <m/>
    <m/>
    <s v="MMR001CMP132"/>
    <m/>
  </r>
  <r>
    <x v="94"/>
    <x v="16"/>
    <x v="12"/>
    <m/>
    <s v="Kachin"/>
    <x v="2"/>
    <s v="Man Wing Catholic Church"/>
    <n v="1"/>
    <m/>
    <m/>
    <n v="1"/>
    <m/>
    <m/>
    <m/>
    <m/>
    <m/>
    <m/>
    <m/>
    <m/>
    <m/>
    <m/>
    <m/>
    <m/>
    <m/>
    <m/>
    <m/>
    <m/>
    <e v="#REF!"/>
    <e v="#REF!"/>
    <e v="#REF!"/>
    <e v="#REF!"/>
    <e v="#REF!"/>
    <e v="#REF!"/>
    <e v="#REF!"/>
    <e v="#REF!"/>
    <e v="#REF!"/>
    <e v="#REF!"/>
    <m/>
    <m/>
    <m/>
    <n v="0"/>
    <m/>
    <m/>
    <m/>
    <s v="MMR001CMP132"/>
    <m/>
  </r>
  <r>
    <x v="92"/>
    <x v="16"/>
    <x v="12"/>
    <m/>
    <s v="Shan_North"/>
    <x v="11"/>
    <s v="Nam Tu Baptist"/>
    <m/>
    <m/>
    <m/>
    <n v="1"/>
    <m/>
    <m/>
    <m/>
    <m/>
    <m/>
    <m/>
    <m/>
    <m/>
    <m/>
    <m/>
    <m/>
    <m/>
    <m/>
    <m/>
    <m/>
    <m/>
    <e v="#REF!"/>
    <e v="#REF!"/>
    <e v="#REF!"/>
    <e v="#REF!"/>
    <e v="#REF!"/>
    <e v="#REF!"/>
    <e v="#REF!"/>
    <e v="#REF!"/>
    <e v="#REF!"/>
    <e v="#REF!"/>
    <m/>
    <m/>
    <m/>
    <n v="0"/>
    <m/>
    <m/>
    <m/>
    <s v="MMR015CMP014"/>
    <m/>
  </r>
  <r>
    <x v="92"/>
    <x v="16"/>
    <x v="12"/>
    <m/>
    <s v="Shan_North"/>
    <x v="11"/>
    <s v="Lisu Church Namtu"/>
    <m/>
    <m/>
    <m/>
    <n v="1"/>
    <m/>
    <m/>
    <m/>
    <m/>
    <m/>
    <m/>
    <m/>
    <m/>
    <m/>
    <m/>
    <m/>
    <m/>
    <m/>
    <m/>
    <m/>
    <m/>
    <e v="#REF!"/>
    <e v="#REF!"/>
    <e v="#REF!"/>
    <e v="#REF!"/>
    <e v="#REF!"/>
    <e v="#REF!"/>
    <e v="#REF!"/>
    <e v="#REF!"/>
    <e v="#REF!"/>
    <e v="#REF!"/>
    <m/>
    <m/>
    <m/>
    <n v="0"/>
    <m/>
    <m/>
    <m/>
    <s v="MMR015CMP232"/>
    <m/>
  </r>
  <r>
    <x v="92"/>
    <x v="16"/>
    <x v="12"/>
    <m/>
    <s v="Shan_North"/>
    <x v="11"/>
    <s v="Kyu Sot"/>
    <m/>
    <m/>
    <m/>
    <m/>
    <m/>
    <m/>
    <m/>
    <m/>
    <m/>
    <m/>
    <m/>
    <m/>
    <m/>
    <m/>
    <m/>
    <m/>
    <m/>
    <m/>
    <m/>
    <m/>
    <e v="#REF!"/>
    <e v="#REF!"/>
    <e v="#REF!"/>
    <e v="#REF!"/>
    <e v="#REF!"/>
    <e v="#REF!"/>
    <e v="#REF!"/>
    <e v="#REF!"/>
    <e v="#REF!"/>
    <e v="#REF!"/>
    <m/>
    <m/>
    <m/>
    <n v="0"/>
    <m/>
    <m/>
    <m/>
    <s v="MMR015CMP248"/>
    <m/>
  </r>
  <r>
    <x v="95"/>
    <x v="15"/>
    <x v="0"/>
    <s v="Shalom"/>
    <s v="Kachin"/>
    <x v="1"/>
    <s v="Tat Kone COC Baptist - Tat Kone Htoi San"/>
    <m/>
    <m/>
    <m/>
    <n v="3"/>
    <n v="2"/>
    <n v="6"/>
    <n v="3"/>
    <n v="6"/>
    <n v="3"/>
    <m/>
    <n v="3"/>
    <n v="7"/>
    <m/>
    <m/>
    <m/>
    <m/>
    <n v="3"/>
    <m/>
    <m/>
    <m/>
    <e v="#REF!"/>
    <e v="#REF!"/>
    <e v="#REF!"/>
    <e v="#REF!"/>
    <e v="#REF!"/>
    <e v="#REF!"/>
    <e v="#REF!"/>
    <e v="#REF!"/>
    <e v="#REF!"/>
    <e v="#REF!"/>
    <m/>
    <m/>
    <m/>
    <n v="0"/>
    <m/>
    <m/>
    <m/>
    <s v="MMR001CMP023"/>
    <m/>
  </r>
  <r>
    <x v="95"/>
    <x v="16"/>
    <x v="0"/>
    <s v="Shalom"/>
    <s v="Kachin"/>
    <x v="0"/>
    <s v="Qtr. 2 Lhaovo Baptist Church"/>
    <m/>
    <m/>
    <m/>
    <n v="2"/>
    <n v="2"/>
    <n v="7"/>
    <n v="2"/>
    <n v="7"/>
    <n v="2"/>
    <m/>
    <n v="2"/>
    <n v="10"/>
    <m/>
    <m/>
    <m/>
    <m/>
    <n v="2"/>
    <m/>
    <m/>
    <m/>
    <e v="#REF!"/>
    <e v="#REF!"/>
    <e v="#REF!"/>
    <e v="#REF!"/>
    <e v="#REF!"/>
    <e v="#REF!"/>
    <e v="#REF!"/>
    <e v="#REF!"/>
    <e v="#REF!"/>
    <e v="#REF!"/>
    <m/>
    <m/>
    <m/>
    <n v="0"/>
    <m/>
    <m/>
    <m/>
    <s v="MMR001CMP032"/>
    <m/>
  </r>
  <r>
    <x v="96"/>
    <x v="16"/>
    <x v="13"/>
    <m/>
    <s v="Kachin"/>
    <x v="1"/>
    <s v="Tang Hpre RC Church"/>
    <m/>
    <m/>
    <m/>
    <m/>
    <m/>
    <n v="412"/>
    <n v="254"/>
    <m/>
    <m/>
    <m/>
    <n v="166"/>
    <n v="254"/>
    <m/>
    <m/>
    <m/>
    <m/>
    <m/>
    <m/>
    <m/>
    <m/>
    <e v="#REF!"/>
    <e v="#REF!"/>
    <e v="#REF!"/>
    <e v="#REF!"/>
    <e v="#REF!"/>
    <e v="#REF!"/>
    <e v="#REF!"/>
    <e v="#REF!"/>
    <e v="#REF!"/>
    <e v="#REF!"/>
    <m/>
    <m/>
    <m/>
    <n v="0"/>
    <m/>
    <m/>
    <m/>
    <s v="MMR001CMP264"/>
    <m/>
  </r>
  <r>
    <x v="97"/>
    <x v="16"/>
    <x v="4"/>
    <s v="MRCS"/>
    <s v="Kachin"/>
    <x v="12"/>
    <s v="Aung Lawt "/>
    <m/>
    <m/>
    <m/>
    <m/>
    <n v="36"/>
    <m/>
    <m/>
    <m/>
    <m/>
    <m/>
    <m/>
    <m/>
    <m/>
    <m/>
    <m/>
    <m/>
    <m/>
    <m/>
    <m/>
    <m/>
    <e v="#REF!"/>
    <e v="#REF!"/>
    <e v="#REF!"/>
    <e v="#REF!"/>
    <e v="#REF!"/>
    <e v="#REF!"/>
    <e v="#REF!"/>
    <e v="#REF!"/>
    <e v="#REF!"/>
    <e v="#REF!"/>
    <m/>
    <m/>
    <m/>
    <n v="0"/>
    <m/>
    <m/>
    <m/>
    <s v=""/>
    <m/>
  </r>
  <r>
    <x v="97"/>
    <x v="16"/>
    <x v="4"/>
    <s v="MRCS"/>
    <s v="Kachin"/>
    <x v="17"/>
    <s v="Namti Labraw Yang KBC Camp"/>
    <m/>
    <m/>
    <m/>
    <m/>
    <n v="104"/>
    <n v="104"/>
    <m/>
    <m/>
    <n v="104"/>
    <m/>
    <m/>
    <m/>
    <m/>
    <m/>
    <m/>
    <m/>
    <m/>
    <m/>
    <m/>
    <m/>
    <e v="#REF!"/>
    <e v="#REF!"/>
    <e v="#REF!"/>
    <e v="#REF!"/>
    <e v="#REF!"/>
    <e v="#REF!"/>
    <e v="#REF!"/>
    <e v="#REF!"/>
    <e v="#REF!"/>
    <e v="#REF!"/>
    <m/>
    <m/>
    <m/>
    <n v="0"/>
    <m/>
    <m/>
    <m/>
    <s v="MMR001CMP261"/>
    <m/>
  </r>
  <r>
    <x v="97"/>
    <x v="16"/>
    <x v="4"/>
    <s v="MRCS"/>
    <s v="Kachin"/>
    <x v="17"/>
    <s v="Lan Gwa St.Paul RC Church"/>
    <m/>
    <m/>
    <m/>
    <m/>
    <n v="86"/>
    <n v="86"/>
    <m/>
    <m/>
    <n v="86"/>
    <m/>
    <m/>
    <m/>
    <m/>
    <m/>
    <m/>
    <m/>
    <m/>
    <m/>
    <m/>
    <m/>
    <e v="#REF!"/>
    <e v="#REF!"/>
    <e v="#REF!"/>
    <e v="#REF!"/>
    <e v="#REF!"/>
    <e v="#REF!"/>
    <e v="#REF!"/>
    <e v="#REF!"/>
    <e v="#REF!"/>
    <e v="#REF!"/>
    <m/>
    <m/>
    <m/>
    <n v="0"/>
    <m/>
    <m/>
    <m/>
    <s v="MMR001CMP260"/>
    <m/>
  </r>
  <r>
    <x v="97"/>
    <x v="16"/>
    <x v="4"/>
    <s v="MRCS"/>
    <s v="Kachin"/>
    <x v="17"/>
    <s v="Emmanuel AG Church"/>
    <m/>
    <m/>
    <m/>
    <m/>
    <n v="35"/>
    <n v="35"/>
    <m/>
    <m/>
    <n v="35"/>
    <m/>
    <m/>
    <m/>
    <m/>
    <m/>
    <m/>
    <m/>
    <m/>
    <m/>
    <m/>
    <m/>
    <e v="#REF!"/>
    <e v="#REF!"/>
    <e v="#REF!"/>
    <e v="#REF!"/>
    <e v="#REF!"/>
    <e v="#REF!"/>
    <e v="#REF!"/>
    <e v="#REF!"/>
    <e v="#REF!"/>
    <e v="#REF!"/>
    <m/>
    <m/>
    <m/>
    <n v="0"/>
    <m/>
    <m/>
    <m/>
    <s v="MMR001CMP262"/>
    <m/>
  </r>
  <r>
    <x v="97"/>
    <x v="16"/>
    <x v="4"/>
    <s v="MRCS"/>
    <s v="Kachin"/>
    <x v="17"/>
    <s v="Myo Oo St. Dominic RC Church"/>
    <m/>
    <m/>
    <m/>
    <m/>
    <n v="46"/>
    <n v="46"/>
    <m/>
    <m/>
    <n v="46"/>
    <m/>
    <m/>
    <m/>
    <m/>
    <m/>
    <m/>
    <m/>
    <m/>
    <m/>
    <m/>
    <m/>
    <e v="#REF!"/>
    <e v="#REF!"/>
    <e v="#REF!"/>
    <e v="#REF!"/>
    <e v="#REF!"/>
    <e v="#REF!"/>
    <e v="#REF!"/>
    <e v="#REF!"/>
    <e v="#REF!"/>
    <e v="#REF!"/>
    <m/>
    <m/>
    <m/>
    <n v="0"/>
    <m/>
    <m/>
    <m/>
    <s v="MMR001CMP259"/>
    <m/>
  </r>
  <r>
    <x v="96"/>
    <x v="16"/>
    <x v="4"/>
    <s v="MRCS"/>
    <s v="Kachin"/>
    <x v="1"/>
    <s v="Tang Hpre RC Church"/>
    <m/>
    <m/>
    <m/>
    <m/>
    <n v="179"/>
    <m/>
    <m/>
    <m/>
    <n v="179"/>
    <m/>
    <m/>
    <m/>
    <m/>
    <m/>
    <m/>
    <m/>
    <n v="179"/>
    <m/>
    <m/>
    <m/>
    <e v="#REF!"/>
    <e v="#REF!"/>
    <e v="#REF!"/>
    <e v="#REF!"/>
    <e v="#REF!"/>
    <e v="#REF!"/>
    <e v="#REF!"/>
    <e v="#REF!"/>
    <e v="#REF!"/>
    <e v="#REF!"/>
    <m/>
    <m/>
    <m/>
    <n v="0"/>
    <m/>
    <m/>
    <m/>
    <s v="MMR001CMP264"/>
    <m/>
  </r>
  <r>
    <x v="96"/>
    <x v="16"/>
    <x v="4"/>
    <s v="MRCS"/>
    <s v="Kachin"/>
    <x v="1"/>
    <s v="Ti Yang Zup"/>
    <m/>
    <m/>
    <m/>
    <m/>
    <n v="27"/>
    <m/>
    <m/>
    <m/>
    <n v="27"/>
    <m/>
    <m/>
    <m/>
    <m/>
    <m/>
    <m/>
    <m/>
    <n v="27"/>
    <m/>
    <m/>
    <m/>
    <e v="#REF!"/>
    <e v="#REF!"/>
    <e v="#REF!"/>
    <e v="#REF!"/>
    <e v="#REF!"/>
    <e v="#REF!"/>
    <e v="#REF!"/>
    <e v="#REF!"/>
    <e v="#REF!"/>
    <e v="#REF!"/>
    <m/>
    <m/>
    <m/>
    <n v="0"/>
    <m/>
    <m/>
    <m/>
    <s v="MMR001CMP267"/>
    <m/>
  </r>
  <r>
    <x v="96"/>
    <x v="16"/>
    <x v="3"/>
    <s v="Metta"/>
    <s v="Kachin"/>
    <x v="1"/>
    <s v="Trinity Camp"/>
    <m/>
    <m/>
    <m/>
    <m/>
    <m/>
    <n v="164"/>
    <m/>
    <n v="164"/>
    <m/>
    <m/>
    <m/>
    <n v="164"/>
    <m/>
    <m/>
    <m/>
    <m/>
    <m/>
    <m/>
    <m/>
    <m/>
    <e v="#REF!"/>
    <e v="#REF!"/>
    <e v="#REF!"/>
    <e v="#REF!"/>
    <e v="#REF!"/>
    <e v="#REF!"/>
    <e v="#REF!"/>
    <e v="#REF!"/>
    <e v="#REF!"/>
    <e v="#REF!"/>
    <m/>
    <m/>
    <m/>
    <n v="0"/>
    <m/>
    <m/>
    <m/>
    <s v="MMR001CMP263"/>
    <m/>
  </r>
  <r>
    <x v="98"/>
    <x v="16"/>
    <x v="2"/>
    <m/>
    <s v="Shan_North"/>
    <x v="9"/>
    <s v="Mai Yu Lay New (Ta'ang)"/>
    <m/>
    <m/>
    <m/>
    <m/>
    <m/>
    <m/>
    <n v="15"/>
    <m/>
    <m/>
    <m/>
    <m/>
    <n v="49"/>
    <m/>
    <m/>
    <m/>
    <m/>
    <m/>
    <m/>
    <n v="32"/>
    <m/>
    <e v="#REF!"/>
    <e v="#REF!"/>
    <e v="#REF!"/>
    <e v="#REF!"/>
    <e v="#REF!"/>
    <e v="#REF!"/>
    <e v="#REF!"/>
    <e v="#REF!"/>
    <e v="#REF!"/>
    <e v="#REF!"/>
    <m/>
    <m/>
    <m/>
    <n v="0"/>
    <m/>
    <m/>
    <m/>
    <s v="MMR015CMP220"/>
    <m/>
  </r>
  <r>
    <x v="99"/>
    <x v="17"/>
    <x v="2"/>
    <m/>
    <s v="Shan_North"/>
    <x v="14"/>
    <s v="Mong Wee Shan"/>
    <m/>
    <m/>
    <m/>
    <m/>
    <m/>
    <m/>
    <n v="32"/>
    <m/>
    <m/>
    <m/>
    <m/>
    <n v="109"/>
    <m/>
    <m/>
    <m/>
    <m/>
    <m/>
    <m/>
    <m/>
    <m/>
    <e v="#REF!"/>
    <e v="#REF!"/>
    <e v="#REF!"/>
    <e v="#REF!"/>
    <e v="#REF!"/>
    <e v="#REF!"/>
    <e v="#REF!"/>
    <e v="#REF!"/>
    <e v="#REF!"/>
    <e v="#REF!"/>
    <m/>
    <m/>
    <m/>
    <n v="0"/>
    <m/>
    <m/>
    <m/>
    <s v="MMR015CMP224"/>
    <m/>
  </r>
  <r>
    <x v="99"/>
    <x v="17"/>
    <x v="2"/>
    <m/>
    <s v="Shan_North"/>
    <x v="14"/>
    <s v="Nam Hkam - Nay Win Ni (Palawng)"/>
    <m/>
    <m/>
    <m/>
    <m/>
    <m/>
    <m/>
    <n v="26"/>
    <m/>
    <m/>
    <m/>
    <m/>
    <n v="26"/>
    <m/>
    <m/>
    <m/>
    <m/>
    <m/>
    <m/>
    <m/>
    <m/>
    <e v="#REF!"/>
    <e v="#REF!"/>
    <e v="#REF!"/>
    <e v="#REF!"/>
    <e v="#REF!"/>
    <e v="#REF!"/>
    <e v="#REF!"/>
    <e v="#REF!"/>
    <e v="#REF!"/>
    <e v="#REF!"/>
    <m/>
    <m/>
    <m/>
    <n v="0"/>
    <m/>
    <m/>
    <m/>
    <s v="MMR015CMP004"/>
    <m/>
  </r>
  <r>
    <x v="96"/>
    <x v="16"/>
    <x v="4"/>
    <s v="MRCS"/>
    <s v="Kachin"/>
    <x v="1"/>
    <s v="Jaw Ma Sat Camp"/>
    <m/>
    <m/>
    <m/>
    <m/>
    <n v="103"/>
    <m/>
    <m/>
    <m/>
    <n v="103"/>
    <m/>
    <m/>
    <m/>
    <m/>
    <m/>
    <m/>
    <m/>
    <n v="103"/>
    <m/>
    <m/>
    <m/>
    <e v="#REF!"/>
    <e v="#REF!"/>
    <e v="#REF!"/>
    <e v="#REF!"/>
    <e v="#REF!"/>
    <e v="#REF!"/>
    <e v="#REF!"/>
    <e v="#REF!"/>
    <e v="#REF!"/>
    <e v="#REF!"/>
    <m/>
    <m/>
    <m/>
    <n v="0"/>
    <m/>
    <m/>
    <m/>
    <s v=""/>
    <m/>
  </r>
  <r>
    <x v="100"/>
    <x v="17"/>
    <x v="3"/>
    <s v="Metta"/>
    <s v="Kachin"/>
    <x v="17"/>
    <s v="Myo Oo St. Dominic RC Church"/>
    <m/>
    <m/>
    <m/>
    <m/>
    <m/>
    <m/>
    <m/>
    <m/>
    <m/>
    <m/>
    <m/>
    <m/>
    <m/>
    <m/>
    <m/>
    <m/>
    <m/>
    <n v="57"/>
    <m/>
    <m/>
    <e v="#REF!"/>
    <e v="#REF!"/>
    <e v="#REF!"/>
    <e v="#REF!"/>
    <e v="#REF!"/>
    <e v="#REF!"/>
    <e v="#REF!"/>
    <e v="#REF!"/>
    <e v="#REF!"/>
    <e v="#REF!"/>
    <m/>
    <m/>
    <m/>
    <n v="0"/>
    <m/>
    <m/>
    <m/>
    <s v="MMR001CMP259"/>
    <m/>
  </r>
  <r>
    <x v="100"/>
    <x v="17"/>
    <x v="3"/>
    <s v="Metta"/>
    <s v="Kachin"/>
    <x v="17"/>
    <s v="Namti Labraw Yang KBC Camp"/>
    <m/>
    <m/>
    <m/>
    <m/>
    <m/>
    <m/>
    <m/>
    <m/>
    <m/>
    <m/>
    <m/>
    <m/>
    <m/>
    <m/>
    <m/>
    <m/>
    <m/>
    <n v="120"/>
    <m/>
    <m/>
    <e v="#REF!"/>
    <e v="#REF!"/>
    <e v="#REF!"/>
    <e v="#REF!"/>
    <e v="#REF!"/>
    <e v="#REF!"/>
    <e v="#REF!"/>
    <e v="#REF!"/>
    <e v="#REF!"/>
    <e v="#REF!"/>
    <m/>
    <m/>
    <m/>
    <n v="0"/>
    <m/>
    <m/>
    <m/>
    <s v="MMR001CMP261"/>
    <m/>
  </r>
  <r>
    <x v="100"/>
    <x v="17"/>
    <x v="3"/>
    <s v="Metta"/>
    <s v="Kachin"/>
    <x v="17"/>
    <s v="Lan Gwa St.Paul RC Church"/>
    <m/>
    <m/>
    <m/>
    <m/>
    <m/>
    <m/>
    <m/>
    <m/>
    <m/>
    <m/>
    <m/>
    <m/>
    <m/>
    <m/>
    <m/>
    <m/>
    <m/>
    <n v="89"/>
    <m/>
    <m/>
    <e v="#REF!"/>
    <e v="#REF!"/>
    <e v="#REF!"/>
    <e v="#REF!"/>
    <e v="#REF!"/>
    <e v="#REF!"/>
    <e v="#REF!"/>
    <e v="#REF!"/>
    <e v="#REF!"/>
    <e v="#REF!"/>
    <m/>
    <m/>
    <m/>
    <n v="0"/>
    <m/>
    <m/>
    <m/>
    <s v="MMR001CMP260"/>
    <m/>
  </r>
  <r>
    <x v="100"/>
    <x v="17"/>
    <x v="3"/>
    <s v="Metta"/>
    <s v="Kachin"/>
    <x v="17"/>
    <s v="Emmanuel AG Church"/>
    <m/>
    <m/>
    <m/>
    <m/>
    <m/>
    <m/>
    <m/>
    <m/>
    <m/>
    <m/>
    <m/>
    <m/>
    <m/>
    <m/>
    <m/>
    <m/>
    <m/>
    <n v="26"/>
    <m/>
    <m/>
    <e v="#REF!"/>
    <e v="#REF!"/>
    <e v="#REF!"/>
    <e v="#REF!"/>
    <e v="#REF!"/>
    <e v="#REF!"/>
    <e v="#REF!"/>
    <e v="#REF!"/>
    <e v="#REF!"/>
    <e v="#REF!"/>
    <m/>
    <m/>
    <m/>
    <n v="0"/>
    <m/>
    <m/>
    <m/>
    <s v="MMR001CMP262"/>
    <m/>
  </r>
  <r>
    <x v="101"/>
    <x v="17"/>
    <x v="3"/>
    <s v="Metta"/>
    <s v="Kachin"/>
    <x v="1"/>
    <s v="Tang Hpre RC Church"/>
    <m/>
    <m/>
    <m/>
    <m/>
    <m/>
    <m/>
    <m/>
    <m/>
    <m/>
    <m/>
    <m/>
    <m/>
    <m/>
    <m/>
    <m/>
    <m/>
    <m/>
    <n v="386"/>
    <m/>
    <m/>
    <e v="#REF!"/>
    <e v="#REF!"/>
    <e v="#REF!"/>
    <e v="#REF!"/>
    <e v="#REF!"/>
    <e v="#REF!"/>
    <e v="#REF!"/>
    <e v="#REF!"/>
    <e v="#REF!"/>
    <e v="#REF!"/>
    <m/>
    <m/>
    <m/>
    <n v="0"/>
    <m/>
    <m/>
    <m/>
    <s v="MMR001CMP264"/>
    <m/>
  </r>
  <r>
    <x v="102"/>
    <x v="17"/>
    <x v="3"/>
    <s v="Metta"/>
    <s v="Kachin"/>
    <x v="1"/>
    <s v="Ka Bu Dam CoC"/>
    <m/>
    <m/>
    <m/>
    <m/>
    <m/>
    <m/>
    <m/>
    <m/>
    <m/>
    <m/>
    <m/>
    <m/>
    <m/>
    <m/>
    <m/>
    <m/>
    <m/>
    <n v="12"/>
    <m/>
    <m/>
    <e v="#REF!"/>
    <e v="#REF!"/>
    <e v="#REF!"/>
    <e v="#REF!"/>
    <e v="#REF!"/>
    <e v="#REF!"/>
    <e v="#REF!"/>
    <e v="#REF!"/>
    <e v="#REF!"/>
    <e v="#REF!"/>
    <m/>
    <m/>
    <m/>
    <n v="0"/>
    <m/>
    <m/>
    <m/>
    <s v="MMR001CMP256"/>
    <m/>
  </r>
  <r>
    <x v="103"/>
    <x v="17"/>
    <x v="14"/>
    <s v="KBC"/>
    <s v="Kachin"/>
    <x v="1"/>
    <s v="Ti Yang Zup"/>
    <m/>
    <m/>
    <m/>
    <n v="25"/>
    <m/>
    <n v="50"/>
    <n v="50"/>
    <n v="50"/>
    <n v="25"/>
    <m/>
    <n v="25"/>
    <m/>
    <m/>
    <m/>
    <m/>
    <m/>
    <m/>
    <m/>
    <m/>
    <m/>
    <e v="#REF!"/>
    <e v="#REF!"/>
    <e v="#REF!"/>
    <e v="#REF!"/>
    <e v="#REF!"/>
    <e v="#REF!"/>
    <e v="#REF!"/>
    <e v="#REF!"/>
    <e v="#REF!"/>
    <e v="#REF!"/>
    <m/>
    <m/>
    <m/>
    <n v="0"/>
    <m/>
    <m/>
    <m/>
    <s v="MMR001CMP267"/>
    <m/>
  </r>
  <r>
    <x v="103"/>
    <x v="17"/>
    <x v="14"/>
    <s v="KBC"/>
    <s v="Kachin"/>
    <x v="6"/>
    <s v="Karmaing RC Church"/>
    <m/>
    <m/>
    <m/>
    <n v="31"/>
    <m/>
    <n v="62"/>
    <n v="62"/>
    <n v="62"/>
    <n v="31"/>
    <m/>
    <n v="31"/>
    <m/>
    <m/>
    <m/>
    <m/>
    <m/>
    <m/>
    <m/>
    <m/>
    <m/>
    <e v="#REF!"/>
    <e v="#REF!"/>
    <e v="#REF!"/>
    <e v="#REF!"/>
    <e v="#REF!"/>
    <e v="#REF!"/>
    <e v="#REF!"/>
    <e v="#REF!"/>
    <e v="#REF!"/>
    <e v="#REF!"/>
    <m/>
    <m/>
    <m/>
    <n v="0"/>
    <m/>
    <m/>
    <m/>
    <s v="MMR001CMP270"/>
    <m/>
  </r>
  <r>
    <x v="103"/>
    <x v="17"/>
    <x v="14"/>
    <s v="KBC"/>
    <s v="Kachin"/>
    <x v="0"/>
    <s v="Shangaw KBC"/>
    <m/>
    <m/>
    <m/>
    <n v="41"/>
    <m/>
    <n v="82"/>
    <n v="82"/>
    <n v="82"/>
    <n v="41"/>
    <m/>
    <n v="41"/>
    <m/>
    <m/>
    <m/>
    <m/>
    <m/>
    <m/>
    <m/>
    <m/>
    <m/>
    <e v="#REF!"/>
    <e v="#REF!"/>
    <e v="#REF!"/>
    <e v="#REF!"/>
    <e v="#REF!"/>
    <e v="#REF!"/>
    <e v="#REF!"/>
    <e v="#REF!"/>
    <e v="#REF!"/>
    <e v="#REF!"/>
    <m/>
    <m/>
    <m/>
    <n v="0"/>
    <m/>
    <m/>
    <m/>
    <s v=""/>
    <m/>
  </r>
  <r>
    <x v="103"/>
    <x v="17"/>
    <x v="14"/>
    <s v="KBC"/>
    <s v="Kachin"/>
    <x v="0"/>
    <s v="Hka Wan KBC"/>
    <m/>
    <m/>
    <m/>
    <n v="16"/>
    <m/>
    <n v="32"/>
    <n v="32"/>
    <n v="32"/>
    <n v="16"/>
    <m/>
    <n v="16"/>
    <m/>
    <m/>
    <m/>
    <m/>
    <m/>
    <m/>
    <m/>
    <m/>
    <m/>
    <e v="#REF!"/>
    <e v="#REF!"/>
    <e v="#REF!"/>
    <e v="#REF!"/>
    <e v="#REF!"/>
    <e v="#REF!"/>
    <e v="#REF!"/>
    <e v="#REF!"/>
    <e v="#REF!"/>
    <e v="#REF!"/>
    <m/>
    <m/>
    <m/>
    <n v="0"/>
    <m/>
    <m/>
    <m/>
    <s v=""/>
    <m/>
  </r>
  <r>
    <x v="104"/>
    <x v="17"/>
    <x v="15"/>
    <s v="KBC"/>
    <s v="Kachin"/>
    <x v="17"/>
    <s v="Namti Labraw Yang KBC Camp"/>
    <m/>
    <m/>
    <m/>
    <m/>
    <m/>
    <n v="213"/>
    <m/>
    <n v="213"/>
    <m/>
    <m/>
    <n v="99"/>
    <m/>
    <m/>
    <m/>
    <m/>
    <m/>
    <m/>
    <m/>
    <m/>
    <m/>
    <e v="#REF!"/>
    <e v="#REF!"/>
    <e v="#REF!"/>
    <e v="#REF!"/>
    <e v="#REF!"/>
    <e v="#REF!"/>
    <e v="#REF!"/>
    <e v="#REF!"/>
    <e v="#REF!"/>
    <e v="#REF!"/>
    <m/>
    <m/>
    <m/>
    <n v="0"/>
    <m/>
    <m/>
    <m/>
    <s v="MMR001CMP261"/>
    <m/>
  </r>
  <r>
    <x v="104"/>
    <x v="17"/>
    <x v="15"/>
    <s v="KBC"/>
    <s v="Kachin"/>
    <x v="17"/>
    <s v="Emmanuel AG Church"/>
    <m/>
    <m/>
    <m/>
    <m/>
    <m/>
    <n v="44"/>
    <m/>
    <n v="34"/>
    <m/>
    <m/>
    <n v="31"/>
    <m/>
    <m/>
    <m/>
    <m/>
    <m/>
    <m/>
    <m/>
    <m/>
    <m/>
    <e v="#REF!"/>
    <e v="#REF!"/>
    <e v="#REF!"/>
    <e v="#REF!"/>
    <e v="#REF!"/>
    <e v="#REF!"/>
    <e v="#REF!"/>
    <e v="#REF!"/>
    <e v="#REF!"/>
    <e v="#REF!"/>
    <m/>
    <m/>
    <m/>
    <n v="0"/>
    <m/>
    <m/>
    <m/>
    <s v="MMR001CMP262"/>
    <m/>
  </r>
  <r>
    <x v="104"/>
    <x v="17"/>
    <x v="15"/>
    <s v="KBC"/>
    <s v="Kachin"/>
    <x v="17"/>
    <s v="Lan Gwa St.Paul RC Church"/>
    <m/>
    <m/>
    <m/>
    <m/>
    <m/>
    <n v="167"/>
    <m/>
    <m/>
    <m/>
    <m/>
    <n v="72"/>
    <m/>
    <m/>
    <m/>
    <m/>
    <m/>
    <m/>
    <m/>
    <m/>
    <m/>
    <e v="#REF!"/>
    <e v="#REF!"/>
    <e v="#REF!"/>
    <e v="#REF!"/>
    <e v="#REF!"/>
    <e v="#REF!"/>
    <e v="#REF!"/>
    <e v="#REF!"/>
    <e v="#REF!"/>
    <e v="#REF!"/>
    <m/>
    <m/>
    <m/>
    <n v="0"/>
    <m/>
    <m/>
    <m/>
    <s v="MMR001CMP260"/>
    <m/>
  </r>
  <r>
    <x v="104"/>
    <x v="17"/>
    <x v="15"/>
    <s v="KBC"/>
    <s v="Kachin"/>
    <x v="17"/>
    <s v="Myo Oo St. Dominic RC Church"/>
    <m/>
    <m/>
    <m/>
    <m/>
    <m/>
    <n v="99"/>
    <m/>
    <m/>
    <m/>
    <m/>
    <n v="45"/>
    <m/>
    <m/>
    <m/>
    <m/>
    <m/>
    <m/>
    <m/>
    <m/>
    <m/>
    <e v="#REF!"/>
    <e v="#REF!"/>
    <e v="#REF!"/>
    <e v="#REF!"/>
    <e v="#REF!"/>
    <e v="#REF!"/>
    <e v="#REF!"/>
    <e v="#REF!"/>
    <e v="#REF!"/>
    <e v="#REF!"/>
    <m/>
    <m/>
    <m/>
    <n v="0"/>
    <m/>
    <m/>
    <m/>
    <s v="MMR001CMP259"/>
    <m/>
  </r>
  <r>
    <x v="105"/>
    <x v="17"/>
    <x v="16"/>
    <s v="ICRC"/>
    <s v="Kachin"/>
    <x v="7"/>
    <s v="Lhaovao Baptist Church (LBC)"/>
    <m/>
    <m/>
    <m/>
    <m/>
    <m/>
    <n v="100"/>
    <n v="20"/>
    <n v="100"/>
    <n v="100"/>
    <m/>
    <m/>
    <n v="100"/>
    <m/>
    <m/>
    <m/>
    <m/>
    <m/>
    <m/>
    <m/>
    <m/>
    <e v="#REF!"/>
    <e v="#REF!"/>
    <e v="#REF!"/>
    <e v="#REF!"/>
    <e v="#REF!"/>
    <e v="#REF!"/>
    <e v="#REF!"/>
    <e v="#REF!"/>
    <e v="#REF!"/>
    <e v="#REF!"/>
    <m/>
    <m/>
    <m/>
    <n v="0"/>
    <m/>
    <m/>
    <m/>
    <s v="MMR001CMP195"/>
    <m/>
  </r>
  <r>
    <x v="105"/>
    <x v="17"/>
    <x v="16"/>
    <s v="ICRC"/>
    <s v="Kachin"/>
    <x v="7"/>
    <s v="Chipwi KBC camp"/>
    <m/>
    <m/>
    <m/>
    <m/>
    <m/>
    <n v="30"/>
    <m/>
    <n v="30"/>
    <n v="30"/>
    <m/>
    <m/>
    <n v="30"/>
    <m/>
    <m/>
    <m/>
    <m/>
    <m/>
    <m/>
    <m/>
    <m/>
    <e v="#REF!"/>
    <e v="#REF!"/>
    <e v="#REF!"/>
    <e v="#REF!"/>
    <e v="#REF!"/>
    <e v="#REF!"/>
    <e v="#REF!"/>
    <e v="#REF!"/>
    <e v="#REF!"/>
    <e v="#REF!"/>
    <m/>
    <m/>
    <m/>
    <n v="0"/>
    <m/>
    <m/>
    <m/>
    <s v="MMR001CMP042"/>
    <m/>
  </r>
  <r>
    <x v="103"/>
    <x v="17"/>
    <x v="0"/>
    <s v="UNHCR"/>
    <s v="Kachin"/>
    <x v="1"/>
    <s v="Tang Hpre RC Church"/>
    <m/>
    <m/>
    <m/>
    <m/>
    <m/>
    <m/>
    <n v="26"/>
    <m/>
    <m/>
    <m/>
    <m/>
    <m/>
    <m/>
    <m/>
    <m/>
    <m/>
    <m/>
    <m/>
    <m/>
    <m/>
    <e v="#REF!"/>
    <e v="#REF!"/>
    <e v="#REF!"/>
    <e v="#REF!"/>
    <e v="#REF!"/>
    <e v="#REF!"/>
    <e v="#REF!"/>
    <e v="#REF!"/>
    <e v="#REF!"/>
    <e v="#REF!"/>
    <m/>
    <m/>
    <m/>
    <n v="0"/>
    <m/>
    <m/>
    <m/>
    <s v="MMR001CMP264"/>
    <m/>
  </r>
  <r>
    <x v="103"/>
    <x v="17"/>
    <x v="0"/>
    <s v="KMSS"/>
    <s v="Kachin"/>
    <x v="6"/>
    <s v="Lawa RC Church"/>
    <m/>
    <m/>
    <m/>
    <m/>
    <m/>
    <m/>
    <m/>
    <m/>
    <n v="40"/>
    <m/>
    <m/>
    <m/>
    <m/>
    <m/>
    <m/>
    <m/>
    <m/>
    <m/>
    <m/>
    <m/>
    <e v="#REF!"/>
    <e v="#REF!"/>
    <e v="#REF!"/>
    <e v="#REF!"/>
    <e v="#REF!"/>
    <e v="#REF!"/>
    <e v="#REF!"/>
    <e v="#REF!"/>
    <e v="#REF!"/>
    <e v="#REF!"/>
    <m/>
    <m/>
    <m/>
    <n v="0"/>
    <m/>
    <m/>
    <m/>
    <s v="MMR001CMP268"/>
    <m/>
  </r>
  <r>
    <x v="103"/>
    <x v="17"/>
    <x v="0"/>
    <s v="KMSS"/>
    <s v="Kachin"/>
    <x v="1"/>
    <s v="Tang Hpre RC Church"/>
    <m/>
    <n v="251"/>
    <m/>
    <m/>
    <m/>
    <m/>
    <m/>
    <m/>
    <n v="251"/>
    <m/>
    <m/>
    <m/>
    <m/>
    <m/>
    <m/>
    <m/>
    <m/>
    <m/>
    <m/>
    <m/>
    <e v="#REF!"/>
    <e v="#REF!"/>
    <e v="#REF!"/>
    <e v="#REF!"/>
    <e v="#REF!"/>
    <e v="#REF!"/>
    <e v="#REF!"/>
    <e v="#REF!"/>
    <e v="#REF!"/>
    <e v="#REF!"/>
    <m/>
    <m/>
    <m/>
    <n v="0"/>
    <m/>
    <m/>
    <m/>
    <s v="MMR001CMP264"/>
    <m/>
  </r>
  <r>
    <x v="103"/>
    <x v="17"/>
    <x v="0"/>
    <s v="KMSS"/>
    <s v="Kachin"/>
    <x v="1"/>
    <s v="Trinity Camp"/>
    <m/>
    <n v="160"/>
    <m/>
    <m/>
    <m/>
    <m/>
    <m/>
    <m/>
    <n v="160"/>
    <m/>
    <m/>
    <m/>
    <m/>
    <m/>
    <m/>
    <m/>
    <m/>
    <m/>
    <m/>
    <m/>
    <e v="#REF!"/>
    <e v="#REF!"/>
    <e v="#REF!"/>
    <e v="#REF!"/>
    <e v="#REF!"/>
    <e v="#REF!"/>
    <e v="#REF!"/>
    <e v="#REF!"/>
    <e v="#REF!"/>
    <e v="#REF!"/>
    <m/>
    <m/>
    <m/>
    <n v="0"/>
    <m/>
    <m/>
    <m/>
    <s v="MMR001CMP263"/>
    <m/>
  </r>
  <r>
    <x v="103"/>
    <x v="17"/>
    <x v="0"/>
    <s v="KMSS"/>
    <s v="Kachin"/>
    <x v="12"/>
    <s v="Tanai RC Church - Kinsa Ra "/>
    <m/>
    <n v="101"/>
    <m/>
    <m/>
    <m/>
    <m/>
    <m/>
    <m/>
    <n v="101"/>
    <m/>
    <m/>
    <m/>
    <m/>
    <m/>
    <m/>
    <m/>
    <m/>
    <m/>
    <m/>
    <m/>
    <e v="#REF!"/>
    <e v="#REF!"/>
    <e v="#REF!"/>
    <e v="#REF!"/>
    <e v="#REF!"/>
    <e v="#REF!"/>
    <e v="#REF!"/>
    <e v="#REF!"/>
    <e v="#REF!"/>
    <e v="#REF!"/>
    <m/>
    <m/>
    <m/>
    <n v="0"/>
    <m/>
    <m/>
    <m/>
    <s v=""/>
    <m/>
  </r>
  <r>
    <x v="103"/>
    <x v="17"/>
    <x v="0"/>
    <s v="KMSS"/>
    <s v="Kachin"/>
    <x v="1"/>
    <s v="Jaw Ma Sat Camp"/>
    <m/>
    <n v="86"/>
    <m/>
    <m/>
    <m/>
    <m/>
    <m/>
    <m/>
    <n v="86"/>
    <m/>
    <m/>
    <m/>
    <m/>
    <m/>
    <m/>
    <m/>
    <m/>
    <m/>
    <m/>
    <m/>
    <e v="#REF!"/>
    <e v="#REF!"/>
    <e v="#REF!"/>
    <e v="#REF!"/>
    <e v="#REF!"/>
    <e v="#REF!"/>
    <e v="#REF!"/>
    <e v="#REF!"/>
    <e v="#REF!"/>
    <e v="#REF!"/>
    <m/>
    <m/>
    <m/>
    <n v="0"/>
    <m/>
    <m/>
    <m/>
    <s v=""/>
    <m/>
  </r>
  <r>
    <x v="103"/>
    <x v="17"/>
    <x v="0"/>
    <s v="KBC"/>
    <s v="Kachin"/>
    <x v="0"/>
    <s v="Maina KBC (Bawng Ring)"/>
    <m/>
    <m/>
    <m/>
    <n v="3"/>
    <m/>
    <m/>
    <n v="3"/>
    <m/>
    <n v="3"/>
    <m/>
    <n v="3"/>
    <m/>
    <m/>
    <m/>
    <m/>
    <m/>
    <n v="3"/>
    <m/>
    <m/>
    <m/>
    <e v="#REF!"/>
    <e v="#REF!"/>
    <e v="#REF!"/>
    <e v="#REF!"/>
    <e v="#REF!"/>
    <e v="#REF!"/>
    <e v="#REF!"/>
    <e v="#REF!"/>
    <e v="#REF!"/>
    <e v="#REF!"/>
    <m/>
    <m/>
    <m/>
    <n v="0"/>
    <m/>
    <m/>
    <m/>
    <s v="MMR001CMP040"/>
    <m/>
  </r>
  <r>
    <x v="103"/>
    <x v="17"/>
    <x v="0"/>
    <s v="KBC"/>
    <s v="Kachin"/>
    <x v="0"/>
    <s v="Maina KBC (Bawng Ring)"/>
    <m/>
    <m/>
    <m/>
    <n v="24"/>
    <m/>
    <n v="52"/>
    <n v="24"/>
    <n v="52"/>
    <n v="24"/>
    <m/>
    <n v="24"/>
    <n v="89"/>
    <m/>
    <m/>
    <m/>
    <m/>
    <n v="24"/>
    <m/>
    <m/>
    <m/>
    <e v="#REF!"/>
    <e v="#REF!"/>
    <e v="#REF!"/>
    <e v="#REF!"/>
    <e v="#REF!"/>
    <e v="#REF!"/>
    <e v="#REF!"/>
    <e v="#REF!"/>
    <e v="#REF!"/>
    <e v="#REF!"/>
    <m/>
    <m/>
    <m/>
    <n v="0"/>
    <m/>
    <m/>
    <m/>
    <s v="MMR001CMP040"/>
    <m/>
  </r>
  <r>
    <x v="106"/>
    <x v="17"/>
    <x v="0"/>
    <s v="Shalom"/>
    <s v="Kachin"/>
    <x v="0"/>
    <s v="Qtr. 2 Lhaovo Baptist Church"/>
    <m/>
    <m/>
    <m/>
    <n v="12"/>
    <n v="9"/>
    <n v="25"/>
    <n v="12"/>
    <n v="25"/>
    <n v="12"/>
    <m/>
    <n v="12"/>
    <n v="34"/>
    <m/>
    <m/>
    <m/>
    <m/>
    <n v="12"/>
    <m/>
    <m/>
    <m/>
    <e v="#REF!"/>
    <e v="#REF!"/>
    <e v="#REF!"/>
    <e v="#REF!"/>
    <e v="#REF!"/>
    <e v="#REF!"/>
    <e v="#REF!"/>
    <e v="#REF!"/>
    <e v="#REF!"/>
    <e v="#REF!"/>
    <m/>
    <m/>
    <m/>
    <n v="0"/>
    <m/>
    <m/>
    <m/>
    <s v="MMR001CMP032"/>
    <m/>
  </r>
  <r>
    <x v="106"/>
    <x v="17"/>
    <x v="0"/>
    <s v="Shalom"/>
    <s v="Kachin"/>
    <x v="0"/>
    <s v="Qtr. 3 Mu-yin  Baptist Church"/>
    <m/>
    <m/>
    <m/>
    <n v="1"/>
    <n v="1"/>
    <n v="4"/>
    <n v="1"/>
    <n v="4"/>
    <n v="1"/>
    <m/>
    <n v="1"/>
    <n v="7"/>
    <m/>
    <m/>
    <m/>
    <m/>
    <n v="1"/>
    <m/>
    <m/>
    <m/>
    <e v="#REF!"/>
    <e v="#REF!"/>
    <e v="#REF!"/>
    <e v="#REF!"/>
    <e v="#REF!"/>
    <e v="#REF!"/>
    <e v="#REF!"/>
    <e v="#REF!"/>
    <e v="#REF!"/>
    <e v="#REF!"/>
    <m/>
    <m/>
    <m/>
    <n v="0"/>
    <m/>
    <m/>
    <m/>
    <s v="MMR001CMP030"/>
    <m/>
  </r>
  <r>
    <x v="106"/>
    <x v="17"/>
    <x v="0"/>
    <s v="Shalom"/>
    <s v="Kachin"/>
    <x v="0"/>
    <s v="Waingmaw AG Church"/>
    <m/>
    <m/>
    <m/>
    <n v="1"/>
    <n v="1"/>
    <n v="3"/>
    <n v="1"/>
    <n v="3"/>
    <n v="1"/>
    <m/>
    <n v="1"/>
    <n v="4"/>
    <m/>
    <m/>
    <m/>
    <m/>
    <n v="1"/>
    <m/>
    <m/>
    <m/>
    <e v="#REF!"/>
    <e v="#REF!"/>
    <e v="#REF!"/>
    <e v="#REF!"/>
    <e v="#REF!"/>
    <e v="#REF!"/>
    <e v="#REF!"/>
    <e v="#REF!"/>
    <e v="#REF!"/>
    <e v="#REF!"/>
    <m/>
    <m/>
    <m/>
    <n v="0"/>
    <m/>
    <m/>
    <m/>
    <s v="MMR001CMP038"/>
    <m/>
  </r>
  <r>
    <x v="107"/>
    <x v="17"/>
    <x v="0"/>
    <s v="Shalom"/>
    <s v="Kachin"/>
    <x v="0"/>
    <s v="Maina AG Church"/>
    <m/>
    <m/>
    <m/>
    <n v="10"/>
    <m/>
    <n v="33"/>
    <n v="10"/>
    <n v="33"/>
    <n v="10"/>
    <m/>
    <n v="10"/>
    <n v="57"/>
    <m/>
    <m/>
    <m/>
    <m/>
    <n v="10"/>
    <m/>
    <m/>
    <m/>
    <e v="#REF!"/>
    <e v="#REF!"/>
    <e v="#REF!"/>
    <e v="#REF!"/>
    <e v="#REF!"/>
    <e v="#REF!"/>
    <e v="#REF!"/>
    <e v="#REF!"/>
    <e v="#REF!"/>
    <e v="#REF!"/>
    <m/>
    <m/>
    <m/>
    <n v="0"/>
    <m/>
    <m/>
    <m/>
    <s v="MMR001CMP031"/>
    <m/>
  </r>
  <r>
    <x v="107"/>
    <x v="17"/>
    <x v="0"/>
    <s v="Shalom"/>
    <s v="Kachin"/>
    <x v="0"/>
    <s v="Qtr. 2 Lhaovo Baptist Church"/>
    <m/>
    <m/>
    <m/>
    <n v="7"/>
    <m/>
    <n v="12"/>
    <n v="7"/>
    <n v="12"/>
    <n v="7"/>
    <m/>
    <n v="7"/>
    <n v="16"/>
    <m/>
    <m/>
    <m/>
    <m/>
    <n v="7"/>
    <m/>
    <m/>
    <m/>
    <e v="#REF!"/>
    <e v="#REF!"/>
    <e v="#REF!"/>
    <e v="#REF!"/>
    <e v="#REF!"/>
    <e v="#REF!"/>
    <e v="#REF!"/>
    <e v="#REF!"/>
    <e v="#REF!"/>
    <e v="#REF!"/>
    <m/>
    <m/>
    <m/>
    <n v="0"/>
    <m/>
    <m/>
    <m/>
    <s v="MMR001CMP032"/>
    <m/>
  </r>
  <r>
    <x v="108"/>
    <x v="17"/>
    <x v="0"/>
    <s v="KMSS-M"/>
    <s v="Kachin"/>
    <x v="1"/>
    <s v="Pa Dauk Myaing(Pa La Na)"/>
    <m/>
    <m/>
    <m/>
    <n v="21"/>
    <m/>
    <n v="61"/>
    <n v="21"/>
    <n v="65"/>
    <n v="21"/>
    <m/>
    <n v="21"/>
    <n v="106"/>
    <m/>
    <m/>
    <m/>
    <m/>
    <n v="21"/>
    <m/>
    <m/>
    <m/>
    <e v="#REF!"/>
    <e v="#REF!"/>
    <e v="#REF!"/>
    <e v="#REF!"/>
    <e v="#REF!"/>
    <e v="#REF!"/>
    <e v="#REF!"/>
    <e v="#REF!"/>
    <e v="#REF!"/>
    <e v="#REF!"/>
    <m/>
    <m/>
    <m/>
    <n v="0"/>
    <m/>
    <m/>
    <m/>
    <s v="MMR001CMP162"/>
    <m/>
  </r>
  <r>
    <x v="102"/>
    <x v="17"/>
    <x v="0"/>
    <s v="KMSS-M"/>
    <s v="Kachin"/>
    <x v="0"/>
    <s v="Maina Catholic Church (St. Joseph)"/>
    <m/>
    <m/>
    <m/>
    <n v="52"/>
    <m/>
    <n v="153"/>
    <n v="52"/>
    <n v="157"/>
    <n v="52"/>
    <m/>
    <n v="52"/>
    <n v="274"/>
    <m/>
    <m/>
    <m/>
    <m/>
    <n v="52"/>
    <m/>
    <m/>
    <m/>
    <e v="#REF!"/>
    <e v="#REF!"/>
    <e v="#REF!"/>
    <e v="#REF!"/>
    <e v="#REF!"/>
    <e v="#REF!"/>
    <e v="#REF!"/>
    <e v="#REF!"/>
    <e v="#REF!"/>
    <e v="#REF!"/>
    <m/>
    <m/>
    <m/>
    <n v="0"/>
    <m/>
    <m/>
    <m/>
    <s v="MMR001CMP029"/>
    <m/>
  </r>
  <r>
    <x v="99"/>
    <x v="17"/>
    <x v="0"/>
    <s v="KMSS-M"/>
    <s v="Kachin"/>
    <x v="0"/>
    <s v="Maina Catholic Church (St. Joseph)"/>
    <m/>
    <m/>
    <m/>
    <m/>
    <m/>
    <m/>
    <m/>
    <m/>
    <m/>
    <m/>
    <m/>
    <m/>
    <m/>
    <m/>
    <m/>
    <m/>
    <m/>
    <m/>
    <m/>
    <n v="9"/>
    <e v="#REF!"/>
    <e v="#REF!"/>
    <e v="#REF!"/>
    <e v="#REF!"/>
    <e v="#REF!"/>
    <e v="#REF!"/>
    <e v="#REF!"/>
    <e v="#REF!"/>
    <e v="#REF!"/>
    <e v="#REF!"/>
    <m/>
    <m/>
    <m/>
    <n v="0"/>
    <m/>
    <m/>
    <m/>
    <s v="MMR001CMP029"/>
    <m/>
  </r>
  <r>
    <x v="104"/>
    <x v="17"/>
    <x v="4"/>
    <s v="MRCS"/>
    <s v="Kachin"/>
    <x v="7"/>
    <s v="Chipwi KBC camp"/>
    <m/>
    <m/>
    <m/>
    <n v="45"/>
    <n v="45"/>
    <m/>
    <m/>
    <m/>
    <m/>
    <m/>
    <m/>
    <m/>
    <m/>
    <m/>
    <m/>
    <m/>
    <n v="45"/>
    <m/>
    <m/>
    <m/>
    <e v="#REF!"/>
    <e v="#REF!"/>
    <e v="#REF!"/>
    <e v="#REF!"/>
    <e v="#REF!"/>
    <e v="#REF!"/>
    <e v="#REF!"/>
    <e v="#REF!"/>
    <e v="#REF!"/>
    <e v="#REF!"/>
    <m/>
    <m/>
    <m/>
    <n v="0"/>
    <m/>
    <m/>
    <m/>
    <s v="MMR001CMP042"/>
    <m/>
  </r>
  <r>
    <x v="104"/>
    <x v="17"/>
    <x v="4"/>
    <s v="MRCS"/>
    <s v="Kachin"/>
    <x v="7"/>
    <s v="Lhaovao Baptist Church (LBC)"/>
    <m/>
    <m/>
    <m/>
    <n v="54"/>
    <n v="54"/>
    <m/>
    <m/>
    <m/>
    <m/>
    <m/>
    <m/>
    <m/>
    <m/>
    <m/>
    <m/>
    <m/>
    <n v="54"/>
    <m/>
    <m/>
    <m/>
    <e v="#REF!"/>
    <e v="#REF!"/>
    <e v="#REF!"/>
    <e v="#REF!"/>
    <e v="#REF!"/>
    <e v="#REF!"/>
    <e v="#REF!"/>
    <e v="#REF!"/>
    <e v="#REF!"/>
    <e v="#REF!"/>
    <m/>
    <m/>
    <m/>
    <n v="0"/>
    <m/>
    <m/>
    <m/>
    <s v="MMR001CMP195"/>
    <m/>
  </r>
  <r>
    <x v="104"/>
    <x v="17"/>
    <x v="4"/>
    <s v="MRCS"/>
    <s v="Kachin"/>
    <x v="6"/>
    <s v="Karmaing RC Church"/>
    <m/>
    <n v="28"/>
    <m/>
    <m/>
    <m/>
    <n v="28"/>
    <n v="28"/>
    <n v="28"/>
    <n v="28"/>
    <m/>
    <m/>
    <m/>
    <m/>
    <m/>
    <m/>
    <m/>
    <m/>
    <m/>
    <m/>
    <m/>
    <e v="#REF!"/>
    <e v="#REF!"/>
    <e v="#REF!"/>
    <e v="#REF!"/>
    <e v="#REF!"/>
    <e v="#REF!"/>
    <e v="#REF!"/>
    <e v="#REF!"/>
    <e v="#REF!"/>
    <e v="#REF!"/>
    <m/>
    <m/>
    <m/>
    <n v="0"/>
    <m/>
    <m/>
    <m/>
    <s v="MMR001CMP270"/>
    <m/>
  </r>
  <r>
    <x v="103"/>
    <x v="17"/>
    <x v="4"/>
    <s v="MRCS"/>
    <s v="Kachin"/>
    <x v="18"/>
    <s v="In Jang Yang"/>
    <m/>
    <m/>
    <m/>
    <m/>
    <n v="29"/>
    <n v="29"/>
    <m/>
    <m/>
    <n v="29"/>
    <m/>
    <m/>
    <m/>
    <m/>
    <m/>
    <m/>
    <m/>
    <m/>
    <m/>
    <m/>
    <m/>
    <e v="#REF!"/>
    <e v="#REF!"/>
    <e v="#REF!"/>
    <e v="#REF!"/>
    <e v="#REF!"/>
    <e v="#REF!"/>
    <e v="#REF!"/>
    <e v="#REF!"/>
    <e v="#REF!"/>
    <e v="#REF!"/>
    <m/>
    <m/>
    <m/>
    <n v="0"/>
    <m/>
    <m/>
    <m/>
    <s v=""/>
    <m/>
  </r>
  <r>
    <x v="105"/>
    <x v="17"/>
    <x v="4"/>
    <s v="MRCS"/>
    <s v="Kachin"/>
    <x v="12"/>
    <s v="Tanai RC Church - Kinsa Ra "/>
    <m/>
    <n v="67"/>
    <m/>
    <m/>
    <m/>
    <n v="67"/>
    <m/>
    <m/>
    <m/>
    <m/>
    <m/>
    <m/>
    <m/>
    <m/>
    <m/>
    <m/>
    <m/>
    <m/>
    <m/>
    <m/>
    <e v="#REF!"/>
    <e v="#REF!"/>
    <e v="#REF!"/>
    <e v="#REF!"/>
    <e v="#REF!"/>
    <e v="#REF!"/>
    <e v="#REF!"/>
    <e v="#REF!"/>
    <e v="#REF!"/>
    <e v="#REF!"/>
    <m/>
    <m/>
    <m/>
    <n v="0"/>
    <m/>
    <m/>
    <m/>
    <s v=""/>
    <m/>
  </r>
  <r>
    <x v="105"/>
    <x v="17"/>
    <x v="4"/>
    <s v="MRCS"/>
    <s v="Kachin"/>
    <x v="6"/>
    <s v="Lawa RC Church"/>
    <m/>
    <m/>
    <m/>
    <n v="37"/>
    <n v="37"/>
    <m/>
    <m/>
    <m/>
    <m/>
    <m/>
    <m/>
    <m/>
    <m/>
    <m/>
    <m/>
    <m/>
    <n v="37"/>
    <m/>
    <m/>
    <m/>
    <e v="#REF!"/>
    <e v="#REF!"/>
    <e v="#REF!"/>
    <e v="#REF!"/>
    <e v="#REF!"/>
    <e v="#REF!"/>
    <e v="#REF!"/>
    <e v="#REF!"/>
    <e v="#REF!"/>
    <e v="#REF!"/>
    <m/>
    <m/>
    <m/>
    <n v="0"/>
    <m/>
    <m/>
    <m/>
    <s v="MMR001CMP268"/>
    <m/>
  </r>
  <r>
    <x v="109"/>
    <x v="17"/>
    <x v="12"/>
    <m/>
    <s v="Shan_North"/>
    <x v="11"/>
    <s v="Pan Ta Pyae"/>
    <m/>
    <m/>
    <m/>
    <n v="1"/>
    <m/>
    <m/>
    <m/>
    <m/>
    <m/>
    <m/>
    <m/>
    <m/>
    <m/>
    <m/>
    <m/>
    <m/>
    <m/>
    <m/>
    <m/>
    <m/>
    <e v="#REF!"/>
    <e v="#REF!"/>
    <e v="#REF!"/>
    <e v="#REF!"/>
    <e v="#REF!"/>
    <e v="#REF!"/>
    <e v="#REF!"/>
    <e v="#REF!"/>
    <e v="#REF!"/>
    <e v="#REF!"/>
    <m/>
    <m/>
    <m/>
    <n v="0"/>
    <m/>
    <m/>
    <m/>
    <s v="MMR015CMP221"/>
    <m/>
  </r>
  <r>
    <x v="110"/>
    <x v="17"/>
    <x v="12"/>
    <m/>
    <s v="Shan_North"/>
    <x v="14"/>
    <s v="Pan Ta Pyae"/>
    <m/>
    <m/>
    <m/>
    <n v="1"/>
    <m/>
    <m/>
    <m/>
    <m/>
    <m/>
    <m/>
    <m/>
    <m/>
    <m/>
    <m/>
    <m/>
    <m/>
    <m/>
    <m/>
    <m/>
    <m/>
    <e v="#REF!"/>
    <e v="#REF!"/>
    <e v="#REF!"/>
    <e v="#REF!"/>
    <e v="#REF!"/>
    <e v="#REF!"/>
    <e v="#REF!"/>
    <e v="#REF!"/>
    <e v="#REF!"/>
    <e v="#REF!"/>
    <m/>
    <m/>
    <m/>
    <n v="0"/>
    <m/>
    <m/>
    <m/>
    <s v="MMR015CMP221"/>
    <m/>
  </r>
  <r>
    <x v="111"/>
    <x v="17"/>
    <x v="12"/>
    <m/>
    <s v="Kachin"/>
    <x v="2"/>
    <s v="Man Wing Catholic Church"/>
    <n v="1"/>
    <m/>
    <m/>
    <m/>
    <m/>
    <m/>
    <m/>
    <m/>
    <m/>
    <m/>
    <m/>
    <m/>
    <m/>
    <m/>
    <m/>
    <m/>
    <m/>
    <m/>
    <m/>
    <m/>
    <e v="#REF!"/>
    <e v="#REF!"/>
    <e v="#REF!"/>
    <e v="#REF!"/>
    <e v="#REF!"/>
    <e v="#REF!"/>
    <e v="#REF!"/>
    <e v="#REF!"/>
    <e v="#REF!"/>
    <e v="#REF!"/>
    <m/>
    <m/>
    <m/>
    <n v="0"/>
    <m/>
    <m/>
    <m/>
    <s v="MMR001CMP132"/>
    <m/>
  </r>
  <r>
    <x v="112"/>
    <x v="17"/>
    <x v="12"/>
    <m/>
    <s v="Shan_North"/>
    <x v="14"/>
    <s v="Nam Hkam (KBC Jaw Wang)"/>
    <n v="1"/>
    <m/>
    <m/>
    <m/>
    <m/>
    <m/>
    <m/>
    <m/>
    <m/>
    <m/>
    <m/>
    <m/>
    <m/>
    <m/>
    <m/>
    <m/>
    <m/>
    <m/>
    <m/>
    <m/>
    <e v="#REF!"/>
    <e v="#REF!"/>
    <e v="#REF!"/>
    <e v="#REF!"/>
    <e v="#REF!"/>
    <e v="#REF!"/>
    <e v="#REF!"/>
    <e v="#REF!"/>
    <e v="#REF!"/>
    <e v="#REF!"/>
    <m/>
    <m/>
    <m/>
    <n v="0"/>
    <m/>
    <m/>
    <m/>
    <s v="MMR015CMP001"/>
    <m/>
  </r>
  <r>
    <x v="113"/>
    <x v="17"/>
    <x v="12"/>
    <m/>
    <s v="Kachin"/>
    <x v="2"/>
    <s v="Man Wing Catholic Church II"/>
    <n v="1"/>
    <m/>
    <m/>
    <m/>
    <m/>
    <n v="2"/>
    <m/>
    <n v="2"/>
    <n v="2"/>
    <n v="2"/>
    <n v="1"/>
    <n v="2"/>
    <m/>
    <m/>
    <m/>
    <m/>
    <m/>
    <m/>
    <m/>
    <m/>
    <e v="#REF!"/>
    <e v="#REF!"/>
    <e v="#REF!"/>
    <e v="#REF!"/>
    <e v="#REF!"/>
    <e v="#REF!"/>
    <e v="#REF!"/>
    <e v="#REF!"/>
    <e v="#REF!"/>
    <e v="#REF!"/>
    <m/>
    <m/>
    <m/>
    <n v="0"/>
    <m/>
    <m/>
    <m/>
    <s v="MMR001CMP228"/>
    <m/>
  </r>
  <r>
    <x v="99"/>
    <x v="17"/>
    <x v="3"/>
    <s v="Metta"/>
    <s v="Kachin"/>
    <x v="1"/>
    <s v="Trinity Camp"/>
    <m/>
    <m/>
    <m/>
    <m/>
    <m/>
    <n v="66"/>
    <m/>
    <n v="66"/>
    <m/>
    <m/>
    <m/>
    <n v="66"/>
    <m/>
    <m/>
    <m/>
    <m/>
    <m/>
    <m/>
    <m/>
    <m/>
    <e v="#REF!"/>
    <e v="#REF!"/>
    <e v="#REF!"/>
    <e v="#REF!"/>
    <e v="#REF!"/>
    <e v="#REF!"/>
    <e v="#REF!"/>
    <e v="#REF!"/>
    <e v="#REF!"/>
    <e v="#REF!"/>
    <m/>
    <m/>
    <m/>
    <n v="0"/>
    <m/>
    <m/>
    <m/>
    <s v="MMR001CMP263"/>
    <m/>
  </r>
  <r>
    <x v="114"/>
    <x v="17"/>
    <x v="3"/>
    <s v="Metta"/>
    <s v="Kachin"/>
    <x v="1"/>
    <s v="Tang Hpre RC Church"/>
    <m/>
    <m/>
    <m/>
    <m/>
    <m/>
    <n v="101"/>
    <m/>
    <n v="101"/>
    <m/>
    <m/>
    <m/>
    <n v="101"/>
    <m/>
    <m/>
    <m/>
    <m/>
    <m/>
    <m/>
    <m/>
    <m/>
    <e v="#REF!"/>
    <e v="#REF!"/>
    <e v="#REF!"/>
    <e v="#REF!"/>
    <e v="#REF!"/>
    <e v="#REF!"/>
    <e v="#REF!"/>
    <e v="#REF!"/>
    <e v="#REF!"/>
    <e v="#REF!"/>
    <m/>
    <m/>
    <m/>
    <n v="0"/>
    <m/>
    <m/>
    <m/>
    <s v="MMR001CMP264"/>
    <m/>
  </r>
  <r>
    <x v="114"/>
    <x v="17"/>
    <x v="3"/>
    <s v="Metta"/>
    <s v="Kachin"/>
    <x v="1"/>
    <s v="Trinity Camp"/>
    <m/>
    <m/>
    <m/>
    <m/>
    <m/>
    <n v="49"/>
    <m/>
    <n v="49"/>
    <m/>
    <m/>
    <m/>
    <n v="49"/>
    <m/>
    <m/>
    <m/>
    <m/>
    <m/>
    <m/>
    <m/>
    <m/>
    <e v="#REF!"/>
    <e v="#REF!"/>
    <e v="#REF!"/>
    <e v="#REF!"/>
    <e v="#REF!"/>
    <e v="#REF!"/>
    <e v="#REF!"/>
    <e v="#REF!"/>
    <e v="#REF!"/>
    <e v="#REF!"/>
    <m/>
    <m/>
    <m/>
    <n v="0"/>
    <m/>
    <m/>
    <m/>
    <s v="MMR001CMP263"/>
    <m/>
  </r>
  <r>
    <x v="115"/>
    <x v="17"/>
    <x v="3"/>
    <s v="Metta"/>
    <s v="Kachin"/>
    <x v="1"/>
    <s v="Jaw Ma Sat Camp"/>
    <m/>
    <m/>
    <m/>
    <m/>
    <m/>
    <n v="92"/>
    <m/>
    <n v="92"/>
    <m/>
    <m/>
    <m/>
    <n v="92"/>
    <m/>
    <m/>
    <m/>
    <m/>
    <m/>
    <m/>
    <m/>
    <m/>
    <e v="#REF!"/>
    <e v="#REF!"/>
    <e v="#REF!"/>
    <e v="#REF!"/>
    <e v="#REF!"/>
    <e v="#REF!"/>
    <e v="#REF!"/>
    <e v="#REF!"/>
    <e v="#REF!"/>
    <e v="#REF!"/>
    <m/>
    <m/>
    <m/>
    <n v="0"/>
    <m/>
    <m/>
    <m/>
    <s v=""/>
    <m/>
  </r>
  <r>
    <x v="115"/>
    <x v="17"/>
    <x v="3"/>
    <s v="Metta"/>
    <s v="Kachin"/>
    <x v="17"/>
    <s v="Namti Labraw Yang KBC Camp"/>
    <m/>
    <m/>
    <m/>
    <m/>
    <m/>
    <m/>
    <m/>
    <m/>
    <m/>
    <m/>
    <m/>
    <m/>
    <m/>
    <m/>
    <m/>
    <m/>
    <m/>
    <m/>
    <n v="80"/>
    <m/>
    <e v="#REF!"/>
    <e v="#REF!"/>
    <e v="#REF!"/>
    <e v="#REF!"/>
    <e v="#REF!"/>
    <e v="#REF!"/>
    <e v="#REF!"/>
    <e v="#REF!"/>
    <e v="#REF!"/>
    <e v="#REF!"/>
    <m/>
    <m/>
    <m/>
    <n v="0"/>
    <m/>
    <m/>
    <m/>
    <s v="MMR001CMP261"/>
    <m/>
  </r>
  <r>
    <x v="115"/>
    <x v="17"/>
    <x v="3"/>
    <s v="Metta"/>
    <s v="Kachin"/>
    <x v="17"/>
    <s v="Myo Oo St. Dominic RC Church"/>
    <m/>
    <m/>
    <m/>
    <m/>
    <m/>
    <m/>
    <m/>
    <m/>
    <m/>
    <m/>
    <m/>
    <m/>
    <m/>
    <m/>
    <m/>
    <m/>
    <m/>
    <m/>
    <n v="52"/>
    <m/>
    <e v="#REF!"/>
    <e v="#REF!"/>
    <e v="#REF!"/>
    <e v="#REF!"/>
    <e v="#REF!"/>
    <e v="#REF!"/>
    <e v="#REF!"/>
    <e v="#REF!"/>
    <e v="#REF!"/>
    <e v="#REF!"/>
    <m/>
    <m/>
    <m/>
    <n v="0"/>
    <m/>
    <m/>
    <m/>
    <s v="MMR001CMP259"/>
    <m/>
  </r>
  <r>
    <x v="115"/>
    <x v="17"/>
    <x v="3"/>
    <s v="Metta"/>
    <s v="Kachin"/>
    <x v="17"/>
    <s v="Lan Gwa St.Paul RC Church"/>
    <m/>
    <m/>
    <m/>
    <m/>
    <m/>
    <m/>
    <m/>
    <m/>
    <m/>
    <m/>
    <m/>
    <m/>
    <m/>
    <m/>
    <m/>
    <m/>
    <m/>
    <m/>
    <n v="22"/>
    <m/>
    <e v="#REF!"/>
    <e v="#REF!"/>
    <e v="#REF!"/>
    <e v="#REF!"/>
    <e v="#REF!"/>
    <e v="#REF!"/>
    <e v="#REF!"/>
    <e v="#REF!"/>
    <e v="#REF!"/>
    <e v="#REF!"/>
    <m/>
    <m/>
    <m/>
    <n v="0"/>
    <m/>
    <m/>
    <m/>
    <s v="MMR001CMP260"/>
    <m/>
  </r>
  <r>
    <x v="115"/>
    <x v="17"/>
    <x v="3"/>
    <s v="Metta"/>
    <s v="Kachin"/>
    <x v="17"/>
    <s v="Lan Gwa St.Paul RC Church"/>
    <m/>
    <m/>
    <m/>
    <m/>
    <m/>
    <m/>
    <m/>
    <n v="47"/>
    <m/>
    <m/>
    <m/>
    <n v="59"/>
    <m/>
    <m/>
    <m/>
    <m/>
    <m/>
    <m/>
    <m/>
    <m/>
    <e v="#REF!"/>
    <e v="#REF!"/>
    <e v="#REF!"/>
    <e v="#REF!"/>
    <e v="#REF!"/>
    <e v="#REF!"/>
    <e v="#REF!"/>
    <e v="#REF!"/>
    <e v="#REF!"/>
    <e v="#REF!"/>
    <m/>
    <m/>
    <m/>
    <n v="0"/>
    <m/>
    <m/>
    <m/>
    <s v="MMR001CMP260"/>
    <m/>
  </r>
  <r>
    <x v="111"/>
    <x v="17"/>
    <x v="14"/>
    <s v="KBC"/>
    <s v="Kachin"/>
    <x v="1"/>
    <s v="Jaw Ma Sat Camp"/>
    <m/>
    <m/>
    <m/>
    <n v="21"/>
    <m/>
    <n v="42"/>
    <n v="42"/>
    <n v="42"/>
    <n v="21"/>
    <m/>
    <n v="21"/>
    <m/>
    <m/>
    <m/>
    <m/>
    <m/>
    <m/>
    <m/>
    <m/>
    <m/>
    <e v="#REF!"/>
    <e v="#REF!"/>
    <e v="#REF!"/>
    <e v="#REF!"/>
    <e v="#REF!"/>
    <e v="#REF!"/>
    <e v="#REF!"/>
    <e v="#REF!"/>
    <e v="#REF!"/>
    <e v="#REF!"/>
    <m/>
    <m/>
    <m/>
    <n v="0"/>
    <m/>
    <m/>
    <m/>
    <s v=""/>
    <m/>
  </r>
  <r>
    <x v="116"/>
    <x v="17"/>
    <x v="14"/>
    <s v="KBC"/>
    <s v="Kachin"/>
    <x v="0"/>
    <s v="Waimaw Baptist Zonal Office 2"/>
    <m/>
    <m/>
    <m/>
    <n v="57"/>
    <m/>
    <m/>
    <m/>
    <m/>
    <m/>
    <m/>
    <m/>
    <m/>
    <m/>
    <m/>
    <m/>
    <m/>
    <m/>
    <m/>
    <m/>
    <m/>
    <e v="#REF!"/>
    <e v="#REF!"/>
    <e v="#REF!"/>
    <e v="#REF!"/>
    <e v="#REF!"/>
    <e v="#REF!"/>
    <e v="#REF!"/>
    <e v="#REF!"/>
    <e v="#REF!"/>
    <e v="#REF!"/>
    <m/>
    <m/>
    <m/>
    <n v="0"/>
    <m/>
    <m/>
    <m/>
    <s v="MMR001CMP269"/>
    <m/>
  </r>
  <r>
    <x v="106"/>
    <x v="17"/>
    <x v="14"/>
    <s v="KBC"/>
    <s v="Kachin"/>
    <x v="18"/>
    <s v="Ti Yang Zup"/>
    <m/>
    <m/>
    <m/>
    <n v="25"/>
    <m/>
    <m/>
    <m/>
    <m/>
    <m/>
    <m/>
    <m/>
    <m/>
    <m/>
    <m/>
    <m/>
    <m/>
    <m/>
    <m/>
    <m/>
    <m/>
    <e v="#REF!"/>
    <e v="#REF!"/>
    <e v="#REF!"/>
    <e v="#REF!"/>
    <e v="#REF!"/>
    <e v="#REF!"/>
    <e v="#REF!"/>
    <e v="#REF!"/>
    <e v="#REF!"/>
    <e v="#REF!"/>
    <m/>
    <m/>
    <m/>
    <n v="0"/>
    <m/>
    <m/>
    <m/>
    <s v="MMR001CMP267"/>
    <m/>
  </r>
  <r>
    <x v="117"/>
    <x v="17"/>
    <x v="14"/>
    <s v="KBC"/>
    <s v="Kachin"/>
    <x v="6"/>
    <s v="Hlaing Naung Baptist"/>
    <m/>
    <m/>
    <m/>
    <n v="31"/>
    <m/>
    <m/>
    <m/>
    <m/>
    <m/>
    <m/>
    <m/>
    <m/>
    <m/>
    <m/>
    <m/>
    <m/>
    <m/>
    <m/>
    <m/>
    <m/>
    <e v="#REF!"/>
    <e v="#REF!"/>
    <e v="#REF!"/>
    <e v="#REF!"/>
    <e v="#REF!"/>
    <e v="#REF!"/>
    <e v="#REF!"/>
    <e v="#REF!"/>
    <e v="#REF!"/>
    <e v="#REF!"/>
    <m/>
    <m/>
    <m/>
    <n v="0"/>
    <m/>
    <m/>
    <m/>
    <s v="MMR001CMP148"/>
    <m/>
  </r>
  <r>
    <x v="101"/>
    <x v="17"/>
    <x v="14"/>
    <s v="KBC"/>
    <s v="Kachin"/>
    <x v="1"/>
    <s v="Le Kone Bethlehem Church"/>
    <m/>
    <m/>
    <m/>
    <n v="3"/>
    <m/>
    <m/>
    <m/>
    <m/>
    <m/>
    <m/>
    <m/>
    <m/>
    <m/>
    <m/>
    <m/>
    <m/>
    <m/>
    <m/>
    <m/>
    <m/>
    <e v="#REF!"/>
    <e v="#REF!"/>
    <e v="#REF!"/>
    <e v="#REF!"/>
    <e v="#REF!"/>
    <e v="#REF!"/>
    <e v="#REF!"/>
    <e v="#REF!"/>
    <e v="#REF!"/>
    <e v="#REF!"/>
    <m/>
    <m/>
    <m/>
    <n v="0"/>
    <m/>
    <m/>
    <m/>
    <s v="MMR001CMP015"/>
    <m/>
  </r>
  <r>
    <x v="108"/>
    <x v="17"/>
    <x v="14"/>
    <s v="KBC"/>
    <s v="Kachin"/>
    <x v="1"/>
    <s v="Kyun Pin Thar Baptist Church"/>
    <m/>
    <m/>
    <m/>
    <n v="1"/>
    <m/>
    <m/>
    <m/>
    <m/>
    <m/>
    <m/>
    <m/>
    <m/>
    <m/>
    <m/>
    <m/>
    <m/>
    <m/>
    <m/>
    <m/>
    <m/>
    <e v="#REF!"/>
    <e v="#REF!"/>
    <e v="#REF!"/>
    <e v="#REF!"/>
    <e v="#REF!"/>
    <e v="#REF!"/>
    <e v="#REF!"/>
    <e v="#REF!"/>
    <e v="#REF!"/>
    <e v="#REF!"/>
    <m/>
    <m/>
    <m/>
    <n v="0"/>
    <m/>
    <m/>
    <m/>
    <s v="MMR001CMP013"/>
    <m/>
  </r>
  <r>
    <x v="107"/>
    <x v="17"/>
    <x v="14"/>
    <s v="KBC"/>
    <s v="Kachin"/>
    <x v="0"/>
    <s v="Maina Lawang Baptist Church"/>
    <m/>
    <m/>
    <m/>
    <n v="2"/>
    <m/>
    <m/>
    <m/>
    <m/>
    <m/>
    <m/>
    <m/>
    <m/>
    <m/>
    <m/>
    <m/>
    <m/>
    <m/>
    <m/>
    <m/>
    <m/>
    <e v="#REF!"/>
    <e v="#REF!"/>
    <e v="#REF!"/>
    <e v="#REF!"/>
    <e v="#REF!"/>
    <e v="#REF!"/>
    <e v="#REF!"/>
    <e v="#REF!"/>
    <e v="#REF!"/>
    <e v="#REF!"/>
    <m/>
    <m/>
    <m/>
    <n v="0"/>
    <m/>
    <m/>
    <m/>
    <s v="MMR001CMP039"/>
    <m/>
  </r>
  <r>
    <x v="118"/>
    <x v="17"/>
    <x v="14"/>
    <s v="KBC"/>
    <s v="Kachin"/>
    <x v="0"/>
    <s v="Qtr. 2 Myoma Baptist Church"/>
    <m/>
    <m/>
    <m/>
    <n v="3"/>
    <m/>
    <m/>
    <m/>
    <m/>
    <m/>
    <m/>
    <m/>
    <m/>
    <m/>
    <m/>
    <m/>
    <m/>
    <m/>
    <m/>
    <m/>
    <m/>
    <e v="#REF!"/>
    <e v="#REF!"/>
    <e v="#REF!"/>
    <e v="#REF!"/>
    <e v="#REF!"/>
    <e v="#REF!"/>
    <e v="#REF!"/>
    <e v="#REF!"/>
    <e v="#REF!"/>
    <e v="#REF!"/>
    <m/>
    <m/>
    <m/>
    <n v="0"/>
    <m/>
    <m/>
    <m/>
    <s v="MMR001CMP025"/>
    <m/>
  </r>
  <r>
    <x v="119"/>
    <x v="17"/>
    <x v="14"/>
    <s v="KBC"/>
    <s v="Kachin"/>
    <x v="1"/>
    <s v="Shatapru Sut Ngai Tawng"/>
    <m/>
    <m/>
    <m/>
    <n v="2"/>
    <m/>
    <m/>
    <m/>
    <m/>
    <m/>
    <m/>
    <m/>
    <m/>
    <m/>
    <m/>
    <m/>
    <m/>
    <m/>
    <m/>
    <m/>
    <m/>
    <e v="#REF!"/>
    <e v="#REF!"/>
    <e v="#REF!"/>
    <e v="#REF!"/>
    <e v="#REF!"/>
    <e v="#REF!"/>
    <e v="#REF!"/>
    <e v="#REF!"/>
    <e v="#REF!"/>
    <e v="#REF!"/>
    <m/>
    <m/>
    <m/>
    <n v="0"/>
    <m/>
    <m/>
    <m/>
    <s v="MMR001CMP006"/>
    <m/>
  </r>
  <r>
    <x v="110"/>
    <x v="17"/>
    <x v="14"/>
    <s v="KBC"/>
    <s v="Kachin"/>
    <x v="1"/>
    <s v="Njang Dung Baptist Church "/>
    <m/>
    <m/>
    <m/>
    <n v="1"/>
    <m/>
    <m/>
    <m/>
    <m/>
    <m/>
    <m/>
    <m/>
    <m/>
    <m/>
    <m/>
    <m/>
    <m/>
    <m/>
    <m/>
    <m/>
    <m/>
    <e v="#REF!"/>
    <e v="#REF!"/>
    <e v="#REF!"/>
    <e v="#REF!"/>
    <e v="#REF!"/>
    <e v="#REF!"/>
    <e v="#REF!"/>
    <e v="#REF!"/>
    <e v="#REF!"/>
    <e v="#REF!"/>
    <m/>
    <m/>
    <m/>
    <n v="0"/>
    <m/>
    <m/>
    <m/>
    <s v="MMR001CMP002"/>
    <m/>
  </r>
  <r>
    <x v="120"/>
    <x v="17"/>
    <x v="14"/>
    <s v="KBC"/>
    <s v="Kachin"/>
    <x v="6"/>
    <s v="Shar Du Zut KBC church "/>
    <m/>
    <m/>
    <m/>
    <n v="2"/>
    <m/>
    <m/>
    <m/>
    <m/>
    <m/>
    <m/>
    <m/>
    <m/>
    <m/>
    <m/>
    <m/>
    <m/>
    <m/>
    <m/>
    <m/>
    <m/>
    <e v="#REF!"/>
    <e v="#REF!"/>
    <e v="#REF!"/>
    <e v="#REF!"/>
    <e v="#REF!"/>
    <e v="#REF!"/>
    <e v="#REF!"/>
    <e v="#REF!"/>
    <e v="#REF!"/>
    <e v="#REF!"/>
    <m/>
    <m/>
    <m/>
    <n v="0"/>
    <m/>
    <m/>
    <m/>
    <s v="MMR001CMP244"/>
    <m/>
  </r>
  <r>
    <x v="121"/>
    <x v="18"/>
    <x v="0"/>
    <s v="Shalom"/>
    <s v="Kachin"/>
    <x v="1"/>
    <s v="Maw Hpawng Lhaovo Baptist Church"/>
    <m/>
    <m/>
    <m/>
    <n v="5"/>
    <m/>
    <n v="15"/>
    <n v="5"/>
    <n v="15"/>
    <n v="5"/>
    <m/>
    <n v="4"/>
    <n v="27"/>
    <m/>
    <m/>
    <m/>
    <m/>
    <m/>
    <m/>
    <m/>
    <m/>
    <e v="#REF!"/>
    <e v="#REF!"/>
    <e v="#REF!"/>
    <e v="#REF!"/>
    <e v="#REF!"/>
    <e v="#REF!"/>
    <e v="#REF!"/>
    <e v="#REF!"/>
    <e v="#REF!"/>
    <e v="#REF!"/>
    <m/>
    <m/>
    <m/>
    <n v="0"/>
    <m/>
    <m/>
    <m/>
    <s v="MMR001CMP021"/>
    <m/>
  </r>
  <r>
    <x v="121"/>
    <x v="18"/>
    <x v="0"/>
    <s v="Shalom"/>
    <s v="Kachin"/>
    <x v="0"/>
    <s v="Qtr. 2 Lhaovo Baptist Church"/>
    <m/>
    <m/>
    <m/>
    <n v="4"/>
    <m/>
    <n v="13"/>
    <n v="4"/>
    <n v="13"/>
    <n v="4"/>
    <m/>
    <n v="6"/>
    <n v="21"/>
    <m/>
    <m/>
    <m/>
    <m/>
    <m/>
    <m/>
    <m/>
    <m/>
    <e v="#REF!"/>
    <e v="#REF!"/>
    <e v="#REF!"/>
    <e v="#REF!"/>
    <e v="#REF!"/>
    <e v="#REF!"/>
    <e v="#REF!"/>
    <e v="#REF!"/>
    <e v="#REF!"/>
    <e v="#REF!"/>
    <m/>
    <m/>
    <m/>
    <n v="0"/>
    <m/>
    <m/>
    <m/>
    <s v="MMR001CMP032"/>
    <m/>
  </r>
  <r>
    <x v="121"/>
    <x v="18"/>
    <x v="0"/>
    <s v="Shalom"/>
    <s v="Kachin"/>
    <x v="0"/>
    <s v="Maina AG Church"/>
    <m/>
    <m/>
    <m/>
    <n v="5"/>
    <m/>
    <n v="15"/>
    <n v="5"/>
    <n v="15"/>
    <n v="5"/>
    <m/>
    <n v="5"/>
    <n v="28"/>
    <m/>
    <m/>
    <m/>
    <m/>
    <m/>
    <m/>
    <m/>
    <m/>
    <e v="#REF!"/>
    <e v="#REF!"/>
    <e v="#REF!"/>
    <e v="#REF!"/>
    <e v="#REF!"/>
    <e v="#REF!"/>
    <e v="#REF!"/>
    <e v="#REF!"/>
    <e v="#REF!"/>
    <e v="#REF!"/>
    <m/>
    <m/>
    <m/>
    <n v="0"/>
    <m/>
    <m/>
    <m/>
    <s v="MMR001CMP031"/>
    <m/>
  </r>
  <r>
    <x v="121"/>
    <x v="18"/>
    <x v="0"/>
    <s v="Shalom"/>
    <s v="Kachin"/>
    <x v="0"/>
    <s v="Waingmaw AG Church"/>
    <m/>
    <m/>
    <m/>
    <n v="1"/>
    <m/>
    <n v="4"/>
    <n v="1"/>
    <n v="4"/>
    <n v="1"/>
    <m/>
    <n v="1"/>
    <n v="8"/>
    <m/>
    <m/>
    <m/>
    <m/>
    <m/>
    <m/>
    <m/>
    <m/>
    <e v="#REF!"/>
    <e v="#REF!"/>
    <e v="#REF!"/>
    <e v="#REF!"/>
    <e v="#REF!"/>
    <e v="#REF!"/>
    <e v="#REF!"/>
    <e v="#REF!"/>
    <e v="#REF!"/>
    <e v="#REF!"/>
    <m/>
    <m/>
    <m/>
    <n v="0"/>
    <m/>
    <m/>
    <m/>
    <s v="MMR001CMP038"/>
    <m/>
  </r>
  <r>
    <x v="122"/>
    <x v="18"/>
    <x v="0"/>
    <s v="Shalom"/>
    <s v="Kachin"/>
    <x v="6"/>
    <s v="AG Church, Hmaw Si Sa"/>
    <m/>
    <m/>
    <m/>
    <m/>
    <m/>
    <m/>
    <m/>
    <m/>
    <m/>
    <m/>
    <m/>
    <m/>
    <m/>
    <m/>
    <m/>
    <m/>
    <m/>
    <n v="19"/>
    <m/>
    <m/>
    <e v="#REF!"/>
    <e v="#REF!"/>
    <e v="#REF!"/>
    <e v="#REF!"/>
    <e v="#REF!"/>
    <e v="#REF!"/>
    <e v="#REF!"/>
    <e v="#REF!"/>
    <e v="#REF!"/>
    <e v="#REF!"/>
    <m/>
    <m/>
    <m/>
    <n v="0"/>
    <m/>
    <m/>
    <m/>
    <s v="MMR001CMP176"/>
    <m/>
  </r>
  <r>
    <x v="122"/>
    <x v="18"/>
    <x v="0"/>
    <s v="Shalom"/>
    <s v="Kachin"/>
    <x v="6"/>
    <s v="Lisu Baptist Church, Maw Wan Ward"/>
    <m/>
    <m/>
    <m/>
    <m/>
    <m/>
    <m/>
    <m/>
    <m/>
    <m/>
    <m/>
    <m/>
    <m/>
    <m/>
    <m/>
    <m/>
    <m/>
    <m/>
    <n v="12"/>
    <m/>
    <m/>
    <e v="#REF!"/>
    <e v="#REF!"/>
    <e v="#REF!"/>
    <e v="#REF!"/>
    <e v="#REF!"/>
    <e v="#REF!"/>
    <e v="#REF!"/>
    <e v="#REF!"/>
    <e v="#REF!"/>
    <e v="#REF!"/>
    <m/>
    <m/>
    <m/>
    <n v="0"/>
    <m/>
    <m/>
    <m/>
    <s v="MMR001CMP167"/>
    <m/>
  </r>
  <r>
    <x v="122"/>
    <x v="18"/>
    <x v="0"/>
    <s v="Shalom"/>
    <s v="Kachin"/>
    <x v="6"/>
    <s v="Nam Ma Phyit, COC"/>
    <m/>
    <m/>
    <m/>
    <m/>
    <m/>
    <m/>
    <m/>
    <m/>
    <m/>
    <m/>
    <m/>
    <m/>
    <m/>
    <m/>
    <m/>
    <m/>
    <m/>
    <n v="9"/>
    <m/>
    <m/>
    <e v="#REF!"/>
    <e v="#REF!"/>
    <e v="#REF!"/>
    <e v="#REF!"/>
    <e v="#REF!"/>
    <e v="#REF!"/>
    <e v="#REF!"/>
    <e v="#REF!"/>
    <e v="#REF!"/>
    <e v="#REF!"/>
    <m/>
    <m/>
    <m/>
    <n v="0"/>
    <m/>
    <m/>
    <m/>
    <s v="MMR001CMP192"/>
    <m/>
  </r>
  <r>
    <x v="122"/>
    <x v="18"/>
    <x v="0"/>
    <s v="Shalom"/>
    <s v="Kachin"/>
    <x v="6"/>
    <s v="AG Church, Maw Wan"/>
    <m/>
    <m/>
    <m/>
    <m/>
    <m/>
    <m/>
    <m/>
    <m/>
    <m/>
    <m/>
    <m/>
    <m/>
    <m/>
    <m/>
    <m/>
    <m/>
    <m/>
    <n v="12"/>
    <m/>
    <m/>
    <e v="#REF!"/>
    <e v="#REF!"/>
    <e v="#REF!"/>
    <e v="#REF!"/>
    <e v="#REF!"/>
    <e v="#REF!"/>
    <e v="#REF!"/>
    <e v="#REF!"/>
    <e v="#REF!"/>
    <e v="#REF!"/>
    <m/>
    <m/>
    <m/>
    <n v="0"/>
    <m/>
    <m/>
    <m/>
    <s v="MMR001CMP190"/>
    <m/>
  </r>
  <r>
    <x v="122"/>
    <x v="18"/>
    <x v="0"/>
    <s v="Shalom"/>
    <s v="Kachin"/>
    <x v="0"/>
    <s v="Qtr. 2 Lhaovo Baptist Church"/>
    <m/>
    <m/>
    <m/>
    <m/>
    <m/>
    <m/>
    <m/>
    <m/>
    <m/>
    <m/>
    <m/>
    <m/>
    <m/>
    <m/>
    <m/>
    <m/>
    <m/>
    <n v="20"/>
    <m/>
    <m/>
    <e v="#REF!"/>
    <e v="#REF!"/>
    <e v="#REF!"/>
    <e v="#REF!"/>
    <e v="#REF!"/>
    <e v="#REF!"/>
    <e v="#REF!"/>
    <e v="#REF!"/>
    <e v="#REF!"/>
    <e v="#REF!"/>
    <m/>
    <m/>
    <m/>
    <n v="0"/>
    <m/>
    <m/>
    <m/>
    <s v="MMR001CMP032"/>
    <m/>
  </r>
  <r>
    <x v="122"/>
    <x v="18"/>
    <x v="0"/>
    <s v="Shalom"/>
    <s v="Kachin"/>
    <x v="6"/>
    <s v="Dhama Rakhita, Nyein Chan Tar Yar Ward(Lon Khin)"/>
    <m/>
    <m/>
    <m/>
    <m/>
    <m/>
    <m/>
    <m/>
    <m/>
    <m/>
    <m/>
    <m/>
    <m/>
    <m/>
    <m/>
    <m/>
    <m/>
    <m/>
    <n v="43"/>
    <m/>
    <m/>
    <e v="#REF!"/>
    <e v="#REF!"/>
    <e v="#REF!"/>
    <e v="#REF!"/>
    <e v="#REF!"/>
    <e v="#REF!"/>
    <e v="#REF!"/>
    <e v="#REF!"/>
    <e v="#REF!"/>
    <e v="#REF!"/>
    <m/>
    <m/>
    <m/>
    <n v="0"/>
    <m/>
    <m/>
    <m/>
    <s v="MMR001CMP174"/>
    <m/>
  </r>
  <r>
    <x v="122"/>
    <x v="18"/>
    <x v="0"/>
    <s v="Shalom"/>
    <s v="Kachin"/>
    <x v="5"/>
    <s v="Yoe Kyi Monastery"/>
    <m/>
    <m/>
    <m/>
    <m/>
    <m/>
    <m/>
    <m/>
    <m/>
    <m/>
    <m/>
    <m/>
    <m/>
    <m/>
    <m/>
    <m/>
    <m/>
    <m/>
    <n v="13"/>
    <m/>
    <m/>
    <e v="#REF!"/>
    <e v="#REF!"/>
    <e v="#REF!"/>
    <e v="#REF!"/>
    <e v="#REF!"/>
    <e v="#REF!"/>
    <e v="#REF!"/>
    <e v="#REF!"/>
    <e v="#REF!"/>
    <e v="#REF!"/>
    <m/>
    <m/>
    <m/>
    <n v="0"/>
    <m/>
    <m/>
    <m/>
    <s v="MMR001CMP053"/>
    <m/>
  </r>
  <r>
    <x v="123"/>
    <x v="18"/>
    <x v="0"/>
    <s v="Shalom"/>
    <s v="Kachin"/>
    <x v="5"/>
    <s v="Yoe Kyi Monastery"/>
    <m/>
    <m/>
    <m/>
    <m/>
    <m/>
    <m/>
    <n v="9"/>
    <m/>
    <m/>
    <m/>
    <m/>
    <m/>
    <m/>
    <m/>
    <m/>
    <m/>
    <m/>
    <m/>
    <m/>
    <m/>
    <e v="#REF!"/>
    <e v="#REF!"/>
    <e v="#REF!"/>
    <e v="#REF!"/>
    <e v="#REF!"/>
    <e v="#REF!"/>
    <e v="#REF!"/>
    <e v="#REF!"/>
    <e v="#REF!"/>
    <e v="#REF!"/>
    <m/>
    <m/>
    <m/>
    <n v="0"/>
    <m/>
    <m/>
    <m/>
    <s v="MMR001CMP053"/>
    <m/>
  </r>
  <r>
    <x v="124"/>
    <x v="18"/>
    <x v="0"/>
    <s v="KBC"/>
    <s v="Kachin"/>
    <x v="6"/>
    <s v="Shar Du Zut RC church"/>
    <m/>
    <m/>
    <m/>
    <m/>
    <m/>
    <m/>
    <m/>
    <m/>
    <m/>
    <m/>
    <m/>
    <m/>
    <m/>
    <m/>
    <m/>
    <m/>
    <m/>
    <n v="15"/>
    <m/>
    <m/>
    <e v="#REF!"/>
    <e v="#REF!"/>
    <e v="#REF!"/>
    <e v="#REF!"/>
    <e v="#REF!"/>
    <e v="#REF!"/>
    <e v="#REF!"/>
    <e v="#REF!"/>
    <e v="#REF!"/>
    <e v="#REF!"/>
    <m/>
    <m/>
    <m/>
    <n v="0"/>
    <m/>
    <m/>
    <m/>
    <s v="MMR001CMP246"/>
    <m/>
  </r>
  <r>
    <x v="124"/>
    <x v="18"/>
    <x v="0"/>
    <s v="KBC"/>
    <s v="Kachin"/>
    <x v="19"/>
    <s v="Lung Sut"/>
    <m/>
    <m/>
    <m/>
    <m/>
    <m/>
    <n v="120"/>
    <m/>
    <m/>
    <m/>
    <m/>
    <m/>
    <m/>
    <m/>
    <m/>
    <m/>
    <m/>
    <m/>
    <n v="60"/>
    <m/>
    <m/>
    <e v="#REF!"/>
    <e v="#REF!"/>
    <e v="#REF!"/>
    <e v="#REF!"/>
    <e v="#REF!"/>
    <e v="#REF!"/>
    <e v="#REF!"/>
    <e v="#REF!"/>
    <e v="#REF!"/>
    <e v="#REF!"/>
    <m/>
    <m/>
    <m/>
    <n v="0"/>
    <m/>
    <m/>
    <m/>
    <s v="MMR001CMP234"/>
    <m/>
  </r>
  <r>
    <x v="124"/>
    <x v="18"/>
    <x v="0"/>
    <s v="KBC"/>
    <s v="Kachin"/>
    <x v="6"/>
    <s v="Yumar Baptist Church"/>
    <m/>
    <m/>
    <m/>
    <m/>
    <m/>
    <m/>
    <m/>
    <m/>
    <m/>
    <m/>
    <m/>
    <m/>
    <m/>
    <m/>
    <m/>
    <m/>
    <m/>
    <n v="4"/>
    <m/>
    <m/>
    <e v="#REF!"/>
    <e v="#REF!"/>
    <e v="#REF!"/>
    <e v="#REF!"/>
    <e v="#REF!"/>
    <e v="#REF!"/>
    <e v="#REF!"/>
    <e v="#REF!"/>
    <e v="#REF!"/>
    <e v="#REF!"/>
    <m/>
    <m/>
    <m/>
    <n v="0"/>
    <m/>
    <m/>
    <m/>
    <s v="MMR001CMP105"/>
    <m/>
  </r>
  <r>
    <x v="124"/>
    <x v="18"/>
    <x v="0"/>
    <s v="KBC"/>
    <s v="Kachin"/>
    <x v="6"/>
    <s v="Lawng Hkang Shait Yang Camp​ ( Lel Pyin)​ "/>
    <m/>
    <m/>
    <m/>
    <m/>
    <m/>
    <m/>
    <m/>
    <m/>
    <m/>
    <m/>
    <m/>
    <m/>
    <m/>
    <m/>
    <m/>
    <m/>
    <m/>
    <n v="70"/>
    <m/>
    <m/>
    <e v="#REF!"/>
    <e v="#REF!"/>
    <e v="#REF!"/>
    <e v="#REF!"/>
    <e v="#REF!"/>
    <e v="#REF!"/>
    <e v="#REF!"/>
    <e v="#REF!"/>
    <e v="#REF!"/>
    <e v="#REF!"/>
    <m/>
    <m/>
    <m/>
    <n v="0"/>
    <m/>
    <m/>
    <m/>
    <s v="MMR001CMP250"/>
    <m/>
  </r>
  <r>
    <x v="124"/>
    <x v="18"/>
    <x v="0"/>
    <s v="KBC"/>
    <s v="Kachin"/>
    <x v="6"/>
    <s v="Baptist Church, Hmaw Si Sar(Lon Khin)"/>
    <m/>
    <m/>
    <m/>
    <m/>
    <m/>
    <m/>
    <m/>
    <m/>
    <m/>
    <m/>
    <m/>
    <m/>
    <m/>
    <m/>
    <m/>
    <m/>
    <m/>
    <n v="25"/>
    <m/>
    <m/>
    <e v="#REF!"/>
    <e v="#REF!"/>
    <e v="#REF!"/>
    <e v="#REF!"/>
    <e v="#REF!"/>
    <e v="#REF!"/>
    <e v="#REF!"/>
    <e v="#REF!"/>
    <e v="#REF!"/>
    <e v="#REF!"/>
    <m/>
    <m/>
    <m/>
    <n v="0"/>
    <m/>
    <m/>
    <m/>
    <s v="MMR001CMP169"/>
    <m/>
  </r>
  <r>
    <x v="124"/>
    <x v="18"/>
    <x v="0"/>
    <s v="KBC"/>
    <s v="Kachin"/>
    <x v="6"/>
    <s v="Hpakant Baptist Church, Nam Ma Hpit"/>
    <m/>
    <m/>
    <m/>
    <m/>
    <m/>
    <m/>
    <m/>
    <m/>
    <m/>
    <m/>
    <m/>
    <m/>
    <m/>
    <m/>
    <m/>
    <m/>
    <m/>
    <n v="42"/>
    <m/>
    <m/>
    <e v="#REF!"/>
    <e v="#REF!"/>
    <e v="#REF!"/>
    <e v="#REF!"/>
    <e v="#REF!"/>
    <e v="#REF!"/>
    <e v="#REF!"/>
    <e v="#REF!"/>
    <e v="#REF!"/>
    <e v="#REF!"/>
    <m/>
    <m/>
    <m/>
    <n v="0"/>
    <m/>
    <m/>
    <m/>
    <s v="MMR001CMP229"/>
    <m/>
  </r>
  <r>
    <x v="124"/>
    <x v="18"/>
    <x v="0"/>
    <s v="KBC"/>
    <s v="Kachin"/>
    <x v="6"/>
    <s v="Ward 2 Sai Taung Baptist Church, Seik Mu "/>
    <m/>
    <m/>
    <m/>
    <m/>
    <m/>
    <m/>
    <m/>
    <m/>
    <m/>
    <m/>
    <m/>
    <m/>
    <m/>
    <m/>
    <m/>
    <m/>
    <m/>
    <n v="16"/>
    <m/>
    <m/>
    <e v="#REF!"/>
    <e v="#REF!"/>
    <e v="#REF!"/>
    <e v="#REF!"/>
    <e v="#REF!"/>
    <e v="#REF!"/>
    <e v="#REF!"/>
    <e v="#REF!"/>
    <e v="#REF!"/>
    <e v="#REF!"/>
    <m/>
    <m/>
    <m/>
    <n v="0"/>
    <m/>
    <m/>
    <m/>
    <s v="MMR001CMP184"/>
    <m/>
  </r>
  <r>
    <x v="124"/>
    <x v="18"/>
    <x v="0"/>
    <s v="KBC"/>
    <s v="Kachin"/>
    <x v="0"/>
    <s v="Shing Jai"/>
    <m/>
    <m/>
    <m/>
    <m/>
    <m/>
    <m/>
    <m/>
    <m/>
    <m/>
    <m/>
    <m/>
    <m/>
    <m/>
    <m/>
    <m/>
    <m/>
    <m/>
    <n v="179"/>
    <m/>
    <m/>
    <e v="#REF!"/>
    <e v="#REF!"/>
    <e v="#REF!"/>
    <e v="#REF!"/>
    <e v="#REF!"/>
    <e v="#REF!"/>
    <e v="#REF!"/>
    <e v="#REF!"/>
    <e v="#REF!"/>
    <e v="#REF!"/>
    <m/>
    <m/>
    <m/>
    <n v="0"/>
    <m/>
    <m/>
    <m/>
    <s v="MMR001CMP041"/>
    <m/>
  </r>
  <r>
    <x v="124"/>
    <x v="18"/>
    <x v="0"/>
    <s v="KBC"/>
    <s v="Kachin"/>
    <x v="8"/>
    <s v="Salang Yang"/>
    <m/>
    <m/>
    <m/>
    <m/>
    <m/>
    <m/>
    <m/>
    <m/>
    <m/>
    <m/>
    <m/>
    <m/>
    <m/>
    <m/>
    <m/>
    <m/>
    <m/>
    <n v="67"/>
    <m/>
    <m/>
    <e v="#REF!"/>
    <e v="#REF!"/>
    <e v="#REF!"/>
    <e v="#REF!"/>
    <e v="#REF!"/>
    <e v="#REF!"/>
    <e v="#REF!"/>
    <e v="#REF!"/>
    <e v="#REF!"/>
    <e v="#REF!"/>
    <m/>
    <m/>
    <m/>
    <n v="0"/>
    <m/>
    <m/>
    <m/>
    <s v="MMR001CMP239"/>
    <m/>
  </r>
  <r>
    <x v="124"/>
    <x v="18"/>
    <x v="0"/>
    <s v="KBC"/>
    <s v="Kachin"/>
    <x v="8"/>
    <s v="Ndup Yang"/>
    <m/>
    <m/>
    <m/>
    <m/>
    <m/>
    <m/>
    <m/>
    <m/>
    <m/>
    <m/>
    <m/>
    <m/>
    <m/>
    <m/>
    <m/>
    <m/>
    <m/>
    <n v="123"/>
    <m/>
    <m/>
    <e v="#REF!"/>
    <e v="#REF!"/>
    <e v="#REF!"/>
    <e v="#REF!"/>
    <e v="#REF!"/>
    <e v="#REF!"/>
    <e v="#REF!"/>
    <e v="#REF!"/>
    <e v="#REF!"/>
    <e v="#REF!"/>
    <m/>
    <m/>
    <m/>
    <n v="0"/>
    <m/>
    <m/>
    <m/>
    <s v="MMR001CMP238"/>
    <m/>
  </r>
  <r>
    <x v="124"/>
    <x v="18"/>
    <x v="0"/>
    <s v="KBC"/>
    <s v="Shan_North"/>
    <x v="9"/>
    <s v="Mai Yu Lay New (Ta'ang)"/>
    <m/>
    <m/>
    <m/>
    <m/>
    <m/>
    <m/>
    <m/>
    <m/>
    <m/>
    <m/>
    <m/>
    <m/>
    <m/>
    <m/>
    <m/>
    <m/>
    <m/>
    <n v="108"/>
    <m/>
    <m/>
    <e v="#REF!"/>
    <e v="#REF!"/>
    <e v="#REF!"/>
    <e v="#REF!"/>
    <e v="#REF!"/>
    <e v="#REF!"/>
    <e v="#REF!"/>
    <e v="#REF!"/>
    <e v="#REF!"/>
    <e v="#REF!"/>
    <m/>
    <m/>
    <m/>
    <n v="0"/>
    <m/>
    <m/>
    <m/>
    <s v="MMR015CMP220"/>
    <m/>
  </r>
  <r>
    <x v="124"/>
    <x v="18"/>
    <x v="0"/>
    <s v="KBC"/>
    <s v="Shan_North"/>
    <x v="9"/>
    <s v="Mine Yu Lay village ( Old)"/>
    <m/>
    <m/>
    <m/>
    <m/>
    <m/>
    <m/>
    <m/>
    <m/>
    <m/>
    <m/>
    <m/>
    <m/>
    <m/>
    <m/>
    <m/>
    <m/>
    <m/>
    <n v="15"/>
    <m/>
    <m/>
    <e v="#REF!"/>
    <e v="#REF!"/>
    <e v="#REF!"/>
    <e v="#REF!"/>
    <e v="#REF!"/>
    <e v="#REF!"/>
    <e v="#REF!"/>
    <e v="#REF!"/>
    <e v="#REF!"/>
    <e v="#REF!"/>
    <m/>
    <m/>
    <m/>
    <n v="0"/>
    <m/>
    <m/>
    <m/>
    <s v="MMR015CMP018"/>
    <m/>
  </r>
  <r>
    <x v="124"/>
    <x v="18"/>
    <x v="0"/>
    <s v="KBC"/>
    <s v="Kachin"/>
    <x v="19"/>
    <s v="Tote Tan Ward"/>
    <m/>
    <m/>
    <m/>
    <m/>
    <m/>
    <n v="28"/>
    <m/>
    <m/>
    <m/>
    <m/>
    <m/>
    <m/>
    <m/>
    <m/>
    <m/>
    <m/>
    <m/>
    <m/>
    <m/>
    <m/>
    <e v="#REF!"/>
    <e v="#REF!"/>
    <e v="#REF!"/>
    <e v="#REF!"/>
    <e v="#REF!"/>
    <e v="#REF!"/>
    <e v="#REF!"/>
    <e v="#REF!"/>
    <e v="#REF!"/>
    <e v="#REF!"/>
    <m/>
    <m/>
    <m/>
    <n v="0"/>
    <m/>
    <m/>
    <m/>
    <s v="MMR001CMP075"/>
    <m/>
  </r>
  <r>
    <x v="113"/>
    <x v="17"/>
    <x v="14"/>
    <s v="DDM "/>
    <s v="Kachin"/>
    <x v="0"/>
    <s v="Waimaw Baptist Zonal Office 2"/>
    <m/>
    <m/>
    <m/>
    <n v="80"/>
    <m/>
    <n v="160"/>
    <n v="160"/>
    <n v="160"/>
    <n v="80"/>
    <m/>
    <n v="80"/>
    <m/>
    <m/>
    <m/>
    <m/>
    <m/>
    <m/>
    <m/>
    <m/>
    <m/>
    <e v="#REF!"/>
    <e v="#REF!"/>
    <e v="#REF!"/>
    <e v="#REF!"/>
    <e v="#REF!"/>
    <e v="#REF!"/>
    <e v="#REF!"/>
    <e v="#REF!"/>
    <e v="#REF!"/>
    <e v="#REF!"/>
    <m/>
    <m/>
    <m/>
    <n v="0"/>
    <m/>
    <m/>
    <m/>
    <s v="MMR001CMP269"/>
    <m/>
  </r>
  <r>
    <x v="125"/>
    <x v="18"/>
    <x v="14"/>
    <s v="DDM "/>
    <s v="Kachin"/>
    <x v="1"/>
    <s v="Jan Mai Kawng Catholic Church"/>
    <m/>
    <m/>
    <m/>
    <n v="3"/>
    <m/>
    <n v="6"/>
    <n v="6"/>
    <n v="6"/>
    <n v="3"/>
    <m/>
    <n v="3"/>
    <m/>
    <m/>
    <m/>
    <m/>
    <m/>
    <m/>
    <m/>
    <m/>
    <m/>
    <e v="#REF!"/>
    <e v="#REF!"/>
    <e v="#REF!"/>
    <e v="#REF!"/>
    <e v="#REF!"/>
    <e v="#REF!"/>
    <e v="#REF!"/>
    <e v="#REF!"/>
    <e v="#REF!"/>
    <e v="#REF!"/>
    <m/>
    <m/>
    <m/>
    <n v="0"/>
    <m/>
    <m/>
    <m/>
    <s v="MMR001CMP019"/>
    <m/>
  </r>
  <r>
    <x v="125"/>
    <x v="18"/>
    <x v="14"/>
    <s v="DDM "/>
    <s v="Kachin"/>
    <x v="1"/>
    <s v="Pa Dauk Myaing(Pa La Na)"/>
    <m/>
    <m/>
    <m/>
    <n v="11"/>
    <m/>
    <n v="22"/>
    <n v="22"/>
    <n v="22"/>
    <n v="11"/>
    <m/>
    <n v="11"/>
    <m/>
    <m/>
    <m/>
    <m/>
    <m/>
    <m/>
    <m/>
    <m/>
    <m/>
    <e v="#REF!"/>
    <e v="#REF!"/>
    <e v="#REF!"/>
    <e v="#REF!"/>
    <e v="#REF!"/>
    <e v="#REF!"/>
    <e v="#REF!"/>
    <e v="#REF!"/>
    <e v="#REF!"/>
    <e v="#REF!"/>
    <m/>
    <m/>
    <m/>
    <n v="0"/>
    <m/>
    <m/>
    <m/>
    <s v="MMR001CMP162"/>
    <m/>
  </r>
  <r>
    <x v="125"/>
    <x v="18"/>
    <x v="14"/>
    <s v="DDM "/>
    <s v="Kachin"/>
    <x v="17"/>
    <s v="Ma Hawng Baptist Church"/>
    <m/>
    <m/>
    <m/>
    <n v="6"/>
    <m/>
    <n v="12"/>
    <n v="12"/>
    <n v="12"/>
    <n v="6"/>
    <m/>
    <n v="6"/>
    <m/>
    <m/>
    <m/>
    <m/>
    <m/>
    <m/>
    <m/>
    <m/>
    <m/>
    <e v="#REF!"/>
    <e v="#REF!"/>
    <e v="#REF!"/>
    <e v="#REF!"/>
    <e v="#REF!"/>
    <e v="#REF!"/>
    <e v="#REF!"/>
    <e v="#REF!"/>
    <e v="#REF!"/>
    <e v="#REF!"/>
    <m/>
    <m/>
    <m/>
    <n v="0"/>
    <m/>
    <m/>
    <m/>
    <s v="MMR001CMP077"/>
    <m/>
  </r>
  <r>
    <x v="126"/>
    <x v="18"/>
    <x v="14"/>
    <s v="DDM "/>
    <s v="Kachin"/>
    <x v="0"/>
    <s v="Qtr. 4 Monestry (Thargaya Thayett Taw)"/>
    <m/>
    <m/>
    <m/>
    <n v="35"/>
    <m/>
    <n v="70"/>
    <n v="70"/>
    <n v="70"/>
    <n v="35"/>
    <m/>
    <n v="35"/>
    <m/>
    <m/>
    <m/>
    <m/>
    <m/>
    <m/>
    <m/>
    <m/>
    <m/>
    <e v="#REF!"/>
    <e v="#REF!"/>
    <e v="#REF!"/>
    <e v="#REF!"/>
    <e v="#REF!"/>
    <e v="#REF!"/>
    <e v="#REF!"/>
    <e v="#REF!"/>
    <e v="#REF!"/>
    <e v="#REF!"/>
    <m/>
    <m/>
    <m/>
    <n v="0"/>
    <m/>
    <m/>
    <m/>
    <s v="MMR001CMP026"/>
    <m/>
  </r>
  <r>
    <x v="127"/>
    <x v="19"/>
    <x v="0"/>
    <s v="Shalom"/>
    <s v="Kachin"/>
    <x v="1"/>
    <s v="Tat Kone Emanuel Church"/>
    <m/>
    <m/>
    <m/>
    <n v="9"/>
    <n v="9"/>
    <n v="29"/>
    <n v="9"/>
    <n v="29"/>
    <n v="10"/>
    <m/>
    <n v="9"/>
    <n v="46"/>
    <m/>
    <m/>
    <m/>
    <m/>
    <n v="9"/>
    <m/>
    <m/>
    <m/>
    <e v="#REF!"/>
    <e v="#REF!"/>
    <e v="#REF!"/>
    <e v="#REF!"/>
    <e v="#REF!"/>
    <e v="#REF!"/>
    <e v="#REF!"/>
    <e v="#REF!"/>
    <e v="#REF!"/>
    <e v="#REF!"/>
    <m/>
    <m/>
    <m/>
    <n v="0"/>
    <m/>
    <m/>
    <m/>
    <s v="MMR001CMP004"/>
    <m/>
  </r>
  <r>
    <x v="128"/>
    <x v="18"/>
    <x v="0"/>
    <s v="Shalom"/>
    <s v="Kachin"/>
    <x v="0"/>
    <s v="Qtr. 3 Mu-yin  Baptist Church"/>
    <m/>
    <m/>
    <m/>
    <m/>
    <m/>
    <m/>
    <n v="20"/>
    <m/>
    <m/>
    <m/>
    <m/>
    <m/>
    <m/>
    <m/>
    <m/>
    <m/>
    <m/>
    <m/>
    <m/>
    <m/>
    <e v="#REF!"/>
    <e v="#REF!"/>
    <e v="#REF!"/>
    <e v="#REF!"/>
    <e v="#REF!"/>
    <e v="#REF!"/>
    <e v="#REF!"/>
    <e v="#REF!"/>
    <e v="#REF!"/>
    <e v="#REF!"/>
    <m/>
    <m/>
    <m/>
    <n v="0"/>
    <m/>
    <m/>
    <m/>
    <s v="MMR001CMP030"/>
    <m/>
  </r>
  <r>
    <x v="129"/>
    <x v="19"/>
    <x v="0"/>
    <m/>
    <s v="Kachin"/>
    <x v="17"/>
    <s v="Myo Oo St. Dominic RC Church"/>
    <m/>
    <m/>
    <m/>
    <n v="1"/>
    <m/>
    <n v="8"/>
    <n v="1"/>
    <n v="3"/>
    <n v="3"/>
    <m/>
    <n v="1"/>
    <n v="3"/>
    <m/>
    <m/>
    <m/>
    <m/>
    <m/>
    <m/>
    <m/>
    <m/>
    <e v="#REF!"/>
    <e v="#REF!"/>
    <e v="#REF!"/>
    <e v="#REF!"/>
    <e v="#REF!"/>
    <e v="#REF!"/>
    <e v="#REF!"/>
    <e v="#REF!"/>
    <e v="#REF!"/>
    <e v="#REF!"/>
    <m/>
    <m/>
    <m/>
    <n v="0"/>
    <m/>
    <m/>
    <m/>
    <s v="MMR001CMP259"/>
    <m/>
  </r>
  <r>
    <x v="130"/>
    <x v="19"/>
    <x v="0"/>
    <m/>
    <s v="Kachin"/>
    <x v="17"/>
    <s v="Lan Gwa St.Paul RC Church"/>
    <m/>
    <m/>
    <m/>
    <m/>
    <m/>
    <m/>
    <m/>
    <m/>
    <n v="1"/>
    <m/>
    <m/>
    <n v="5"/>
    <m/>
    <m/>
    <m/>
    <m/>
    <m/>
    <m/>
    <m/>
    <m/>
    <e v="#REF!"/>
    <e v="#REF!"/>
    <e v="#REF!"/>
    <e v="#REF!"/>
    <e v="#REF!"/>
    <e v="#REF!"/>
    <e v="#REF!"/>
    <e v="#REF!"/>
    <e v="#REF!"/>
    <e v="#REF!"/>
    <m/>
    <m/>
    <m/>
    <n v="0"/>
    <m/>
    <m/>
    <m/>
    <s v="MMR001CMP260"/>
    <m/>
  </r>
  <r>
    <x v="130"/>
    <x v="19"/>
    <x v="0"/>
    <m/>
    <s v="Kachin"/>
    <x v="17"/>
    <s v="Emmanuel AG Church"/>
    <m/>
    <m/>
    <m/>
    <m/>
    <m/>
    <m/>
    <m/>
    <n v="1"/>
    <m/>
    <m/>
    <m/>
    <m/>
    <m/>
    <m/>
    <m/>
    <m/>
    <m/>
    <m/>
    <m/>
    <m/>
    <e v="#REF!"/>
    <e v="#REF!"/>
    <e v="#REF!"/>
    <e v="#REF!"/>
    <e v="#REF!"/>
    <e v="#REF!"/>
    <e v="#REF!"/>
    <e v="#REF!"/>
    <e v="#REF!"/>
    <e v="#REF!"/>
    <m/>
    <m/>
    <m/>
    <n v="0"/>
    <m/>
    <m/>
    <m/>
    <s v="MMR001CMP262"/>
    <m/>
  </r>
  <r>
    <x v="130"/>
    <x v="19"/>
    <x v="0"/>
    <m/>
    <s v="Kachin"/>
    <x v="17"/>
    <s v="Namti Labraw Yang KBC Camp"/>
    <m/>
    <m/>
    <m/>
    <m/>
    <m/>
    <n v="6"/>
    <m/>
    <m/>
    <m/>
    <m/>
    <m/>
    <n v="21"/>
    <m/>
    <m/>
    <m/>
    <m/>
    <m/>
    <m/>
    <m/>
    <m/>
    <e v="#REF!"/>
    <e v="#REF!"/>
    <e v="#REF!"/>
    <e v="#REF!"/>
    <e v="#REF!"/>
    <e v="#REF!"/>
    <e v="#REF!"/>
    <e v="#REF!"/>
    <e v="#REF!"/>
    <e v="#REF!"/>
    <m/>
    <m/>
    <m/>
    <n v="0"/>
    <m/>
    <m/>
    <m/>
    <s v="MMR001CMP261"/>
    <m/>
  </r>
  <r>
    <x v="130"/>
    <x v="19"/>
    <x v="0"/>
    <s v="KBC"/>
    <s v="Shan_North"/>
    <x v="9"/>
    <s v="Nam Hpak Ka Mare "/>
    <m/>
    <m/>
    <m/>
    <m/>
    <m/>
    <m/>
    <m/>
    <n v="20"/>
    <m/>
    <m/>
    <m/>
    <n v="37"/>
    <m/>
    <m/>
    <m/>
    <m/>
    <m/>
    <m/>
    <m/>
    <m/>
    <e v="#REF!"/>
    <e v="#REF!"/>
    <e v="#REF!"/>
    <e v="#REF!"/>
    <e v="#REF!"/>
    <e v="#REF!"/>
    <e v="#REF!"/>
    <e v="#REF!"/>
    <e v="#REF!"/>
    <e v="#REF!"/>
    <m/>
    <m/>
    <m/>
    <n v="0"/>
    <m/>
    <m/>
    <m/>
    <s v="MMR015CMP007"/>
    <m/>
  </r>
  <r>
    <x v="130"/>
    <x v="19"/>
    <x v="0"/>
    <s v="KBC"/>
    <s v="Shan_North"/>
    <x v="9"/>
    <s v="Mine Yu Lay village ( Old)"/>
    <m/>
    <m/>
    <m/>
    <m/>
    <m/>
    <m/>
    <m/>
    <n v="20"/>
    <m/>
    <m/>
    <m/>
    <n v="56"/>
    <m/>
    <m/>
    <m/>
    <m/>
    <m/>
    <m/>
    <m/>
    <m/>
    <e v="#REF!"/>
    <e v="#REF!"/>
    <e v="#REF!"/>
    <e v="#REF!"/>
    <e v="#REF!"/>
    <e v="#REF!"/>
    <e v="#REF!"/>
    <e v="#REF!"/>
    <e v="#REF!"/>
    <e v="#REF!"/>
    <m/>
    <m/>
    <m/>
    <n v="0"/>
    <m/>
    <m/>
    <m/>
    <s v="MMR015CMP018"/>
    <m/>
  </r>
  <r>
    <x v="130"/>
    <x v="19"/>
    <x v="0"/>
    <s v="KBC"/>
    <s v="Shan_North"/>
    <x v="9"/>
    <s v="Mai Yu Lay New (Ta'ang)"/>
    <m/>
    <m/>
    <m/>
    <m/>
    <m/>
    <m/>
    <m/>
    <n v="30"/>
    <m/>
    <m/>
    <m/>
    <n v="55"/>
    <m/>
    <m/>
    <m/>
    <m/>
    <m/>
    <m/>
    <m/>
    <m/>
    <e v="#REF!"/>
    <e v="#REF!"/>
    <e v="#REF!"/>
    <e v="#REF!"/>
    <e v="#REF!"/>
    <e v="#REF!"/>
    <e v="#REF!"/>
    <e v="#REF!"/>
    <e v="#REF!"/>
    <e v="#REF!"/>
    <m/>
    <m/>
    <m/>
    <n v="0"/>
    <m/>
    <m/>
    <m/>
    <s v="MMR015CMP220"/>
    <m/>
  </r>
  <r>
    <x v="130"/>
    <x v="19"/>
    <x v="0"/>
    <s v="KBC"/>
    <s v="Shan_North"/>
    <x v="9"/>
    <s v="Kutkai downtown (KBC Church)"/>
    <m/>
    <m/>
    <m/>
    <m/>
    <m/>
    <m/>
    <m/>
    <n v="20"/>
    <m/>
    <m/>
    <m/>
    <n v="33"/>
    <m/>
    <m/>
    <m/>
    <m/>
    <m/>
    <m/>
    <m/>
    <m/>
    <e v="#REF!"/>
    <e v="#REF!"/>
    <e v="#REF!"/>
    <e v="#REF!"/>
    <e v="#REF!"/>
    <e v="#REF!"/>
    <e v="#REF!"/>
    <e v="#REF!"/>
    <e v="#REF!"/>
    <e v="#REF!"/>
    <m/>
    <m/>
    <m/>
    <n v="0"/>
    <m/>
    <m/>
    <m/>
    <s v="MMR015CMP016"/>
    <m/>
  </r>
  <r>
    <x v="130"/>
    <x v="19"/>
    <x v="0"/>
    <s v="KBC"/>
    <s v="Shan_North"/>
    <x v="9"/>
    <s v="Kutkai downtown (KBC Church-2)"/>
    <m/>
    <m/>
    <m/>
    <m/>
    <m/>
    <m/>
    <m/>
    <n v="15"/>
    <m/>
    <m/>
    <m/>
    <n v="22"/>
    <m/>
    <m/>
    <m/>
    <m/>
    <m/>
    <m/>
    <m/>
    <m/>
    <e v="#REF!"/>
    <e v="#REF!"/>
    <e v="#REF!"/>
    <e v="#REF!"/>
    <e v="#REF!"/>
    <e v="#REF!"/>
    <e v="#REF!"/>
    <e v="#REF!"/>
    <e v="#REF!"/>
    <e v="#REF!"/>
    <m/>
    <m/>
    <m/>
    <n v="0"/>
    <m/>
    <m/>
    <m/>
    <s v="MMR015CMP245"/>
    <m/>
  </r>
  <r>
    <x v="130"/>
    <x v="19"/>
    <x v="0"/>
    <s v="KBC"/>
    <s v="Shan_North"/>
    <x v="9"/>
    <s v="Zup Aung Camp"/>
    <m/>
    <m/>
    <m/>
    <m/>
    <m/>
    <m/>
    <m/>
    <n v="42"/>
    <m/>
    <m/>
    <m/>
    <n v="16"/>
    <m/>
    <m/>
    <m/>
    <m/>
    <m/>
    <m/>
    <m/>
    <m/>
    <e v="#REF!"/>
    <e v="#REF!"/>
    <e v="#REF!"/>
    <e v="#REF!"/>
    <e v="#REF!"/>
    <e v="#REF!"/>
    <e v="#REF!"/>
    <e v="#REF!"/>
    <e v="#REF!"/>
    <e v="#REF!"/>
    <m/>
    <m/>
    <m/>
    <n v="0"/>
    <m/>
    <m/>
    <m/>
    <s v="MMR015CMP020"/>
    <m/>
  </r>
  <r>
    <x v="130"/>
    <x v="19"/>
    <x v="0"/>
    <s v="KBC"/>
    <s v="Shan_North"/>
    <x v="9"/>
    <s v="Mungji Pa Dabang (Baptist Church)         "/>
    <m/>
    <m/>
    <m/>
    <m/>
    <n v="25"/>
    <m/>
    <m/>
    <n v="15"/>
    <m/>
    <m/>
    <n v="26"/>
    <n v="44"/>
    <m/>
    <m/>
    <m/>
    <m/>
    <m/>
    <m/>
    <m/>
    <m/>
    <e v="#REF!"/>
    <e v="#REF!"/>
    <e v="#REF!"/>
    <e v="#REF!"/>
    <e v="#REF!"/>
    <e v="#REF!"/>
    <e v="#REF!"/>
    <e v="#REF!"/>
    <e v="#REF!"/>
    <e v="#REF!"/>
    <m/>
    <m/>
    <m/>
    <n v="0"/>
    <m/>
    <m/>
    <m/>
    <s v="MMR015CMP006"/>
    <m/>
  </r>
  <r>
    <x v="130"/>
    <x v="19"/>
    <x v="0"/>
    <s v="KBC"/>
    <s v="Shan_North"/>
    <x v="9"/>
    <s v="Nam Sa Larp"/>
    <m/>
    <m/>
    <m/>
    <n v="20"/>
    <m/>
    <m/>
    <m/>
    <n v="10"/>
    <m/>
    <m/>
    <m/>
    <n v="24"/>
    <m/>
    <m/>
    <m/>
    <m/>
    <m/>
    <m/>
    <m/>
    <m/>
    <e v="#REF!"/>
    <e v="#REF!"/>
    <e v="#REF!"/>
    <e v="#REF!"/>
    <e v="#REF!"/>
    <e v="#REF!"/>
    <e v="#REF!"/>
    <e v="#REF!"/>
    <e v="#REF!"/>
    <e v="#REF!"/>
    <m/>
    <m/>
    <m/>
    <n v="0"/>
    <m/>
    <m/>
    <m/>
    <s v="MMR015CMP218"/>
    <m/>
  </r>
  <r>
    <x v="130"/>
    <x v="19"/>
    <x v="0"/>
    <s v="KBC"/>
    <s v="Shan_North"/>
    <x v="11"/>
    <s v="Nam Tu Baptist"/>
    <m/>
    <m/>
    <m/>
    <m/>
    <m/>
    <m/>
    <m/>
    <n v="15"/>
    <m/>
    <m/>
    <m/>
    <n v="25"/>
    <m/>
    <m/>
    <m/>
    <m/>
    <m/>
    <m/>
    <m/>
    <m/>
    <e v="#REF!"/>
    <e v="#REF!"/>
    <e v="#REF!"/>
    <e v="#REF!"/>
    <e v="#REF!"/>
    <e v="#REF!"/>
    <e v="#REF!"/>
    <e v="#REF!"/>
    <e v="#REF!"/>
    <e v="#REF!"/>
    <m/>
    <m/>
    <m/>
    <n v="0"/>
    <m/>
    <m/>
    <m/>
    <s v="MMR015CMP014"/>
    <m/>
  </r>
  <r>
    <x v="130"/>
    <x v="19"/>
    <x v="0"/>
    <s v="KBC"/>
    <s v="Shan_North"/>
    <x v="20"/>
    <s v="Mandung - Jinghpaw"/>
    <m/>
    <m/>
    <m/>
    <m/>
    <m/>
    <m/>
    <m/>
    <n v="20"/>
    <m/>
    <m/>
    <m/>
    <n v="24"/>
    <m/>
    <m/>
    <m/>
    <m/>
    <m/>
    <m/>
    <m/>
    <m/>
    <e v="#REF!"/>
    <e v="#REF!"/>
    <e v="#REF!"/>
    <e v="#REF!"/>
    <e v="#REF!"/>
    <e v="#REF!"/>
    <e v="#REF!"/>
    <e v="#REF!"/>
    <e v="#REF!"/>
    <e v="#REF!"/>
    <m/>
    <m/>
    <m/>
    <n v="0"/>
    <m/>
    <m/>
    <m/>
    <s v="MMR015CMP009"/>
    <m/>
  </r>
  <r>
    <x v="130"/>
    <x v="19"/>
    <x v="0"/>
    <s v="KBC"/>
    <s v="Shan_North"/>
    <x v="9"/>
    <s v="Man Loi"/>
    <m/>
    <m/>
    <m/>
    <m/>
    <m/>
    <m/>
    <m/>
    <n v="10"/>
    <m/>
    <m/>
    <m/>
    <n v="13"/>
    <m/>
    <m/>
    <m/>
    <m/>
    <m/>
    <m/>
    <m/>
    <m/>
    <e v="#REF!"/>
    <e v="#REF!"/>
    <e v="#REF!"/>
    <e v="#REF!"/>
    <e v="#REF!"/>
    <e v="#REF!"/>
    <e v="#REF!"/>
    <e v="#REF!"/>
    <e v="#REF!"/>
    <e v="#REF!"/>
    <m/>
    <m/>
    <m/>
    <n v="0"/>
    <m/>
    <m/>
    <m/>
    <s v="MMR015CMP246"/>
    <m/>
  </r>
  <r>
    <x v="130"/>
    <x v="19"/>
    <x v="0"/>
    <s v="KBC"/>
    <s v="Shan_North"/>
    <x v="1"/>
    <s v="Manlun-Tsanlun"/>
    <m/>
    <m/>
    <m/>
    <m/>
    <m/>
    <m/>
    <m/>
    <m/>
    <n v="35"/>
    <m/>
    <n v="28"/>
    <n v="40"/>
    <m/>
    <m/>
    <m/>
    <m/>
    <m/>
    <m/>
    <m/>
    <m/>
    <e v="#REF!"/>
    <e v="#REF!"/>
    <e v="#REF!"/>
    <e v="#REF!"/>
    <e v="#REF!"/>
    <e v="#REF!"/>
    <e v="#REF!"/>
    <e v="#REF!"/>
    <e v="#REF!"/>
    <e v="#REF!"/>
    <m/>
    <m/>
    <m/>
    <n v="0"/>
    <m/>
    <m/>
    <m/>
    <s v=""/>
    <m/>
  </r>
  <r>
    <x v="130"/>
    <x v="19"/>
    <x v="0"/>
    <s v="KBC"/>
    <s v="Shan_North"/>
    <x v="9"/>
    <s v="Hu Hku"/>
    <m/>
    <m/>
    <m/>
    <m/>
    <m/>
    <n v="2"/>
    <n v="1"/>
    <m/>
    <n v="14"/>
    <m/>
    <m/>
    <n v="32"/>
    <m/>
    <m/>
    <m/>
    <m/>
    <n v="15"/>
    <m/>
    <m/>
    <m/>
    <e v="#REF!"/>
    <e v="#REF!"/>
    <e v="#REF!"/>
    <e v="#REF!"/>
    <e v="#REF!"/>
    <e v="#REF!"/>
    <e v="#REF!"/>
    <e v="#REF!"/>
    <e v="#REF!"/>
    <e v="#REF!"/>
    <m/>
    <m/>
    <m/>
    <n v="0"/>
    <m/>
    <m/>
    <m/>
    <s v=""/>
    <m/>
  </r>
  <r>
    <x v="130"/>
    <x v="19"/>
    <x v="0"/>
    <s v="KBC"/>
    <s v="Shan_North"/>
    <x v="9"/>
    <s v="Nam Hpak Ka Ta'ang ( Aung Tha Pyay)"/>
    <m/>
    <m/>
    <m/>
    <m/>
    <m/>
    <m/>
    <m/>
    <n v="10"/>
    <m/>
    <m/>
    <m/>
    <n v="28"/>
    <m/>
    <m/>
    <m/>
    <m/>
    <m/>
    <m/>
    <m/>
    <m/>
    <e v="#REF!"/>
    <e v="#REF!"/>
    <e v="#REF!"/>
    <e v="#REF!"/>
    <e v="#REF!"/>
    <e v="#REF!"/>
    <e v="#REF!"/>
    <e v="#REF!"/>
    <e v="#REF!"/>
    <e v="#REF!"/>
    <m/>
    <m/>
    <m/>
    <n v="0"/>
    <m/>
    <m/>
    <m/>
    <s v="MMR015CMP225"/>
    <m/>
  </r>
  <r>
    <x v="130"/>
    <x v="19"/>
    <x v="0"/>
    <s v="KBC"/>
    <s v="Shan_North"/>
    <x v="13"/>
    <s v="Hpai Kawng"/>
    <m/>
    <m/>
    <m/>
    <m/>
    <m/>
    <n v="76"/>
    <n v="1"/>
    <n v="153"/>
    <m/>
    <m/>
    <m/>
    <n v="77"/>
    <n v="156"/>
    <m/>
    <m/>
    <m/>
    <m/>
    <m/>
    <m/>
    <m/>
    <e v="#REF!"/>
    <e v="#REF!"/>
    <e v="#REF!"/>
    <e v="#REF!"/>
    <e v="#REF!"/>
    <e v="#REF!"/>
    <e v="#REF!"/>
    <e v="#REF!"/>
    <e v="#REF!"/>
    <e v="#REF!"/>
    <m/>
    <m/>
    <m/>
    <n v="1"/>
    <m/>
    <m/>
    <m/>
    <s v="MMR015CMP247"/>
    <m/>
  </r>
  <r>
    <x v="130"/>
    <x v="19"/>
    <x v="0"/>
    <s v="KBC"/>
    <s v="Shan_North"/>
    <x v="14"/>
    <s v="Namhkan - Pang Long KBC"/>
    <m/>
    <m/>
    <m/>
    <m/>
    <m/>
    <n v="58"/>
    <m/>
    <n v="115"/>
    <m/>
    <m/>
    <n v="115"/>
    <n v="77"/>
    <m/>
    <m/>
    <m/>
    <m/>
    <m/>
    <m/>
    <m/>
    <m/>
    <e v="#REF!"/>
    <e v="#REF!"/>
    <e v="#REF!"/>
    <e v="#REF!"/>
    <e v="#REF!"/>
    <e v="#REF!"/>
    <e v="#REF!"/>
    <e v="#REF!"/>
    <e v="#REF!"/>
    <e v="#REF!"/>
    <m/>
    <m/>
    <m/>
    <n v="0"/>
    <m/>
    <m/>
    <m/>
    <s v="MMR015CMP215"/>
    <m/>
  </r>
  <r>
    <x v="130"/>
    <x v="19"/>
    <x v="0"/>
    <s v="KBC"/>
    <s v="Shan_North"/>
    <x v="14"/>
    <s v="Nam Hkam - Nay Win Ni (Palawng)"/>
    <m/>
    <m/>
    <m/>
    <m/>
    <m/>
    <n v="80"/>
    <n v="17"/>
    <n v="76"/>
    <m/>
    <m/>
    <n v="63"/>
    <m/>
    <m/>
    <m/>
    <m/>
    <m/>
    <n v="15"/>
    <m/>
    <m/>
    <m/>
    <e v="#REF!"/>
    <e v="#REF!"/>
    <e v="#REF!"/>
    <e v="#REF!"/>
    <e v="#REF!"/>
    <e v="#REF!"/>
    <e v="#REF!"/>
    <e v="#REF!"/>
    <e v="#REF!"/>
    <e v="#REF!"/>
    <m/>
    <m/>
    <m/>
    <n v="0"/>
    <m/>
    <m/>
    <m/>
    <s v="MMR015CMP004"/>
    <m/>
  </r>
  <r>
    <x v="130"/>
    <x v="19"/>
    <x v="0"/>
    <s v="KBC"/>
    <s v="Kachin"/>
    <x v="2"/>
    <s v="Man Wing Baptist Church"/>
    <m/>
    <m/>
    <m/>
    <m/>
    <m/>
    <n v="66"/>
    <n v="4"/>
    <n v="61"/>
    <m/>
    <m/>
    <m/>
    <n v="177"/>
    <n v="128"/>
    <m/>
    <m/>
    <m/>
    <m/>
    <m/>
    <m/>
    <m/>
    <e v="#REF!"/>
    <e v="#REF!"/>
    <e v="#REF!"/>
    <e v="#REF!"/>
    <e v="#REF!"/>
    <e v="#REF!"/>
    <e v="#REF!"/>
    <e v="#REF!"/>
    <e v="#REF!"/>
    <e v="#REF!"/>
    <m/>
    <m/>
    <m/>
    <n v="1"/>
    <m/>
    <m/>
    <m/>
    <s v="MMR001CMP133"/>
    <m/>
  </r>
  <r>
    <x v="130"/>
    <x v="19"/>
    <x v="0"/>
    <s v="KBC"/>
    <s v="Kachin"/>
    <x v="2"/>
    <s v="Man Wing Baptist Church Cultural Compound"/>
    <m/>
    <m/>
    <m/>
    <n v="25"/>
    <m/>
    <n v="78"/>
    <m/>
    <n v="156"/>
    <m/>
    <m/>
    <m/>
    <n v="82"/>
    <n v="155"/>
    <m/>
    <m/>
    <m/>
    <m/>
    <m/>
    <m/>
    <m/>
    <e v="#REF!"/>
    <e v="#REF!"/>
    <e v="#REF!"/>
    <e v="#REF!"/>
    <e v="#REF!"/>
    <e v="#REF!"/>
    <e v="#REF!"/>
    <e v="#REF!"/>
    <e v="#REF!"/>
    <e v="#REF!"/>
    <m/>
    <m/>
    <m/>
    <n v="1"/>
    <m/>
    <m/>
    <m/>
    <s v="MMR001CMP230"/>
    <m/>
  </r>
  <r>
    <x v="130"/>
    <x v="19"/>
    <x v="0"/>
    <s v="KBC"/>
    <s v="Shan_North"/>
    <x v="13"/>
    <s v="Muse Baptist Church"/>
    <m/>
    <m/>
    <m/>
    <n v="24"/>
    <m/>
    <n v="41"/>
    <m/>
    <m/>
    <m/>
    <m/>
    <m/>
    <n v="55"/>
    <n v="17"/>
    <m/>
    <m/>
    <m/>
    <m/>
    <m/>
    <m/>
    <m/>
    <e v="#REF!"/>
    <e v="#REF!"/>
    <e v="#REF!"/>
    <e v="#REF!"/>
    <e v="#REF!"/>
    <e v="#REF!"/>
    <e v="#REF!"/>
    <e v="#REF!"/>
    <e v="#REF!"/>
    <e v="#REF!"/>
    <m/>
    <m/>
    <m/>
    <n v="1"/>
    <m/>
    <m/>
    <m/>
    <s v="MMR015CMP213"/>
    <m/>
  </r>
  <r>
    <x v="130"/>
    <x v="19"/>
    <x v="0"/>
    <s v="KBC"/>
    <s v="Shan_North"/>
    <x v="14"/>
    <s v="Nam Hkam (KBC Jaw Wang)"/>
    <m/>
    <m/>
    <m/>
    <n v="67"/>
    <m/>
    <n v="68"/>
    <m/>
    <m/>
    <m/>
    <m/>
    <m/>
    <n v="95"/>
    <m/>
    <m/>
    <m/>
    <m/>
    <m/>
    <m/>
    <m/>
    <m/>
    <e v="#REF!"/>
    <e v="#REF!"/>
    <e v="#REF!"/>
    <e v="#REF!"/>
    <e v="#REF!"/>
    <e v="#REF!"/>
    <e v="#REF!"/>
    <e v="#REF!"/>
    <e v="#REF!"/>
    <e v="#REF!"/>
    <m/>
    <m/>
    <m/>
    <n v="0"/>
    <m/>
    <m/>
    <m/>
    <s v="MMR015CMP001"/>
    <m/>
  </r>
  <r>
    <x v="130"/>
    <x v="19"/>
    <x v="0"/>
    <s v="KBC"/>
    <s v="Shan_North"/>
    <x v="14"/>
    <s v="Nam Hkam (KBC Jaw Wang) II"/>
    <m/>
    <m/>
    <m/>
    <n v="38"/>
    <m/>
    <n v="38"/>
    <m/>
    <m/>
    <m/>
    <m/>
    <m/>
    <n v="54"/>
    <m/>
    <m/>
    <m/>
    <m/>
    <m/>
    <m/>
    <m/>
    <m/>
    <e v="#REF!"/>
    <e v="#REF!"/>
    <e v="#REF!"/>
    <e v="#REF!"/>
    <e v="#REF!"/>
    <e v="#REF!"/>
    <e v="#REF!"/>
    <e v="#REF!"/>
    <e v="#REF!"/>
    <e v="#REF!"/>
    <m/>
    <m/>
    <m/>
    <n v="0"/>
    <m/>
    <m/>
    <m/>
    <s v="MMR015CMP214"/>
    <m/>
  </r>
  <r>
    <x v="131"/>
    <x v="19"/>
    <x v="2"/>
    <s v="NRC"/>
    <s v="Kachin"/>
    <x v="17"/>
    <s v="Lan Gwa St.Paul RC Church"/>
    <m/>
    <m/>
    <m/>
    <m/>
    <m/>
    <m/>
    <m/>
    <m/>
    <m/>
    <m/>
    <m/>
    <n v="125"/>
    <m/>
    <m/>
    <m/>
    <m/>
    <m/>
    <m/>
    <m/>
    <m/>
    <e v="#REF!"/>
    <e v="#REF!"/>
    <e v="#REF!"/>
    <e v="#REF!"/>
    <e v="#REF!"/>
    <e v="#REF!"/>
    <e v="#REF!"/>
    <e v="#REF!"/>
    <e v="#REF!"/>
    <e v="#REF!"/>
    <m/>
    <m/>
    <m/>
    <n v="0"/>
    <m/>
    <m/>
    <m/>
    <s v="MMR001CMP260"/>
    <m/>
  </r>
  <r>
    <x v="132"/>
    <x v="19"/>
    <x v="2"/>
    <s v="NRC"/>
    <s v="Kachin"/>
    <x v="0"/>
    <s v="Waimaw Baptist Zonal Office 2"/>
    <m/>
    <m/>
    <m/>
    <m/>
    <m/>
    <m/>
    <m/>
    <m/>
    <n v="72"/>
    <m/>
    <m/>
    <m/>
    <m/>
    <m/>
    <n v="9"/>
    <m/>
    <m/>
    <m/>
    <m/>
    <m/>
    <e v="#REF!"/>
    <e v="#REF!"/>
    <e v="#REF!"/>
    <e v="#REF!"/>
    <e v="#REF!"/>
    <e v="#REF!"/>
    <e v="#REF!"/>
    <e v="#REF!"/>
    <e v="#REF!"/>
    <e v="#REF!"/>
    <m/>
    <m/>
    <m/>
    <n v="1"/>
    <m/>
    <m/>
    <m/>
    <s v="MMR001CMP269"/>
    <m/>
  </r>
  <r>
    <x v="133"/>
    <x v="20"/>
    <x v="0"/>
    <s v="Shalom"/>
    <s v="Kachin"/>
    <x v="0"/>
    <s v="Qtr. 3 Mu-yin  Baptist Church"/>
    <m/>
    <m/>
    <m/>
    <m/>
    <m/>
    <m/>
    <n v="19"/>
    <m/>
    <m/>
    <m/>
    <m/>
    <m/>
    <m/>
    <m/>
    <m/>
    <m/>
    <m/>
    <m/>
    <m/>
    <m/>
    <e v="#REF!"/>
    <e v="#REF!"/>
    <e v="#REF!"/>
    <e v="#REF!"/>
    <e v="#REF!"/>
    <e v="#REF!"/>
    <e v="#REF!"/>
    <e v="#REF!"/>
    <e v="#REF!"/>
    <e v="#REF!"/>
    <m/>
    <m/>
    <m/>
    <n v="0"/>
    <m/>
    <m/>
    <m/>
    <s v="MMR001CMP030"/>
    <m/>
  </r>
  <r>
    <x v="133"/>
    <x v="20"/>
    <x v="0"/>
    <s v="Shalom"/>
    <s v="Kachin"/>
    <x v="1"/>
    <s v="Shatapru Thida Aye Baptist Church"/>
    <m/>
    <m/>
    <m/>
    <m/>
    <m/>
    <m/>
    <n v="1"/>
    <m/>
    <m/>
    <m/>
    <m/>
    <m/>
    <m/>
    <m/>
    <m/>
    <m/>
    <m/>
    <m/>
    <m/>
    <m/>
    <e v="#REF!"/>
    <e v="#REF!"/>
    <e v="#REF!"/>
    <e v="#REF!"/>
    <e v="#REF!"/>
    <e v="#REF!"/>
    <e v="#REF!"/>
    <e v="#REF!"/>
    <e v="#REF!"/>
    <e v="#REF!"/>
    <m/>
    <m/>
    <m/>
    <n v="0"/>
    <m/>
    <m/>
    <m/>
    <s v="MMR001CMP007"/>
    <m/>
  </r>
  <r>
    <x v="134"/>
    <x v="21"/>
    <x v="12"/>
    <m/>
    <s v="Kachin"/>
    <x v="2"/>
    <s v="Man Wing Catholic Church"/>
    <n v="1"/>
    <m/>
    <m/>
    <m/>
    <m/>
    <m/>
    <m/>
    <m/>
    <m/>
    <m/>
    <m/>
    <m/>
    <m/>
    <m/>
    <m/>
    <m/>
    <m/>
    <m/>
    <m/>
    <m/>
    <e v="#REF!"/>
    <e v="#REF!"/>
    <e v="#REF!"/>
    <e v="#REF!"/>
    <e v="#REF!"/>
    <e v="#REF!"/>
    <e v="#REF!"/>
    <e v="#REF!"/>
    <e v="#REF!"/>
    <e v="#REF!"/>
    <m/>
    <m/>
    <m/>
    <n v="0"/>
    <m/>
    <m/>
    <m/>
    <s v="MMR001CMP132"/>
    <m/>
  </r>
  <r>
    <x v="135"/>
    <x v="21"/>
    <x v="12"/>
    <m/>
    <s v="Shan_North"/>
    <x v="14"/>
    <s v="Nam Hkam Catholic Church ( St. Thomas I)"/>
    <m/>
    <m/>
    <m/>
    <n v="44"/>
    <m/>
    <m/>
    <m/>
    <m/>
    <m/>
    <m/>
    <m/>
    <m/>
    <m/>
    <m/>
    <m/>
    <m/>
    <m/>
    <m/>
    <m/>
    <m/>
    <e v="#REF!"/>
    <e v="#REF!"/>
    <e v="#REF!"/>
    <e v="#REF!"/>
    <e v="#REF!"/>
    <e v="#REF!"/>
    <e v="#REF!"/>
    <e v="#REF!"/>
    <e v="#REF!"/>
    <e v="#REF!"/>
    <m/>
    <m/>
    <m/>
    <n v="0"/>
    <m/>
    <m/>
    <m/>
    <s v="MMR015CMP003"/>
    <m/>
  </r>
  <r>
    <x v="136"/>
    <x v="21"/>
    <x v="12"/>
    <m/>
    <s v="Shan_North"/>
    <x v="9"/>
    <s v="Kutkai downtown (KBC Church)"/>
    <m/>
    <m/>
    <m/>
    <n v="53"/>
    <m/>
    <m/>
    <m/>
    <m/>
    <n v="53"/>
    <m/>
    <m/>
    <m/>
    <m/>
    <m/>
    <m/>
    <m/>
    <m/>
    <n v="53"/>
    <n v="53"/>
    <m/>
    <e v="#REF!"/>
    <e v="#REF!"/>
    <e v="#REF!"/>
    <e v="#REF!"/>
    <e v="#REF!"/>
    <e v="#REF!"/>
    <e v="#REF!"/>
    <e v="#REF!"/>
    <e v="#REF!"/>
    <e v="#REF!"/>
    <m/>
    <m/>
    <m/>
    <n v="0"/>
    <m/>
    <m/>
    <m/>
    <s v="MMR015CMP016"/>
    <m/>
  </r>
  <r>
    <x v="137"/>
    <x v="21"/>
    <x v="12"/>
    <m/>
    <s v="Shan_North"/>
    <x v="20"/>
    <s v="Mandung - RC"/>
    <n v="27"/>
    <m/>
    <m/>
    <m/>
    <m/>
    <m/>
    <m/>
    <m/>
    <m/>
    <m/>
    <m/>
    <m/>
    <m/>
    <m/>
    <m/>
    <m/>
    <m/>
    <m/>
    <m/>
    <m/>
    <e v="#REF!"/>
    <e v="#REF!"/>
    <e v="#REF!"/>
    <e v="#REF!"/>
    <e v="#REF!"/>
    <e v="#REF!"/>
    <e v="#REF!"/>
    <e v="#REF!"/>
    <e v="#REF!"/>
    <e v="#REF!"/>
    <m/>
    <m/>
    <m/>
    <n v="0"/>
    <m/>
    <m/>
    <m/>
    <s v="MMR015CMP209"/>
    <m/>
  </r>
  <r>
    <x v="135"/>
    <x v="21"/>
    <x v="12"/>
    <m/>
    <s v="Shan_North"/>
    <x v="11"/>
    <s v="Lisu Church Namtu"/>
    <m/>
    <m/>
    <m/>
    <n v="32"/>
    <m/>
    <m/>
    <m/>
    <n v="32"/>
    <m/>
    <m/>
    <m/>
    <m/>
    <m/>
    <m/>
    <m/>
    <m/>
    <m/>
    <m/>
    <m/>
    <m/>
    <e v="#REF!"/>
    <e v="#REF!"/>
    <e v="#REF!"/>
    <e v="#REF!"/>
    <e v="#REF!"/>
    <e v="#REF!"/>
    <e v="#REF!"/>
    <e v="#REF!"/>
    <e v="#REF!"/>
    <e v="#REF!"/>
    <m/>
    <m/>
    <m/>
    <n v="0"/>
    <m/>
    <m/>
    <m/>
    <s v="MMR015CMP232"/>
    <m/>
  </r>
  <r>
    <x v="135"/>
    <x v="21"/>
    <x v="12"/>
    <m/>
    <s v="Shan_North"/>
    <x v="14"/>
    <m/>
    <m/>
    <m/>
    <m/>
    <m/>
    <m/>
    <m/>
    <m/>
    <m/>
    <m/>
    <m/>
    <m/>
    <m/>
    <m/>
    <m/>
    <m/>
    <m/>
    <m/>
    <m/>
    <m/>
    <m/>
    <e v="#REF!"/>
    <e v="#REF!"/>
    <e v="#REF!"/>
    <e v="#REF!"/>
    <e v="#REF!"/>
    <e v="#REF!"/>
    <e v="#REF!"/>
    <e v="#REF!"/>
    <e v="#REF!"/>
    <e v="#REF!"/>
    <m/>
    <m/>
    <m/>
    <n v="0"/>
    <m/>
    <m/>
    <m/>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6" cacheId="18" applyNumberFormats="0" applyBorderFormats="0" applyFontFormats="0" applyPatternFormats="0" applyAlignmentFormats="0" applyWidthHeightFormats="1" dataCaption="Values" grandTotalCaption="# of Camps" updatedVersion="5" minRefreshableVersion="3" useAutoFormatting="1" itemPrintTitles="1" createdVersion="4" indent="0" outline="1" outlineData="1" multipleFieldFilters="0" rowHeaderCaption="Accomodation Type">
  <location ref="B70:F72" firstHeaderRow="1" firstDataRow="2" firstDataCol="1" rowPageCount="2" colPageCount="1"/>
  <pivotFields count="31">
    <pivotField axis="axisPage" multipleItemSelectionAllowed="1" showAll="0" includeNewItemsInFilter="1">
      <items count="5">
        <item h="1" x="1"/>
        <item x="0"/>
        <item h="1" x="3"/>
        <item x="2"/>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dataField="1" showAll="0" defaultSubtotal="0"/>
    <pivotField showAll="0" defaultSubtotal="0"/>
    <pivotField showAll="0"/>
    <pivotField showAll="0" defaultSubtotal="0"/>
    <pivotField showAll="0" defaultSubtotal="0"/>
    <pivotField showAll="0"/>
    <pivotField showAll="0"/>
    <pivotField showAll="0"/>
    <pivotField axis="axisCol" showAll="0">
      <items count="4">
        <item x="0"/>
        <item x="1"/>
        <item x="2"/>
        <item t="default"/>
      </items>
    </pivotField>
    <pivotField axis="axisPage" multipleItemSelectionAllowed="1" showAll="0" defaultSubtotal="0">
      <items count="2">
        <item x="0"/>
        <item x="1"/>
      </items>
    </pivotField>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s>
  <rowItems count="1">
    <i/>
  </rowItems>
  <colFields count="1">
    <field x="19"/>
  </colFields>
  <colItems count="4">
    <i>
      <x/>
    </i>
    <i>
      <x v="1"/>
    </i>
    <i>
      <x v="2"/>
    </i>
    <i t="grand">
      <x/>
    </i>
  </colItems>
  <pageFields count="2">
    <pageField fld="0" hier="-1"/>
    <pageField fld="20" hier="-1"/>
  </pageFields>
  <dataFields count="1">
    <dataField name="Count of Camp" fld="11" subtotal="count" baseField="0" baseItem="0"/>
  </dataFields>
  <formats count="2">
    <format dxfId="1185">
      <pivotArea outline="0" collapsedLevelsAreSubtotals="1" fieldPosition="0"/>
    </format>
    <format dxfId="11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3"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B90:E96" firstHeaderRow="0" firstDataRow="1" firstDataCol="1" rowPageCount="2" colPageCount="1"/>
  <pivotFields count="31">
    <pivotField axis="axisPage" multipleItemSelectionAllowed="1" showAll="0">
      <items count="5">
        <item h="1" x="1"/>
        <item x="0"/>
        <item h="1" x="3"/>
        <item h="1" x="2"/>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axis="axisRow" multipleItemSelectionAllowed="1" showAll="0">
      <items count="4">
        <item x="0"/>
        <item x="1"/>
        <item x="2"/>
        <item t="default"/>
      </items>
    </pivotField>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s>
  <rowFields count="2">
    <field x="1"/>
    <field x="19"/>
  </rowFields>
  <rowItems count="6">
    <i>
      <x/>
    </i>
    <i r="1">
      <x/>
    </i>
    <i r="1">
      <x v="1"/>
    </i>
    <i>
      <x v="1"/>
    </i>
    <i r="1">
      <x/>
    </i>
    <i t="grand">
      <x/>
    </i>
  </rowItems>
  <colFields count="1">
    <field x="-2"/>
  </colFields>
  <colItems count="3">
    <i>
      <x/>
    </i>
    <i i="1">
      <x v="1"/>
    </i>
    <i i="2">
      <x v="2"/>
    </i>
  </colItems>
  <pageFields count="2">
    <pageField fld="0" hier="-1"/>
    <pageField fld="20" hier="-1"/>
  </pageFields>
  <dataFields count="3">
    <dataField name="# of Camp" fld="11" subtotal="count" baseField="1" baseItem="0"/>
    <dataField name="Individual" fld="17" baseField="1" baseItem="0"/>
    <dataField name="%" fld="17" showDataAs="percentOfTotal" baseField="1" baseItem="0" numFmtId="10"/>
  </dataFields>
  <formats count="4">
    <format dxfId="1189">
      <pivotArea collapsedLevelsAreSubtotals="1" fieldPosition="0">
        <references count="2">
          <reference field="4294967294" count="1" selected="0">
            <x v="2"/>
          </reference>
          <reference field="1" count="1">
            <x v="0"/>
          </reference>
        </references>
      </pivotArea>
    </format>
    <format dxfId="1188">
      <pivotArea collapsedLevelsAreSubtotals="1" fieldPosition="0">
        <references count="3">
          <reference field="4294967294" count="1" selected="0">
            <x v="2"/>
          </reference>
          <reference field="1" count="1" selected="0">
            <x v="0"/>
          </reference>
          <reference field="19" count="0"/>
        </references>
      </pivotArea>
    </format>
    <format dxfId="1187">
      <pivotArea collapsedLevelsAreSubtotals="1" fieldPosition="0">
        <references count="2">
          <reference field="4294967294" count="1" selected="0">
            <x v="2"/>
          </reference>
          <reference field="1" count="1">
            <x v="1"/>
          </reference>
        </references>
      </pivotArea>
    </format>
    <format dxfId="1186">
      <pivotArea collapsedLevelsAreSubtotals="1" fieldPosition="0">
        <references count="3">
          <reference field="4294967294" count="1" selected="0">
            <x v="2"/>
          </reference>
          <reference field="1" count="1" selected="0">
            <x v="1"/>
          </reference>
          <reference field="1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1"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B80:C84" firstHeaderRow="1" firstDataRow="1" firstDataCol="1" rowPageCount="2" colPageCount="1"/>
  <pivotFields count="31">
    <pivotField axis="axisPage" multipleItemSelectionAllowed="1" showAll="0">
      <items count="5">
        <item h="1" x="1"/>
        <item x="0"/>
        <item h="1"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Page" multipleItemSelectionAllowed="1" showAll="0">
      <items count="4">
        <item x="0"/>
        <item h="1" x="1"/>
        <item h="1" x="2"/>
        <item t="default"/>
      </items>
    </pivotField>
    <pivotField showAll="0"/>
    <pivotField axis="axisRow" showAll="0">
      <items count="8">
        <item x="2"/>
        <item x="0"/>
        <item x="1"/>
        <item x="3"/>
        <item x="6"/>
        <item x="4"/>
        <item x="5"/>
        <item t="default"/>
      </items>
    </pivotField>
    <pivotField showAll="0"/>
    <pivotField showAll="0"/>
    <pivotField showAll="0"/>
    <pivotField showAll="0"/>
    <pivotField showAll="0"/>
    <pivotField showAll="0"/>
    <pivotField showAll="0"/>
    <pivotField showAll="0"/>
    <pivotField showAll="0"/>
  </pivotFields>
  <rowFields count="1">
    <field x="21"/>
  </rowFields>
  <rowItems count="4">
    <i>
      <x v="1"/>
    </i>
    <i>
      <x v="2"/>
    </i>
    <i>
      <x v="3"/>
    </i>
    <i t="grand">
      <x/>
    </i>
  </rowItems>
  <colItems count="1">
    <i/>
  </colItems>
  <pageFields count="2">
    <pageField fld="0" hier="-1"/>
    <pageField fld="19" hier="-1"/>
  </pageFields>
  <dataFields count="1">
    <dataField name="% of IDP" fld="17" subtotal="count" showDataAs="percentOfTotal" baseField="21" baseItem="1" numFmtId="9"/>
  </dataFields>
  <formats count="1">
    <format dxfId="1190">
      <pivotArea outline="0" collapsedLevelsAreSubtotals="1" fieldPosition="0"/>
    </format>
  </formats>
  <chartFormats count="9">
    <chartFormat chart="0"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1" count="1" selected="0">
            <x v="1"/>
          </reference>
        </references>
      </pivotArea>
    </chartFormat>
    <chartFormat chart="3" format="2">
      <pivotArea type="data" outline="0" fieldPosition="0">
        <references count="2">
          <reference field="4294967294" count="1" selected="0">
            <x v="0"/>
          </reference>
          <reference field="21" count="1" selected="0">
            <x v="3"/>
          </reference>
        </references>
      </pivotArea>
    </chartFormat>
    <chartFormat chart="3" format="3">
      <pivotArea type="data" outline="0" fieldPosition="0">
        <references count="2">
          <reference field="4294967294" count="1" selected="0">
            <x v="0"/>
          </reference>
          <reference field="21" count="1" selected="0">
            <x v="2"/>
          </reference>
        </references>
      </pivotArea>
    </chartFormat>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21" count="1" selected="0">
            <x v="3"/>
          </reference>
        </references>
      </pivotArea>
    </chartFormat>
    <chartFormat chart="6" format="2">
      <pivotArea type="data" outline="0" fieldPosition="0">
        <references count="2">
          <reference field="4294967294" count="1" selected="0">
            <x v="0"/>
          </reference>
          <reference field="21" count="1" selected="0">
            <x v="1"/>
          </reference>
        </references>
      </pivotArea>
    </chartFormat>
    <chartFormat chart="6" format="3">
      <pivotArea type="data" outline="0" fieldPosition="0">
        <references count="2">
          <reference field="4294967294" count="1" selected="0">
            <x v="0"/>
          </reference>
          <reference field="2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8"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6">
  <location ref="B57:E59" firstHeaderRow="1" firstDataRow="2" firstDataCol="1" rowPageCount="2" colPageCount="1"/>
  <pivotFields count="31">
    <pivotField axis="axisPage" multipleItemSelectionAllowed="1" showAll="0">
      <items count="5">
        <item h="1" x="1"/>
        <item x="0"/>
        <item h="1" x="3"/>
        <item h="1" x="2"/>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4">
        <item x="0"/>
        <item x="1"/>
        <item x="2"/>
        <item t="default"/>
      </items>
    </pivotField>
    <pivotField axis="axisPage" multipleItemSelectionAllowed="1" showAll="0" defaultSubtotal="0">
      <items count="2">
        <item x="0"/>
        <item x="1"/>
      </items>
    </pivotField>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s>
  <rowItems count="1">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4">
    <format dxfId="1194">
      <pivotArea field="0" type="button" dataOnly="0" labelOnly="1" outline="0" axis="axisPage" fieldPosition="0"/>
    </format>
    <format dxfId="1193">
      <pivotArea dataOnly="0" labelOnly="1" outline="0" fieldPosition="0">
        <references count="1">
          <reference field="0" count="0"/>
        </references>
      </pivotArea>
    </format>
    <format dxfId="1192">
      <pivotArea type="all" dataOnly="0" outline="0" fieldPosition="0"/>
    </format>
    <format dxfId="119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8" dataPosition="0"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9" colHeaderCaption="Accessibility">
  <location ref="B46:D50" firstHeaderRow="1" firstDataRow="2" firstDataCol="1" rowPageCount="2" colPageCount="1"/>
  <pivotFields count="31">
    <pivotField axis="axisCol" multipleItemSelectionAllowed="1" showAll="0">
      <items count="5">
        <item h="1" x="1"/>
        <item x="0"/>
        <item h="1" x="3"/>
        <item h="1" x="2"/>
        <item t="default"/>
      </items>
    </pivotField>
    <pivotField axis="axisPage" subtotalTop="0" multipleItemSelectionAllowed="1" showAll="0">
      <items count="4">
        <item x="0"/>
        <item x="1"/>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Row" showAll="0" defaultSubtotal="0">
      <items count="3">
        <item x="0"/>
        <item x="1"/>
        <item x="2"/>
      </items>
    </pivotField>
    <pivotField axis="axisPage"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9"/>
  </rowFields>
  <rowItems count="3">
    <i>
      <x/>
    </i>
    <i>
      <x v="1"/>
    </i>
    <i t="grand">
      <x/>
    </i>
  </rowItems>
  <colFields count="1">
    <field x="0"/>
  </colFields>
  <colItems count="2">
    <i>
      <x v="1"/>
    </i>
    <i t="grand">
      <x/>
    </i>
  </colItems>
  <pageFields count="2">
    <pageField fld="1" hier="-1"/>
    <pageField fld="20" item="0" hier="-1"/>
  </pageFields>
  <dataFields count="1">
    <dataField name="Sum of Total" fld="17" baseField="2" baseItem="0"/>
  </dataFields>
  <formats count="13">
    <format dxfId="1207">
      <pivotArea type="all" dataOnly="0" outline="0" fieldPosition="0"/>
    </format>
    <format dxfId="1206">
      <pivotArea field="1" type="button" dataOnly="0" labelOnly="1" outline="0" axis="axisPage" fieldPosition="0"/>
    </format>
    <format dxfId="1205">
      <pivotArea grandRow="1" outline="0" collapsedLevelsAreSubtotals="1" fieldPosition="0"/>
    </format>
    <format dxfId="1204">
      <pivotArea dataOnly="0" labelOnly="1" grandRow="1" outline="0" fieldPosition="0"/>
    </format>
    <format dxfId="1203">
      <pivotArea outline="0" collapsedLevelsAreSubtotals="1" fieldPosition="0"/>
    </format>
    <format dxfId="1202">
      <pivotArea dataOnly="0" labelOnly="1" fieldPosition="0">
        <references count="1">
          <reference field="0" count="0"/>
        </references>
      </pivotArea>
    </format>
    <format dxfId="1201">
      <pivotArea dataOnly="0" labelOnly="1" grandRow="1" outline="0" fieldPosition="0"/>
    </format>
    <format dxfId="1200">
      <pivotArea type="topRight" dataOnly="0" labelOnly="1" outline="0" fieldPosition="0"/>
    </format>
    <format dxfId="1199">
      <pivotArea type="all" dataOnly="0" outline="0" fieldPosition="0"/>
    </format>
    <format dxfId="1198">
      <pivotArea dataOnly="0" labelOnly="1" outline="0" fieldPosition="0">
        <references count="1">
          <reference field="1" count="0"/>
        </references>
      </pivotArea>
    </format>
    <format dxfId="1197">
      <pivotArea type="all" dataOnly="0" outline="0" fieldPosition="0"/>
    </format>
    <format dxfId="1196">
      <pivotArea collapsedLevelsAreSubtotals="1" fieldPosition="0">
        <references count="1">
          <reference field="0" count="0"/>
        </references>
      </pivotArea>
    </format>
    <format dxfId="1195">
      <pivotArea dataOnly="0" labelOnly="1" fieldPosition="0">
        <references count="1">
          <reference field="0" count="0"/>
        </references>
      </pivotArea>
    </format>
  </formats>
  <chartFormats count="5">
    <chartFormat chart="6" format="0" series="1">
      <pivotArea type="data" outline="0" fieldPosition="0">
        <references count="2">
          <reference field="4294967294" count="1" selected="0">
            <x v="0"/>
          </reference>
          <reference field="0" count="1" selected="0">
            <x v="1"/>
          </reference>
        </references>
      </pivotArea>
    </chartFormat>
    <chartFormat chart="6" format="1" series="1">
      <pivotArea type="data" outline="0" fieldPosition="0">
        <references count="2">
          <reference field="4294967294" count="1" selected="0">
            <x v="0"/>
          </reference>
          <reference field="19" count="1" selected="0">
            <x v="1"/>
          </reference>
        </references>
      </pivotArea>
    </chartFormat>
    <chartFormat chart="6" format="1" series="1">
      <pivotArea type="data" outline="0" fieldPosition="0">
        <references count="2">
          <reference field="4294967294" count="1" selected="0">
            <x v="0"/>
          </reference>
          <reference field="0" count="1" selected="0">
            <x v="2"/>
          </reference>
        </references>
      </pivotArea>
    </chartFormat>
    <chartFormat chart="6" format="2">
      <pivotArea type="data" outline="0" fieldPosition="0">
        <references count="3">
          <reference field="4294967294" count="1" selected="0">
            <x v="0"/>
          </reference>
          <reference field="0" count="1" selected="0">
            <x v="1"/>
          </reference>
          <reference field="19" count="1" selected="0">
            <x v="0"/>
          </reference>
        </references>
      </pivotArea>
    </chartFormat>
    <chartFormat chart="6" format="3">
      <pivotArea type="data" outline="0" fieldPosition="0">
        <references count="3">
          <reference field="4294967294" count="1" selected="0">
            <x v="0"/>
          </reference>
          <reference field="0" count="1" selected="0">
            <x v="1"/>
          </reference>
          <reference field="1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X55:AY76" firstHeaderRow="1" firstDataRow="1" firstDataCol="1" rowPageCount="1" colPageCount="1"/>
  <pivotFields count="31">
    <pivotField axis="axisPage" multipleItemSelectionAllowed="1" showAll="0">
      <items count="5">
        <item h="1" x="1"/>
        <item x="0"/>
        <item h="1" x="3"/>
        <item h="1" x="2"/>
        <item t="default"/>
      </items>
    </pivotField>
    <pivotField showAll="0"/>
    <pivotField showAll="0"/>
    <pivotField showAll="0"/>
    <pivotField showAll="0"/>
    <pivotField axis="axisRow" showAll="0">
      <items count="25">
        <item x="3"/>
        <item x="2"/>
        <item x="10"/>
        <item x="21"/>
        <item x="22"/>
        <item x="12"/>
        <item x="11"/>
        <item x="17"/>
        <item x="14"/>
        <item x="5"/>
        <item x="18"/>
        <item x="8"/>
        <item x="9"/>
        <item x="4"/>
        <item x="20"/>
        <item x="0"/>
        <item x="16"/>
        <item x="19"/>
        <item x="7"/>
        <item x="6"/>
        <item x="13"/>
        <item x="15"/>
        <item x="1"/>
        <item x="23"/>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Items count="1">
    <i/>
  </colItems>
  <pageFields count="1">
    <pageField fld="0" hier="-1"/>
  </pageFields>
  <dataFields count="1">
    <dataField name="Count of Camp" fld="11"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1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location ref="Q11:R32" firstHeaderRow="1" firstDataRow="1" firstDataCol="1" rowPageCount="2" colPageCount="1"/>
  <pivotFields count="31">
    <pivotField axis="axisPage" multipleItemSelectionAllowed="1" showAll="0">
      <items count="5">
        <item h="1" x="1"/>
        <item x="0"/>
        <item h="1" x="3"/>
        <item h="1" x="2"/>
        <item t="default"/>
      </items>
    </pivotField>
    <pivotField axis="axisPage" subtotalTop="0" multipleItemSelectionAllowed="1" showAll="0">
      <items count="4">
        <item x="0"/>
        <item x="1"/>
        <item x="2"/>
        <item t="default"/>
      </items>
    </pivotField>
    <pivotField showAll="0" defaultSubtotal="0"/>
    <pivotField showAll="0" defaultSubtotal="0"/>
    <pivotField showAll="0" defaultSubtotal="0"/>
    <pivotField axis="axisRow" showAll="0" sortType="ascending" defaultSubtotal="0">
      <items count="24">
        <item x="3"/>
        <item x="2"/>
        <item x="10"/>
        <item x="21"/>
        <item x="22"/>
        <item x="12"/>
        <item x="11"/>
        <item x="17"/>
        <item x="14"/>
        <item x="5"/>
        <item x="18"/>
        <item x="8"/>
        <item x="9"/>
        <item x="4"/>
        <item x="20"/>
        <item x="0"/>
        <item x="16"/>
        <item x="19"/>
        <item x="7"/>
        <item x="6"/>
        <item x="13"/>
        <item x="15"/>
        <item x="1"/>
        <item x="2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Items count="1">
    <i/>
  </colItems>
  <pageFields count="2">
    <pageField fld="1" hier="-1"/>
    <pageField fld="0" hier="-1"/>
  </pageFields>
  <dataFields count="1">
    <dataField name="Population" fld="17" baseField="5" baseItem="22"/>
  </dataFields>
  <formats count="5">
    <format dxfId="1212">
      <pivotArea type="all" dataOnly="0" outline="0" fieldPosition="0"/>
    </format>
    <format dxfId="1211">
      <pivotArea field="1" type="button" dataOnly="0" labelOnly="1" outline="0" axis="axisPage" fieldPosition="0"/>
    </format>
    <format dxfId="1210">
      <pivotArea dataOnly="0" labelOnly="1" outline="0" fieldPosition="0">
        <references count="1">
          <reference field="4294967294" count="1">
            <x v="0"/>
          </reference>
        </references>
      </pivotArea>
    </format>
    <format dxfId="1209">
      <pivotArea grandRow="1" outline="0" collapsedLevelsAreSubtotals="1" fieldPosition="0"/>
    </format>
    <format dxfId="1208">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rowHeaderCaption="Township">
  <location ref="B9:D30" firstHeaderRow="0" firstDataRow="1" firstDataCol="1" rowPageCount="3" colPageCount="1"/>
  <pivotFields count="31">
    <pivotField axis="axisPage" multipleItemSelectionAllowed="1" showAll="0">
      <items count="5">
        <item h="1" x="1"/>
        <item x="0"/>
        <item h="1" x="3"/>
        <item h="1" x="2"/>
        <item t="default"/>
      </items>
    </pivotField>
    <pivotField axis="axisPage" multipleItemSelectionAllowed="1" showAll="0">
      <items count="4">
        <item x="0"/>
        <item x="1"/>
        <item x="2"/>
        <item t="default"/>
      </items>
    </pivotField>
    <pivotField showAll="0"/>
    <pivotField showAll="0"/>
    <pivotField showAll="0"/>
    <pivotField axis="axisRow" showAll="0">
      <items count="25">
        <item x="3"/>
        <item x="2"/>
        <item x="10"/>
        <item x="21"/>
        <item x="22"/>
        <item x="12"/>
        <item x="11"/>
        <item x="17"/>
        <item x="14"/>
        <item x="5"/>
        <item x="18"/>
        <item x="8"/>
        <item x="9"/>
        <item x="4"/>
        <item x="20"/>
        <item x="0"/>
        <item x="16"/>
        <item x="19"/>
        <item x="7"/>
        <item x="6"/>
        <item x="13"/>
        <item x="1"/>
        <item x="15"/>
        <item x="23"/>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axis="axisPage" showAll="0">
      <items count="3">
        <item x="0"/>
        <item x="1"/>
        <item t="default"/>
      </items>
    </pivotField>
    <pivotField showAll="0" defaultSubtota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Fields count="1">
    <field x="-2"/>
  </colFields>
  <colItems count="2">
    <i>
      <x/>
    </i>
    <i i="1">
      <x v="1"/>
    </i>
  </colItems>
  <pageFields count="3">
    <pageField fld="1" hier="-1"/>
    <pageField fld="20" item="0" hier="-1"/>
    <pageField fld="0" hier="-1"/>
  </pageFields>
  <dataFields count="2">
    <dataField name="HH " fld="16" baseField="5" baseItem="11"/>
    <dataField name="Individuals" fld="17" baseField="5" baseItem="1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G131" firstHeaderRow="0" firstDataRow="1" firstDataCol="5" rowPageCount="1" colPageCount="1"/>
  <pivotFields count="31">
    <pivotField axis="axisPage" compact="0" outline="0" multipleItemSelectionAllowed="1" showAll="0" defaultSubtotal="0">
      <items count="4">
        <item x="1"/>
        <item h="1" x="0"/>
        <item h="1" x="3"/>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00">
        <item x="139"/>
        <item x="147"/>
        <item x="123"/>
        <item x="37"/>
        <item x="130"/>
        <item x="135"/>
        <item x="141"/>
        <item x="144"/>
        <item x="138"/>
        <item x="86"/>
        <item x="177"/>
        <item x="178"/>
        <item x="176"/>
        <item x="128"/>
        <item x="153"/>
        <item x="140"/>
        <item x="107"/>
        <item x="75"/>
        <item x="112"/>
        <item x="188"/>
        <item x="74"/>
        <item x="82"/>
        <item x="35"/>
        <item x="131"/>
        <item x="129"/>
        <item x="106"/>
        <item x="148"/>
        <item x="152"/>
        <item x="257"/>
        <item x="43"/>
        <item x="24"/>
        <item x="76"/>
        <item x="118"/>
        <item x="136"/>
        <item x="154"/>
        <item x="121"/>
        <item x="241"/>
        <item x="251"/>
        <item x="164"/>
        <item x="266"/>
        <item x="103"/>
        <item x="39"/>
        <item x="157"/>
        <item x="179"/>
        <item x="161"/>
        <item x="13"/>
        <item x="15"/>
        <item x="99"/>
        <item x="45"/>
        <item x="155"/>
        <item x="245"/>
        <item x="225"/>
        <item x="226"/>
        <item x="10"/>
        <item x="67"/>
        <item x="71"/>
        <item x="166"/>
        <item x="42"/>
        <item x="109"/>
        <item x="117"/>
        <item x="127"/>
        <item x="262"/>
        <item x="11"/>
        <item x="149"/>
        <item x="132"/>
        <item x="122"/>
        <item x="36"/>
        <item x="59"/>
        <item x="53"/>
        <item x="58"/>
        <item x="124"/>
        <item x="101"/>
        <item x="183"/>
        <item x="22"/>
        <item x="85"/>
        <item x="61"/>
        <item x="27"/>
        <item x="25"/>
        <item x="264"/>
        <item x="263"/>
        <item x="278"/>
        <item x="159"/>
        <item x="12"/>
        <item x="48"/>
        <item x="7"/>
        <item x="174"/>
        <item x="175"/>
        <item x="60"/>
        <item x="163"/>
        <item x="115"/>
        <item x="169"/>
        <item x="114"/>
        <item x="162"/>
        <item x="116"/>
        <item x="111"/>
        <item x="55"/>
        <item x="223"/>
        <item x="229"/>
        <item x="49"/>
        <item x="88"/>
        <item x="87"/>
        <item x="90"/>
        <item x="92"/>
        <item x="93"/>
        <item x="89"/>
        <item x="94"/>
        <item x="91"/>
        <item x="16"/>
        <item x="17"/>
        <item x="100"/>
        <item x="84"/>
        <item x="81"/>
        <item x="80"/>
        <item x="70"/>
        <item x="83"/>
        <item x="146"/>
        <item x="46"/>
        <item x="54"/>
        <item x="243"/>
        <item x="237"/>
        <item x="203"/>
        <item x="167"/>
        <item x="221"/>
        <item x="235"/>
        <item x="249"/>
        <item x="145"/>
        <item x="230"/>
        <item x="233"/>
        <item x="38"/>
        <item x="14"/>
        <item x="47"/>
        <item x="125"/>
        <item x="220"/>
        <item x="216"/>
        <item x="231"/>
        <item x="218"/>
        <item x="252"/>
        <item x="234"/>
        <item x="253"/>
        <item x="242"/>
        <item x="222"/>
        <item x="168"/>
        <item x="171"/>
        <item x="126"/>
        <item x="137"/>
        <item x="224"/>
        <item x="256"/>
        <item x="232"/>
        <item x="20"/>
        <item x="44"/>
        <item x="72"/>
        <item x="77"/>
        <item x="254"/>
        <item x="68"/>
        <item x="182"/>
        <item x="29"/>
        <item x="273"/>
        <item x="78"/>
        <item x="79"/>
        <item x="113"/>
        <item x="56"/>
        <item x="1"/>
        <item x="63"/>
        <item x="120"/>
        <item x="108"/>
        <item x="158"/>
        <item x="96"/>
        <item x="142"/>
        <item x="62"/>
        <item x="119"/>
        <item x="28"/>
        <item x="21"/>
        <item x="26"/>
        <item x="23"/>
        <item x="133"/>
        <item x="270"/>
        <item x="102"/>
        <item x="150"/>
        <item x="98"/>
        <item x="160"/>
        <item x="64"/>
        <item x="5"/>
        <item x="6"/>
        <item x="265"/>
        <item x="50"/>
        <item x="51"/>
        <item x="8"/>
        <item x="181"/>
        <item x="69"/>
        <item x="184"/>
        <item x="156"/>
        <item x="52"/>
        <item x="104"/>
        <item x="57"/>
        <item x="0"/>
        <item x="3"/>
        <item x="2"/>
        <item x="4"/>
        <item x="30"/>
        <item x="186"/>
        <item x="95"/>
        <item x="173"/>
        <item x="65"/>
        <item x="34"/>
        <item x="33"/>
        <item x="151"/>
        <item x="134"/>
        <item x="271"/>
        <item x="41"/>
        <item x="143"/>
        <item x="19"/>
        <item x="40"/>
        <item x="73"/>
        <item x="165"/>
        <item x="228"/>
        <item x="193"/>
        <item x="170"/>
        <item x="172"/>
        <item x="32"/>
        <item x="31"/>
        <item x="110"/>
        <item x="97"/>
        <item x="18"/>
        <item x="105"/>
        <item x="180"/>
        <item x="236"/>
        <item x="197"/>
        <item x="185"/>
        <item x="199"/>
        <item x="187"/>
        <item x="189"/>
        <item x="202"/>
        <item x="267"/>
        <item x="204"/>
        <item x="269"/>
        <item x="239"/>
        <item x="238"/>
        <item x="268"/>
        <item x="272"/>
        <item x="244"/>
        <item x="205"/>
        <item x="190"/>
        <item x="207"/>
        <item x="191"/>
        <item x="192"/>
        <item x="274"/>
        <item x="275"/>
        <item x="276"/>
        <item x="277"/>
        <item x="246"/>
        <item x="279"/>
        <item x="280"/>
        <item x="281"/>
        <item x="282"/>
        <item x="283"/>
        <item x="284"/>
        <item x="285"/>
        <item x="286"/>
        <item x="287"/>
        <item x="288"/>
        <item x="289"/>
        <item x="247"/>
        <item x="248"/>
        <item x="250"/>
        <item x="255"/>
        <item x="194"/>
        <item x="290"/>
        <item x="195"/>
        <item x="259"/>
        <item x="214"/>
        <item x="200"/>
        <item x="9"/>
        <item x="201"/>
        <item x="66"/>
        <item x="217"/>
        <item x="219"/>
        <item x="260"/>
        <item x="206"/>
        <item x="240"/>
        <item x="227"/>
        <item x="297"/>
        <item x="208"/>
        <item x="291"/>
        <item x="292"/>
        <item x="210"/>
        <item x="212"/>
        <item x="294"/>
        <item x="213"/>
        <item x="215"/>
        <item x="198"/>
        <item x="209"/>
        <item x="293"/>
        <item x="296"/>
        <item x="295"/>
        <item x="211"/>
        <item x="196"/>
        <item x="261"/>
        <item x="298"/>
        <item x="258"/>
        <item x="299"/>
      </items>
      <extLst>
        <ext xmlns:x14="http://schemas.microsoft.com/office/spreadsheetml/2009/9/main" uri="{2946ED86-A175-432a-8AC1-64E0C546D7DE}">
          <x14:pivotField fillDownLabels="1"/>
        </ext>
      </extLst>
    </pivotField>
    <pivotField name="CpPcode"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161"/>
        <item x="189"/>
        <item x="162"/>
        <item x="191"/>
        <item x="163"/>
        <item x="164"/>
        <item x="167"/>
        <item x="172"/>
        <item x="219"/>
        <item x="237"/>
        <item x="221"/>
        <item x="223"/>
        <item x="240"/>
        <item x="224"/>
        <item x="225"/>
        <item x="226"/>
        <item x="244"/>
        <item x="245"/>
        <item x="246"/>
        <item x="227"/>
        <item x="248"/>
        <item x="228"/>
        <item x="229"/>
        <item x="230"/>
        <item x="252"/>
        <item x="231"/>
        <item x="254"/>
        <item x="255"/>
        <item x="256"/>
        <item x="257"/>
        <item x="232"/>
        <item x="259"/>
        <item x="260"/>
        <item x="261"/>
        <item x="233"/>
        <item x="234"/>
        <item x="235"/>
        <item x="236"/>
        <item x="238"/>
        <item x="196"/>
        <item x="173"/>
        <item x="175"/>
        <item x="239"/>
        <item x="183"/>
        <item x="200"/>
        <item x="188"/>
        <item x="202"/>
        <item x="190"/>
        <item x="192"/>
        <item x="205"/>
        <item x="270"/>
        <item x="207"/>
        <item x="206"/>
        <item x="300"/>
        <item x="241"/>
        <item x="271"/>
        <item x="272"/>
        <item x="242"/>
        <item x="243"/>
        <item x="275"/>
        <item x="247"/>
        <item x="208"/>
        <item x="193"/>
        <item x="210"/>
        <item x="194"/>
        <item x="195"/>
        <item x="277"/>
        <item x="278"/>
        <item x="279"/>
        <item x="280"/>
        <item x="249"/>
        <item x="282"/>
        <item x="283"/>
        <item x="284"/>
        <item x="285"/>
        <item x="286"/>
        <item x="287"/>
        <item x="288"/>
        <item x="289"/>
        <item x="290"/>
        <item x="291"/>
        <item x="292"/>
        <item x="250"/>
        <item x="251"/>
        <item x="253"/>
        <item x="258"/>
        <item x="197"/>
        <item x="293"/>
        <item x="198"/>
        <item x="262"/>
        <item x="199"/>
        <item x="217"/>
        <item x="201"/>
        <item x="203"/>
        <item x="220"/>
        <item x="204"/>
        <item x="222"/>
        <item x="209"/>
        <item x="263"/>
        <item x="211"/>
        <item x="294"/>
        <item x="212"/>
        <item x="295"/>
        <item x="296"/>
        <item x="213"/>
        <item x="214"/>
        <item x="215"/>
        <item x="297"/>
        <item x="298"/>
        <item x="216"/>
        <item x="218"/>
        <item x="299"/>
        <item x="264"/>
        <item x="301"/>
      </items>
      <extLst>
        <ext xmlns:x14="http://schemas.microsoft.com/office/spreadsheetml/2009/9/main" uri="{2946ED86-A175-432a-8AC1-64E0C546D7DE}">
          <x14:pivotField fillDownLabels="1"/>
        </ext>
      </extLst>
    </pivotField>
    <pivotField axis="axisRow" compact="0" outline="0" showAll="0" defaultSubtotal="0">
      <items count="208">
        <item x="107"/>
        <item x="108"/>
        <item x="71"/>
        <item x="109"/>
        <item x="124"/>
        <item x="70"/>
        <item x="79"/>
        <item x="75"/>
        <item x="76"/>
        <item x="136"/>
        <item x="77"/>
        <item x="100"/>
        <item x="111"/>
        <item x="110"/>
        <item x="67"/>
        <item x="112"/>
        <item x="113"/>
        <item x="69"/>
        <item x="82"/>
        <item x="106"/>
        <item x="104"/>
        <item x="105"/>
        <item x="122"/>
        <item x="115"/>
        <item x="117"/>
        <item x="119"/>
        <item x="118"/>
        <item x="114"/>
        <item x="74"/>
        <item x="66"/>
        <item x="125"/>
        <item x="96"/>
        <item x="135"/>
        <item x="48"/>
        <item x="138"/>
        <item x="64"/>
        <item x="63"/>
        <item x="65"/>
        <item x="170"/>
        <item x="164"/>
        <item x="103"/>
        <item x="155"/>
        <item x="43"/>
        <item x="204"/>
        <item x="49"/>
        <item x="99"/>
        <item x="201"/>
        <item x="38"/>
        <item x="39"/>
        <item x="37"/>
        <item x="147"/>
        <item x="36"/>
        <item x="40"/>
        <item x="116"/>
        <item x="134"/>
        <item x="16"/>
        <item x="17"/>
        <item x="47"/>
        <item x="121"/>
        <item x="42"/>
        <item x="57"/>
        <item x="46"/>
        <item x="126"/>
        <item x="44"/>
        <item x="29"/>
        <item x="52"/>
        <item x="51"/>
        <item x="53"/>
        <item x="123"/>
        <item x="13"/>
        <item x="14"/>
        <item x="2"/>
        <item x="15"/>
        <item x="4"/>
        <item x="9"/>
        <item x="0"/>
        <item x="3"/>
        <item x="1"/>
        <item x="192"/>
        <item x="5"/>
        <item x="11"/>
        <item x="19"/>
        <item x="165"/>
        <item x="24"/>
        <item x="10"/>
        <item x="45"/>
        <item x="194"/>
        <item x="58"/>
        <item x="12"/>
        <item x="62"/>
        <item x="54"/>
        <item x="6"/>
        <item x="7"/>
        <item x="8"/>
        <item x="32"/>
        <item x="195"/>
        <item x="30"/>
        <item x="59"/>
        <item x="23"/>
        <item x="27"/>
        <item x="98"/>
        <item x="196"/>
        <item x="26"/>
        <item x="25"/>
        <item x="33"/>
        <item x="21"/>
        <item x="28"/>
        <item x="34"/>
        <item x="22"/>
        <item x="85"/>
        <item x="128"/>
        <item x="202"/>
        <item x="90"/>
        <item x="89"/>
        <item x="132"/>
        <item x="81"/>
        <item x="127"/>
        <item x="83"/>
        <item x="133"/>
        <item x="93"/>
        <item x="144"/>
        <item x="102"/>
        <item x="145"/>
        <item x="95"/>
        <item x="94"/>
        <item x="139"/>
        <item x="137"/>
        <item x="149"/>
        <item x="91"/>
        <item x="88"/>
        <item x="92"/>
        <item x="159"/>
        <item x="160"/>
        <item x="189"/>
        <item x="161"/>
        <item x="172"/>
        <item x="173"/>
        <item x="61"/>
        <item x="142"/>
        <item x="78"/>
        <item x="55"/>
        <item x="56"/>
        <item x="60"/>
        <item x="50"/>
        <item x="80"/>
        <item x="87"/>
        <item x="84"/>
        <item x="168"/>
        <item x="73"/>
        <item x="163"/>
        <item x="169"/>
        <item x="86"/>
        <item x="185"/>
        <item x="171"/>
        <item x="174"/>
        <item x="72"/>
        <item x="166"/>
        <item x="167"/>
        <item x="97"/>
        <item x="197"/>
        <item x="177"/>
        <item x="188"/>
        <item x="181"/>
        <item x="182"/>
        <item x="68"/>
        <item x="187"/>
        <item x="162"/>
        <item x="183"/>
        <item x="191"/>
        <item x="41"/>
        <item x="198"/>
        <item x="31"/>
        <item x="140"/>
        <item x="141"/>
        <item x="130"/>
        <item x="35"/>
        <item x="120"/>
        <item x="129"/>
        <item x="131"/>
        <item x="20"/>
        <item x="143"/>
        <item x="176"/>
        <item x="148"/>
        <item x="150"/>
        <item x="154"/>
        <item x="199"/>
        <item x="152"/>
        <item x="207"/>
        <item x="179"/>
        <item x="200"/>
        <item x="184"/>
        <item x="175"/>
        <item x="178"/>
        <item x="146"/>
        <item x="203"/>
        <item x="151"/>
        <item x="18"/>
        <item x="180"/>
        <item x="193"/>
        <item x="186"/>
        <item x="101"/>
        <item x="153"/>
        <item x="190"/>
        <item x="156"/>
        <item x="205"/>
        <item x="157"/>
        <item x="206"/>
        <item x="15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7">
        <item x="0"/>
        <item x="5"/>
        <item x="3"/>
        <item x="2"/>
        <item x="4"/>
        <item x="6"/>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11"/>
    <field x="12"/>
    <field x="13"/>
    <field x="19"/>
    <field x="24"/>
  </rowFields>
  <rowItems count="128">
    <i>
      <x/>
      <x v="139"/>
      <x v="27"/>
      <x/>
      <x v="4"/>
    </i>
    <i>
      <x v="1"/>
      <x v="147"/>
      <x v="25"/>
      <x/>
      <x/>
    </i>
    <i>
      <x v="6"/>
      <x v="141"/>
      <x v="171"/>
      <x/>
      <x v="4"/>
    </i>
    <i>
      <x v="8"/>
      <x v="138"/>
      <x v="16"/>
      <x/>
      <x v="4"/>
    </i>
    <i>
      <x v="9"/>
      <x v="86"/>
      <x v="171"/>
      <x/>
      <x v="4"/>
    </i>
    <i>
      <x v="10"/>
      <x v="180"/>
      <x v="171"/>
      <x/>
      <x v="4"/>
    </i>
    <i>
      <x v="11"/>
      <x v="181"/>
      <x v="171"/>
      <x/>
      <x v="4"/>
    </i>
    <i>
      <x v="12"/>
      <x v="179"/>
      <x v="171"/>
      <x/>
      <x v="4"/>
    </i>
    <i>
      <x v="14"/>
      <x v="155"/>
      <x v="30"/>
      <x/>
      <x v="3"/>
    </i>
    <i>
      <x v="15"/>
      <x v="140"/>
      <x v="23"/>
      <x/>
      <x v="4"/>
    </i>
    <i>
      <x v="16"/>
      <x v="107"/>
      <x v="151"/>
      <x v="1"/>
      <x v="4"/>
    </i>
    <i>
      <x v="19"/>
      <x v="191"/>
      <x v="127"/>
      <x v="1"/>
      <x v="1"/>
    </i>
    <i>
      <x v="21"/>
      <x v="82"/>
      <x v="171"/>
      <x/>
      <x v="4"/>
    </i>
    <i>
      <x v="23"/>
      <x v="131"/>
      <x v="171"/>
      <x/>
      <x v="4"/>
    </i>
    <i>
      <x v="26"/>
      <x v="148"/>
      <x v="171"/>
      <x/>
      <x v="4"/>
    </i>
    <i>
      <x v="27"/>
      <x v="154"/>
      <x v="171"/>
      <x/>
      <x v="4"/>
    </i>
    <i>
      <x v="28"/>
      <x v="220"/>
      <x v="171"/>
      <x v="1"/>
      <x v="4"/>
    </i>
    <i>
      <x v="29"/>
      <x v="43"/>
      <x v="171"/>
      <x/>
      <x v="2"/>
    </i>
    <i>
      <x v="34"/>
      <x v="156"/>
      <x v="171"/>
      <x/>
      <x v="4"/>
    </i>
    <i>
      <x v="35"/>
      <x v="166"/>
      <x v="32"/>
      <x/>
      <x v="4"/>
    </i>
    <i>
      <x v="36"/>
      <x v="204"/>
      <x v="162"/>
      <x/>
      <x v="4"/>
    </i>
    <i>
      <x v="37"/>
      <x v="214"/>
      <x v="161"/>
      <x/>
      <x v="4"/>
    </i>
    <i>
      <x v="43"/>
      <x v="182"/>
      <x v="171"/>
      <x/>
      <x v="4"/>
    </i>
    <i>
      <x v="48"/>
      <x v="45"/>
      <x v="42"/>
      <x/>
      <x v="4"/>
    </i>
    <i>
      <x v="50"/>
      <x v="208"/>
      <x v="152"/>
      <x/>
      <x/>
    </i>
    <i>
      <x v="55"/>
      <x v="71"/>
      <x v="164"/>
      <x/>
      <x v="4"/>
    </i>
    <i>
      <x v="56"/>
      <x v="169"/>
      <x v="126"/>
      <x v="1"/>
      <x v="1"/>
    </i>
    <i>
      <x v="57"/>
      <x v="42"/>
      <x v="169"/>
      <x/>
      <x v="4"/>
    </i>
    <i>
      <x v="60"/>
      <x v="127"/>
      <x v="171"/>
      <x/>
      <x v="4"/>
    </i>
    <i>
      <x v="70"/>
      <x v="124"/>
      <x v="121"/>
      <x v="1"/>
      <x v="1"/>
    </i>
    <i>
      <x v="71"/>
      <x v="101"/>
      <x v="171"/>
      <x/>
      <x v="4"/>
    </i>
    <i>
      <x v="72"/>
      <x v="186"/>
      <x v="122"/>
      <x/>
      <x v="4"/>
    </i>
    <i>
      <x v="75"/>
      <x v="61"/>
      <x v="87"/>
      <x/>
      <x v="4"/>
    </i>
    <i>
      <x v="85"/>
      <x v="177"/>
      <x v="138"/>
      <x/>
      <x v="4"/>
    </i>
    <i>
      <x v="86"/>
      <x v="178"/>
      <x v="138"/>
      <x/>
      <x v="4"/>
    </i>
    <i>
      <x v="87"/>
      <x v="60"/>
      <x v="60"/>
      <x/>
      <x v="4"/>
    </i>
    <i>
      <x v="88"/>
      <x v="165"/>
      <x v="54"/>
      <x/>
      <x v="4"/>
    </i>
    <i>
      <x v="94"/>
      <x v="111"/>
      <x v="112"/>
      <x/>
      <x v="4"/>
    </i>
    <i>
      <x v="95"/>
      <x v="55"/>
      <x v="65"/>
      <x/>
      <x v="4"/>
    </i>
    <i>
      <x v="99"/>
      <x v="88"/>
      <x v="6"/>
      <x/>
      <x v="4"/>
    </i>
    <i>
      <x v="100"/>
      <x v="87"/>
      <x v="171"/>
      <x/>
      <x v="4"/>
    </i>
    <i>
      <x v="101"/>
      <x v="90"/>
      <x v="171"/>
      <x/>
      <x v="4"/>
    </i>
    <i>
      <x v="102"/>
      <x v="92"/>
      <x v="171"/>
      <x/>
      <x v="4"/>
    </i>
    <i>
      <x v="103"/>
      <x v="93"/>
      <x v="171"/>
      <x/>
      <x v="4"/>
    </i>
    <i>
      <x v="104"/>
      <x v="89"/>
      <x v="171"/>
      <x/>
      <x v="4"/>
    </i>
    <i>
      <x v="105"/>
      <x v="94"/>
      <x v="171"/>
      <x/>
      <x v="4"/>
    </i>
    <i>
      <x v="106"/>
      <x v="91"/>
      <x v="171"/>
      <x/>
      <x v="4"/>
    </i>
    <i>
      <x v="109"/>
      <x v="100"/>
      <x v="18"/>
      <x/>
      <x v="4"/>
    </i>
    <i>
      <x v="110"/>
      <x v="84"/>
      <x v="171"/>
      <x/>
      <x v="4"/>
    </i>
    <i>
      <x v="111"/>
      <x v="81"/>
      <x v="10"/>
      <x/>
      <x v="4"/>
    </i>
    <i>
      <x v="112"/>
      <x v="80"/>
      <x v="171"/>
      <x/>
      <x v="4"/>
    </i>
    <i>
      <x v="114"/>
      <x v="83"/>
      <x v="171"/>
      <x/>
      <x v="4"/>
    </i>
    <i>
      <x v="115"/>
      <x v="146"/>
      <x v="26"/>
      <x/>
      <x v="4"/>
    </i>
    <i>
      <x v="117"/>
      <x v="54"/>
      <x v="66"/>
      <x/>
      <x v="1"/>
    </i>
    <i>
      <x v="118"/>
      <x v="206"/>
      <x v="167"/>
      <x v="1"/>
      <x/>
    </i>
    <i>
      <x v="119"/>
      <x v="200"/>
      <x v="160"/>
      <x v="1"/>
      <x v="4"/>
    </i>
    <i>
      <x v="120"/>
      <x v="240"/>
      <x v="41"/>
      <x v="1"/>
      <x v="4"/>
    </i>
    <i>
      <x v="121"/>
      <x v="170"/>
      <x v="34"/>
      <x v="1"/>
      <x v="4"/>
    </i>
    <i>
      <x v="124"/>
      <x v="212"/>
      <x v="165"/>
      <x/>
      <x v="4"/>
    </i>
    <i>
      <x v="125"/>
      <x v="145"/>
      <x v="24"/>
      <x/>
      <x v="4"/>
    </i>
    <i>
      <x v="129"/>
      <x v="14"/>
      <x v="70"/>
      <x/>
      <x v="3"/>
    </i>
    <i>
      <x v="131"/>
      <x v="125"/>
      <x v="171"/>
      <x v="1"/>
      <x v="4"/>
    </i>
    <i>
      <x v="136"/>
      <x v="215"/>
      <x v="133"/>
      <x v="1"/>
      <x v="1"/>
    </i>
    <i>
      <x v="137"/>
      <x v="197"/>
      <x v="171"/>
      <x v="1"/>
      <x v="4"/>
    </i>
    <i>
      <x v="138"/>
      <x v="216"/>
      <x v="202"/>
      <x v="1"/>
      <x v="4"/>
    </i>
    <i>
      <x v="139"/>
      <x v="205"/>
      <x v="163"/>
      <x/>
      <x v="4"/>
    </i>
    <i>
      <x v="141"/>
      <x v="171"/>
      <x v="40"/>
      <x v="1"/>
      <x v="4"/>
    </i>
    <i>
      <x v="142"/>
      <x v="174"/>
      <x v="171"/>
      <x v="1"/>
      <x v="4"/>
    </i>
    <i>
      <x v="143"/>
      <x v="126"/>
      <x v="40"/>
      <x v="1"/>
      <x v="4"/>
    </i>
    <i>
      <x v="146"/>
      <x v="219"/>
      <x v="78"/>
      <x/>
      <x v="4"/>
    </i>
    <i>
      <x v="151"/>
      <x v="77"/>
      <x v="28"/>
      <x/>
      <x/>
    </i>
    <i>
      <x v="152"/>
      <x v="217"/>
      <x v="168"/>
      <x v="1"/>
      <x v="6"/>
    </i>
    <i>
      <x v="154"/>
      <x v="185"/>
      <x v="120"/>
      <x/>
      <x v="4"/>
    </i>
    <i>
      <x v="157"/>
      <x v="78"/>
      <x v="7"/>
      <x/>
      <x/>
    </i>
    <i>
      <x v="158"/>
      <x v="79"/>
      <x v="8"/>
      <x/>
      <x v="4"/>
    </i>
    <i>
      <x v="160"/>
      <x v="56"/>
      <x v="67"/>
      <x/>
      <x v="3"/>
    </i>
    <i>
      <x v="166"/>
      <x v="96"/>
      <x v="171"/>
      <x/>
      <x v="4"/>
    </i>
    <i>
      <x v="168"/>
      <x v="62"/>
      <x v="97"/>
      <x/>
      <x v="4"/>
    </i>
    <i>
      <x v="173"/>
      <x v="23"/>
      <x v="98"/>
      <x/>
      <x v="3"/>
    </i>
    <i>
      <x v="176"/>
      <x v="102"/>
      <x v="171"/>
      <x/>
      <x v="4"/>
    </i>
    <i>
      <x v="177"/>
      <x v="151"/>
      <x v="22"/>
      <x/>
      <x/>
    </i>
    <i>
      <x v="178"/>
      <x v="98"/>
      <x v="171"/>
      <x/>
      <x v="4"/>
    </i>
    <i>
      <x v="187"/>
      <x v="184"/>
      <x v="171"/>
      <x/>
      <x v="4"/>
    </i>
    <i>
      <x v="189"/>
      <x v="187"/>
      <x v="171"/>
      <x/>
      <x v="4"/>
    </i>
    <i>
      <x v="191"/>
      <x v="52"/>
      <x v="44"/>
      <x/>
      <x v="3"/>
    </i>
    <i>
      <x v="192"/>
      <x v="104"/>
      <x v="171"/>
      <x/>
      <x v="4"/>
    </i>
    <i>
      <x v="193"/>
      <x v="57"/>
      <x v="90"/>
      <x/>
      <x v="4"/>
    </i>
    <i>
      <x v="199"/>
      <x v="189"/>
      <x v="50"/>
      <x/>
      <x v="3"/>
    </i>
    <i>
      <x v="200"/>
      <x v="95"/>
      <x v="171"/>
      <x/>
      <x v="4"/>
    </i>
    <i>
      <x v="201"/>
      <x v="176"/>
      <x v="171"/>
      <x/>
      <x v="4"/>
    </i>
    <i>
      <x v="204"/>
      <x v="33"/>
      <x v="104"/>
      <x/>
      <x/>
    </i>
    <i>
      <x v="205"/>
      <x v="153"/>
      <x v="4"/>
      <x/>
      <x v="2"/>
    </i>
    <i>
      <x v="208"/>
      <x v="41"/>
      <x v="171"/>
      <x/>
      <x v="4"/>
    </i>
    <i>
      <x v="209"/>
      <x v="143"/>
      <x v="171"/>
      <x/>
      <x v="4"/>
    </i>
    <i>
      <x v="210"/>
      <x v="19"/>
      <x v="81"/>
      <x/>
      <x v="3"/>
    </i>
    <i>
      <x v="213"/>
      <x v="168"/>
      <x v="9"/>
      <x/>
      <x v="4"/>
    </i>
    <i>
      <x v="215"/>
      <x v="227"/>
      <x v="186"/>
      <x/>
      <x/>
    </i>
    <i>
      <x v="218"/>
      <x v="32"/>
      <x v="94"/>
      <x/>
      <x v="4"/>
    </i>
    <i>
      <x v="219"/>
      <x v="31"/>
      <x v="171"/>
      <x/>
      <x v="4"/>
    </i>
    <i>
      <x v="220"/>
      <x v="110"/>
      <x v="113"/>
      <x v="1"/>
      <x v="2"/>
    </i>
    <i>
      <x v="223"/>
      <x v="105"/>
      <x v="146"/>
      <x v="1"/>
      <x/>
    </i>
    <i>
      <x v="226"/>
      <x v="232"/>
      <x v="193"/>
      <x/>
      <x v="4"/>
    </i>
    <i>
      <x v="228"/>
      <x v="234"/>
      <x v="36"/>
      <x/>
      <x v="4"/>
    </i>
    <i>
      <x v="231"/>
      <x v="237"/>
      <x v="184"/>
      <x/>
      <x v="4"/>
    </i>
    <i>
      <x v="233"/>
      <x v="239"/>
      <x v="186"/>
      <x/>
      <x v="4"/>
    </i>
    <i>
      <x v="234"/>
      <x v="244"/>
      <x v="189"/>
      <x/>
      <x v="4"/>
    </i>
    <i>
      <x v="237"/>
      <x v="243"/>
      <x v="171"/>
      <x/>
      <x v="6"/>
    </i>
    <i>
      <x v="238"/>
      <x v="247"/>
      <x v="194"/>
      <x/>
      <x v="4"/>
    </i>
    <i>
      <x v="240"/>
      <x v="249"/>
      <x v="195"/>
      <x/>
      <x v="4"/>
    </i>
    <i>
      <x v="242"/>
      <x v="251"/>
      <x v="195"/>
      <x/>
      <x v="4"/>
    </i>
    <i>
      <x v="245"/>
      <x v="254"/>
      <x v="198"/>
      <x/>
      <x v="4"/>
    </i>
    <i>
      <x v="246"/>
      <x v="255"/>
      <x v="171"/>
      <x/>
      <x v="4"/>
    </i>
    <i>
      <x v="247"/>
      <x v="256"/>
      <x v="171"/>
      <x/>
      <x v="4"/>
    </i>
    <i>
      <x v="248"/>
      <x v="257"/>
      <x v="171"/>
      <x/>
      <x v="4"/>
    </i>
    <i>
      <x v="250"/>
      <x v="259"/>
      <x v="171"/>
      <x/>
      <x v="4"/>
    </i>
    <i>
      <x v="251"/>
      <x v="260"/>
      <x v="171"/>
      <x/>
      <x v="4"/>
    </i>
    <i>
      <x v="252"/>
      <x v="261"/>
      <x v="171"/>
      <x/>
      <x v="4"/>
    </i>
    <i>
      <x v="253"/>
      <x v="262"/>
      <x v="171"/>
      <x/>
      <x v="4"/>
    </i>
    <i>
      <x v="254"/>
      <x v="263"/>
      <x v="171"/>
      <x/>
      <x v="4"/>
    </i>
    <i>
      <x v="255"/>
      <x v="264"/>
      <x v="171"/>
      <x/>
      <x v="4"/>
    </i>
    <i>
      <x v="256"/>
      <x v="265"/>
      <x v="171"/>
      <x/>
      <x v="4"/>
    </i>
    <i>
      <x v="257"/>
      <x v="266"/>
      <x v="171"/>
      <x/>
      <x v="4"/>
    </i>
    <i>
      <x v="258"/>
      <x v="267"/>
      <x v="171"/>
      <x/>
      <x v="4"/>
    </i>
    <i>
      <x v="259"/>
      <x v="268"/>
      <x v="171"/>
      <x/>
      <x v="4"/>
    </i>
    <i>
      <x v="260"/>
      <x v="269"/>
      <x v="171"/>
      <x/>
      <x v="4"/>
    </i>
    <i>
      <x v="269"/>
      <x v="279"/>
      <x v="171"/>
      <x/>
      <x v="6"/>
    </i>
    <i>
      <x v="274"/>
      <x v="282"/>
      <x v="171"/>
      <x/>
      <x v="4"/>
    </i>
    <i>
      <x v="275"/>
      <x v="284"/>
      <x v="171"/>
      <x/>
      <x v="6"/>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0.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3" firstHeaderRow="1" firstDataRow="1" firstDataCol="4" rowPageCount="1" colPageCount="1"/>
  <pivotFields count="24">
    <pivotField compact="0" outline="0" showAll="0" defaultSubtotal="0"/>
    <pivotField axis="axisRow" compact="0" outline="0" showAll="0" defaultSubtotal="0">
      <items count="18">
        <item h="1" x="10"/>
        <item h="1" x="13"/>
        <item h="1" x="8"/>
        <item h="1" x="15"/>
        <item h="1" x="0"/>
        <item h="1" x="14"/>
        <item h="1" x="11"/>
        <item h="1" x="5"/>
        <item x="6"/>
        <item h="1" x="17"/>
        <item h="1" x="7"/>
        <item h="1" x="2"/>
        <item h="1" x="4"/>
        <item h="1" x="9"/>
        <item h="1" x="12"/>
        <item h="1" x="16"/>
        <item h="1" x="3"/>
        <item h="1" x="1"/>
      </items>
    </pivotField>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10"/>
        <item x="111"/>
        <item x="84"/>
        <item x="68"/>
        <item x="20"/>
        <item x="66"/>
        <item x="67"/>
        <item x="23"/>
        <item x="27"/>
        <item x="24"/>
        <item x="6"/>
        <item x="112"/>
        <item x="42"/>
        <item x="75"/>
        <item x="37"/>
        <item x="85"/>
        <item x="100"/>
        <item x="56"/>
        <item x="113"/>
        <item x="43"/>
        <item x="115"/>
        <item x="53"/>
        <item x="116"/>
        <item x="118"/>
        <item x="119"/>
        <item x="101"/>
        <item x="102"/>
        <item x="86"/>
        <item x="32"/>
        <item x="103"/>
        <item x="55"/>
        <item x="26"/>
        <item x="28"/>
        <item x="69"/>
        <item x="29"/>
        <item x="104"/>
        <item x="74"/>
        <item x="34"/>
        <item x="124"/>
        <item x="1"/>
        <item x="125"/>
        <item x="126"/>
        <item x="87"/>
        <item x="0"/>
        <item x="3"/>
        <item x="45"/>
        <item x="50"/>
        <item x="127"/>
        <item x="105"/>
        <item x="76"/>
        <item x="106"/>
        <item x="107"/>
        <item x="30"/>
        <item x="128"/>
        <item x="5"/>
        <item x="108"/>
        <item x="77"/>
        <item x="129"/>
        <item x="31"/>
        <item x="21"/>
        <item x="89"/>
        <item x="80"/>
        <item x="131"/>
        <item x="109"/>
        <item x="132"/>
        <item x="78"/>
        <item x="110"/>
        <item x="114"/>
        <item x="117"/>
        <item x="134"/>
        <item x="71"/>
        <item x="120"/>
        <item x="18"/>
        <item x="135"/>
        <item x="121"/>
        <item x="122"/>
        <item x="72"/>
        <item x="123"/>
        <item x="90"/>
        <item x="51"/>
        <item x="91"/>
        <item x="7"/>
        <item x="33"/>
        <item x="2"/>
        <item x="16"/>
        <item x="17"/>
        <item x="81"/>
        <item x="52"/>
        <item x="25"/>
        <item x="46"/>
        <item x="79"/>
        <item x="12"/>
        <item x="92"/>
        <item x="9"/>
        <item x="136"/>
        <item x="98"/>
        <item x="35"/>
        <item x="58"/>
        <item x="40"/>
        <item x="137"/>
        <item x="138"/>
        <item x="59"/>
        <item x="139"/>
        <item x="93"/>
        <item x="47"/>
        <item x="141"/>
        <item x="48"/>
        <item x="49"/>
        <item x="73"/>
        <item x="142"/>
        <item x="94"/>
        <item x="140"/>
        <item x="143"/>
        <item x="99"/>
        <item x="144"/>
        <item x="95"/>
        <item x="145"/>
        <item x="96"/>
        <item x="146"/>
        <item x="147"/>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72"/>
        <item x="140"/>
        <item x="73"/>
        <item x="94"/>
        <item x="45"/>
        <item x="3"/>
        <item x="40"/>
        <item x="27"/>
        <item x="9"/>
        <item x="29"/>
        <item x="15"/>
        <item x="78"/>
        <item x="113"/>
        <item x="96"/>
        <item x="135"/>
        <item x="93"/>
        <item x="80"/>
        <item x="131"/>
        <item x="128"/>
        <item x="91"/>
        <item x="76"/>
        <item x="126"/>
        <item x="77"/>
        <item x="137"/>
        <item x="138"/>
        <item x="74"/>
        <item x="34"/>
        <item x="104"/>
        <item x="33"/>
        <item x="35"/>
        <item x="108"/>
        <item x="102"/>
        <item x="122"/>
        <item x="139"/>
        <item x="90"/>
        <item x="89"/>
        <item x="129"/>
        <item x="121"/>
        <item x="145"/>
        <item x="23"/>
        <item x="20"/>
        <item x="37"/>
        <item x="95"/>
        <item x="125"/>
        <item x="53"/>
        <item x="56"/>
        <item x="42"/>
        <item x="16"/>
        <item x="32"/>
        <item x="66"/>
        <item x="51"/>
        <item x="30"/>
        <item x="107"/>
        <item x="124"/>
        <item x="123"/>
        <item x="52"/>
        <item x="2"/>
        <item x="69"/>
        <item x="84"/>
        <item x="24"/>
        <item x="22"/>
        <item x="83"/>
        <item x="28"/>
        <item x="92"/>
        <item x="98"/>
        <item x="99"/>
        <item x="143"/>
        <item x="68"/>
        <item x="10"/>
        <item x="85"/>
        <item x="71"/>
        <item x="81"/>
        <item x="111"/>
        <item x="26"/>
        <item x="86"/>
        <item x="132"/>
        <item x="134"/>
        <item x="17"/>
        <item x="50"/>
        <item x="127"/>
        <item x="142"/>
        <item x="67"/>
        <item x="114"/>
        <item x="110"/>
        <item x="109"/>
        <item x="117"/>
        <item x="5"/>
        <item x="100"/>
        <item x="120"/>
        <item x="116"/>
        <item x="118"/>
        <item x="11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9"/>
  </rowFields>
  <rowItems count="20">
    <i>
      <x v="8"/>
      <x/>
      <x v="21"/>
      <x v="41"/>
    </i>
    <i r="2">
      <x v="37"/>
      <x v="38"/>
    </i>
    <i r="2">
      <x v="89"/>
      <x v="100"/>
    </i>
    <i r="2">
      <x v="96"/>
      <x v="37"/>
    </i>
    <i r="2">
      <x v="120"/>
      <x v="42"/>
    </i>
    <i r="1">
      <x v="3"/>
      <x v="26"/>
      <x v="119"/>
    </i>
    <i r="2">
      <x v="27"/>
      <x v="120"/>
    </i>
    <i r="2">
      <x v="129"/>
      <x v="127"/>
    </i>
    <i r="1">
      <x v="4"/>
      <x v="54"/>
      <x v="81"/>
    </i>
    <i r="2">
      <x v="59"/>
      <x v="51"/>
    </i>
    <i r="1">
      <x v="8"/>
      <x v="52"/>
      <x v="49"/>
    </i>
    <i r="2">
      <x v="64"/>
      <x v="45"/>
    </i>
    <i r="1">
      <x v="9"/>
      <x v="125"/>
      <x v="123"/>
    </i>
    <i r="2">
      <x v="126"/>
      <x v="124"/>
    </i>
    <i r="2">
      <x v="139"/>
      <x v="137"/>
    </i>
    <i r="1">
      <x v="11"/>
      <x v="127"/>
      <x v="125"/>
    </i>
    <i r="2">
      <x v="128"/>
      <x v="126"/>
    </i>
    <i r="1">
      <x v="13"/>
      <x v="102"/>
      <x v="52"/>
    </i>
    <i r="1">
      <x v="14"/>
      <x v="118"/>
      <x v="71"/>
    </i>
    <i r="1">
      <x v="16"/>
      <x v="135"/>
      <x v="133"/>
    </i>
  </rowItems>
  <colItems count="1">
    <i/>
  </colItems>
  <pageFields count="1">
    <pageField fld="20"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7" cacheId="18"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B8:I203" firstHeaderRow="0" firstDataRow="1" firstDataCol="6" rowPageCount="2" colPageCount="1"/>
  <pivotFields count="31">
    <pivotField axis="axisPage" compact="0" outline="0" multipleItemSelectionAllowed="1" showAll="0">
      <items count="5">
        <item h="1" x="1"/>
        <item x="0"/>
        <item h="1" x="3"/>
        <item h="1" x="2"/>
        <item t="default"/>
      </items>
    </pivotField>
    <pivotField axis="axisRow" compact="0" outline="0" showAll="0">
      <items count="4">
        <item x="0"/>
        <item x="1"/>
        <item x="2"/>
        <item t="default"/>
      </items>
    </pivotField>
    <pivotField compact="0" outline="0" showAll="0" defaultSubtotal="0"/>
    <pivotField compact="0" outline="0" showAll="0"/>
    <pivotField compact="0" outline="0" showAll="0" defaultSubtotal="0"/>
    <pivotField axis="axisRow" compact="0" outline="0" showAll="0">
      <items count="25">
        <item x="3"/>
        <item x="2"/>
        <item x="10"/>
        <item x="21"/>
        <item x="12"/>
        <item x="11"/>
        <item x="17"/>
        <item x="14"/>
        <item x="5"/>
        <item x="18"/>
        <item x="8"/>
        <item x="9"/>
        <item x="4"/>
        <item x="20"/>
        <item x="0"/>
        <item x="16"/>
        <item x="19"/>
        <item x="7"/>
        <item x="6"/>
        <item x="13"/>
        <item x="1"/>
        <item x="22"/>
        <item x="15"/>
        <item x="23"/>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300">
        <item x="139"/>
        <item x="147"/>
        <item x="123"/>
        <item x="37"/>
        <item x="130"/>
        <item x="135"/>
        <item x="141"/>
        <item x="144"/>
        <item x="138"/>
        <item x="86"/>
        <item x="177"/>
        <item x="178"/>
        <item x="176"/>
        <item x="128"/>
        <item x="153"/>
        <item x="140"/>
        <item x="107"/>
        <item x="75"/>
        <item x="112"/>
        <item x="74"/>
        <item x="82"/>
        <item x="35"/>
        <item x="131"/>
        <item x="129"/>
        <item x="106"/>
        <item x="148"/>
        <item x="152"/>
        <item x="257"/>
        <item x="43"/>
        <item x="24"/>
        <item x="76"/>
        <item x="118"/>
        <item x="136"/>
        <item x="154"/>
        <item x="121"/>
        <item x="241"/>
        <item x="251"/>
        <item x="266"/>
        <item x="103"/>
        <item x="39"/>
        <item x="157"/>
        <item x="179"/>
        <item x="13"/>
        <item x="15"/>
        <item x="99"/>
        <item x="45"/>
        <item x="155"/>
        <item x="245"/>
        <item x="225"/>
        <item x="226"/>
        <item x="10"/>
        <item x="67"/>
        <item x="71"/>
        <item x="166"/>
        <item x="42"/>
        <item x="109"/>
        <item x="117"/>
        <item x="127"/>
        <item x="262"/>
        <item x="11"/>
        <item x="149"/>
        <item x="132"/>
        <item x="122"/>
        <item x="36"/>
        <item x="59"/>
        <item x="53"/>
        <item x="58"/>
        <item x="124"/>
        <item x="101"/>
        <item x="183"/>
        <item x="22"/>
        <item x="85"/>
        <item x="61"/>
        <item x="27"/>
        <item x="25"/>
        <item x="264"/>
        <item x="263"/>
        <item x="278"/>
        <item x="12"/>
        <item x="48"/>
        <item x="7"/>
        <item x="174"/>
        <item x="175"/>
        <item x="60"/>
        <item x="163"/>
        <item x="115"/>
        <item x="114"/>
        <item x="116"/>
        <item x="111"/>
        <item x="55"/>
        <item x="223"/>
        <item x="229"/>
        <item x="49"/>
        <item x="88"/>
        <item x="87"/>
        <item x="90"/>
        <item x="92"/>
        <item x="93"/>
        <item x="89"/>
        <item x="94"/>
        <item x="91"/>
        <item x="16"/>
        <item x="17"/>
        <item x="100"/>
        <item x="84"/>
        <item x="81"/>
        <item x="80"/>
        <item x="70"/>
        <item x="83"/>
        <item x="146"/>
        <item x="46"/>
        <item x="54"/>
        <item x="243"/>
        <item x="237"/>
        <item x="203"/>
        <item x="167"/>
        <item x="221"/>
        <item x="249"/>
        <item x="145"/>
        <item x="38"/>
        <item x="14"/>
        <item x="47"/>
        <item x="125"/>
        <item x="220"/>
        <item x="216"/>
        <item x="218"/>
        <item x="252"/>
        <item x="234"/>
        <item x="253"/>
        <item x="242"/>
        <item x="222"/>
        <item x="168"/>
        <item x="171"/>
        <item x="126"/>
        <item x="137"/>
        <item x="224"/>
        <item x="256"/>
        <item x="20"/>
        <item x="44"/>
        <item x="72"/>
        <item x="77"/>
        <item x="254"/>
        <item x="68"/>
        <item x="182"/>
        <item x="29"/>
        <item x="273"/>
        <item x="78"/>
        <item x="79"/>
        <item x="113"/>
        <item x="56"/>
        <item x="1"/>
        <item x="63"/>
        <item x="120"/>
        <item x="108"/>
        <item x="158"/>
        <item x="96"/>
        <item x="142"/>
        <item x="62"/>
        <item x="119"/>
        <item x="28"/>
        <item x="21"/>
        <item x="26"/>
        <item x="23"/>
        <item x="133"/>
        <item x="270"/>
        <item x="102"/>
        <item x="150"/>
        <item x="98"/>
        <item x="64"/>
        <item x="5"/>
        <item x="6"/>
        <item x="265"/>
        <item x="50"/>
        <item x="51"/>
        <item x="8"/>
        <item x="181"/>
        <item x="69"/>
        <item x="184"/>
        <item x="156"/>
        <item x="52"/>
        <item x="104"/>
        <item x="57"/>
        <item x="0"/>
        <item x="3"/>
        <item x="2"/>
        <item x="4"/>
        <item x="30"/>
        <item x="95"/>
        <item x="173"/>
        <item x="65"/>
        <item x="34"/>
        <item x="33"/>
        <item x="151"/>
        <item x="134"/>
        <item x="271"/>
        <item x="41"/>
        <item x="143"/>
        <item x="19"/>
        <item x="40"/>
        <item x="73"/>
        <item x="165"/>
        <item x="228"/>
        <item x="159"/>
        <item x="160"/>
        <item x="186"/>
        <item x="188"/>
        <item x="161"/>
        <item x="230"/>
        <item x="231"/>
        <item x="162"/>
        <item x="233"/>
        <item x="164"/>
        <item x="232"/>
        <item x="169"/>
        <item x="235"/>
        <item x="193"/>
        <item x="170"/>
        <item x="172"/>
        <item x="32"/>
        <item x="31"/>
        <item x="110"/>
        <item x="97"/>
        <item x="18"/>
        <item x="105"/>
        <item x="180"/>
        <item x="236"/>
        <item x="197"/>
        <item x="185"/>
        <item x="199"/>
        <item x="187"/>
        <item x="189"/>
        <item x="202"/>
        <item x="267"/>
        <item x="204"/>
        <item x="269"/>
        <item x="239"/>
        <item x="238"/>
        <item x="268"/>
        <item x="272"/>
        <item x="244"/>
        <item x="205"/>
        <item x="190"/>
        <item x="207"/>
        <item x="191"/>
        <item x="192"/>
        <item x="274"/>
        <item x="275"/>
        <item x="276"/>
        <item x="277"/>
        <item x="246"/>
        <item x="279"/>
        <item x="280"/>
        <item x="281"/>
        <item x="282"/>
        <item x="283"/>
        <item x="284"/>
        <item x="285"/>
        <item x="286"/>
        <item x="287"/>
        <item x="288"/>
        <item x="289"/>
        <item x="247"/>
        <item x="248"/>
        <item x="250"/>
        <item x="255"/>
        <item x="194"/>
        <item x="290"/>
        <item x="195"/>
        <item x="259"/>
        <item x="214"/>
        <item x="200"/>
        <item x="9"/>
        <item x="201"/>
        <item x="66"/>
        <item x="217"/>
        <item x="219"/>
        <item x="260"/>
        <item x="206"/>
        <item x="240"/>
        <item x="227"/>
        <item x="297"/>
        <item x="208"/>
        <item x="291"/>
        <item x="292"/>
        <item x="210"/>
        <item x="212"/>
        <item x="294"/>
        <item x="213"/>
        <item x="215"/>
        <item x="198"/>
        <item x="209"/>
        <item x="293"/>
        <item x="296"/>
        <item x="295"/>
        <item x="211"/>
        <item x="196"/>
        <item x="261"/>
        <item x="298"/>
        <item x="258"/>
        <item x="299"/>
      </items>
    </pivotField>
    <pivotField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219"/>
        <item x="237"/>
        <item x="221"/>
        <item x="223"/>
        <item x="240"/>
        <item x="224"/>
        <item x="225"/>
        <item x="226"/>
        <item x="244"/>
        <item x="245"/>
        <item x="246"/>
        <item x="227"/>
        <item x="248"/>
        <item x="228"/>
        <item x="229"/>
        <item x="230"/>
        <item x="252"/>
        <item x="231"/>
        <item x="254"/>
        <item x="255"/>
        <item x="256"/>
        <item x="257"/>
        <item x="232"/>
        <item x="259"/>
        <item x="260"/>
        <item x="261"/>
        <item x="161"/>
        <item x="189"/>
        <item x="162"/>
        <item x="191"/>
        <item x="163"/>
        <item x="233"/>
        <item x="234"/>
        <item x="235"/>
        <item x="164"/>
        <item x="236"/>
        <item x="167"/>
        <item x="172"/>
        <item x="238"/>
        <item x="196"/>
        <item x="173"/>
        <item x="175"/>
        <item x="239"/>
        <item x="183"/>
        <item x="200"/>
        <item x="188"/>
        <item x="202"/>
        <item x="190"/>
        <item x="192"/>
        <item x="205"/>
        <item x="270"/>
        <item x="207"/>
        <item x="206"/>
        <item x="300"/>
        <item x="241"/>
        <item x="271"/>
        <item x="272"/>
        <item x="242"/>
        <item x="243"/>
        <item x="275"/>
        <item x="247"/>
        <item x="208"/>
        <item x="193"/>
        <item x="210"/>
        <item x="194"/>
        <item x="195"/>
        <item x="277"/>
        <item x="278"/>
        <item x="279"/>
        <item x="280"/>
        <item x="249"/>
        <item x="282"/>
        <item x="283"/>
        <item x="284"/>
        <item x="285"/>
        <item x="286"/>
        <item x="287"/>
        <item x="288"/>
        <item x="289"/>
        <item x="290"/>
        <item x="291"/>
        <item x="292"/>
        <item x="250"/>
        <item x="251"/>
        <item x="253"/>
        <item x="258"/>
        <item x="197"/>
        <item x="293"/>
        <item x="198"/>
        <item x="262"/>
        <item x="199"/>
        <item x="217"/>
        <item x="201"/>
        <item x="203"/>
        <item x="220"/>
        <item x="204"/>
        <item x="222"/>
        <item x="209"/>
        <item x="263"/>
        <item x="211"/>
        <item x="294"/>
        <item x="212"/>
        <item x="295"/>
        <item x="296"/>
        <item x="213"/>
        <item x="214"/>
        <item x="215"/>
        <item x="297"/>
        <item x="298"/>
        <item x="216"/>
        <item x="218"/>
        <item x="299"/>
        <item x="264"/>
        <item x="301"/>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3">
        <item x="0"/>
        <item x="1"/>
        <item x="2"/>
      </items>
    </pivotField>
    <pivotField axis="axisPage" compact="0" outline="0" multipleItemSelectionAllowed="1" showAll="0" defaultSubtotal="0">
      <items count="2">
        <item x="0"/>
        <item x="1"/>
      </items>
    </pivotField>
    <pivotField compact="0" outline="0" showAll="0" defaultSubtotal="0"/>
    <pivotField compact="0" outline="0" showAll="0" defaultSubtotal="0">
      <items count="5">
        <item x="3"/>
        <item x="1"/>
        <item x="0"/>
        <item x="2"/>
        <item x="4"/>
      </items>
    </pivotField>
    <pivotField compact="0" outline="0" showAll="0" defaultSubtotal="0"/>
    <pivotField axis="axisRow" compact="0" outline="0" showAll="0" defaultSubtotal="0">
      <items count="7">
        <item x="0"/>
        <item x="5"/>
        <item x="3"/>
        <item x="2"/>
        <item n=" " x="4"/>
        <item x="6"/>
        <item x="1"/>
      </items>
    </pivotField>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s>
  <rowFields count="6">
    <field x="1"/>
    <field x="5"/>
    <field x="11"/>
    <field x="12"/>
    <field x="24"/>
    <field x="19"/>
  </rowFields>
  <rowItems count="195">
    <i>
      <x/>
      <x/>
      <x v="3"/>
      <x v="47"/>
      <x v="1"/>
      <x/>
    </i>
    <i r="2">
      <x v="7"/>
      <x v="161"/>
      <x/>
      <x/>
    </i>
    <i r="2">
      <x v="34"/>
      <x v="134"/>
      <x v="6"/>
      <x/>
    </i>
    <i r="2">
      <x v="39"/>
      <x v="49"/>
      <x/>
      <x/>
    </i>
    <i r="2">
      <x v="63"/>
      <x v="46"/>
      <x v="3"/>
      <x/>
    </i>
    <i r="2">
      <x v="119"/>
      <x v="48"/>
      <x v="3"/>
      <x/>
    </i>
    <i r="2">
      <x v="138"/>
      <x v="51"/>
      <x v="1"/>
      <x/>
    </i>
    <i r="2">
      <x v="156"/>
      <x v="160"/>
      <x/>
      <x/>
    </i>
    <i r="2">
      <x v="164"/>
      <x v="44"/>
      <x/>
      <x/>
    </i>
    <i r="2">
      <x v="198"/>
      <x v="50"/>
      <x v="3"/>
      <x/>
    </i>
    <i t="default" r="1">
      <x/>
    </i>
    <i r="1">
      <x v="1"/>
      <x v="21"/>
      <x v="39"/>
      <x v="3"/>
      <x/>
    </i>
    <i r="2">
      <x v="37"/>
      <x v="40"/>
      <x/>
      <x v="1"/>
    </i>
    <i r="2">
      <x v="60"/>
      <x v="162"/>
      <x v="3"/>
      <x/>
    </i>
    <i r="2">
      <x v="154"/>
      <x v="175"/>
      <x v="2"/>
      <x/>
    </i>
    <i r="2">
      <x v="203"/>
      <x v="216"/>
      <x v="2"/>
      <x/>
    </i>
    <i t="default" r="1">
      <x v="1"/>
    </i>
    <i r="1">
      <x v="2"/>
      <x v="2"/>
      <x v="136"/>
      <x v="2"/>
      <x/>
    </i>
    <i r="2">
      <x v="4"/>
      <x v="144"/>
      <x v="3"/>
      <x/>
    </i>
    <i r="2">
      <x v="5"/>
      <x v="157"/>
      <x v="3"/>
      <x/>
    </i>
    <i r="2">
      <x v="13"/>
      <x v="137"/>
      <x/>
      <x/>
    </i>
    <i r="2">
      <x v="19"/>
      <x v="103"/>
      <x v="6"/>
      <x/>
    </i>
    <i r="2">
      <x v="23"/>
      <x v="142"/>
      <x v="3"/>
      <x/>
    </i>
    <i r="2">
      <x v="31"/>
      <x v="129"/>
      <x/>
      <x/>
    </i>
    <i r="2">
      <x v="32"/>
      <x v="158"/>
      <x v="6"/>
      <x/>
    </i>
    <i r="2">
      <x v="61"/>
      <x v="149"/>
      <x v="3"/>
      <x/>
    </i>
    <i r="2">
      <x v="62"/>
      <x v="135"/>
      <x v="3"/>
      <x/>
    </i>
    <i r="2">
      <x v="107"/>
      <x v="85"/>
      <x v="6"/>
      <x/>
    </i>
    <i r="2">
      <x v="134"/>
      <x v="159"/>
      <x v="6"/>
      <x/>
    </i>
    <i r="2">
      <x v="139"/>
      <x v="97"/>
      <x v="2"/>
      <x/>
    </i>
    <i r="2">
      <x v="163"/>
      <x v="150"/>
      <x v="6"/>
      <x/>
    </i>
    <i r="2">
      <x v="193"/>
      <x v="152"/>
      <x/>
      <x/>
    </i>
    <i r="2">
      <x v="199"/>
      <x v="99"/>
      <x/>
      <x/>
    </i>
    <i r="2">
      <x v="211"/>
      <x v="224"/>
      <x/>
      <x/>
    </i>
    <i r="2">
      <x v="241"/>
      <x v="250"/>
      <x/>
      <x/>
    </i>
    <i r="2">
      <x v="243"/>
      <x v="252"/>
      <x v="6"/>
      <x/>
    </i>
    <i r="2">
      <x v="244"/>
      <x v="253"/>
      <x v="2"/>
      <x/>
    </i>
    <i r="2">
      <x v="267"/>
      <x v="276"/>
      <x/>
      <x/>
    </i>
    <i r="2">
      <x v="286"/>
      <x v="295"/>
      <x v="2"/>
      <x/>
    </i>
    <i r="2">
      <x v="287"/>
      <x v="297"/>
      <x v="2"/>
      <x/>
    </i>
    <i t="default" r="1">
      <x v="2"/>
    </i>
    <i r="1">
      <x v="8"/>
      <x v="18"/>
      <x v="119"/>
      <x v="1"/>
      <x v="1"/>
    </i>
    <i r="2">
      <x v="34"/>
      <x v="163"/>
      <x v="6"/>
      <x/>
    </i>
    <i r="2">
      <x v="55"/>
      <x v="118"/>
      <x v="1"/>
      <x v="1"/>
    </i>
    <i r="2">
      <x v="77"/>
      <x v="183"/>
      <x/>
      <x/>
    </i>
    <i r="2">
      <x v="85"/>
      <x v="122"/>
      <x/>
      <x/>
    </i>
    <i r="2">
      <x v="86"/>
      <x v="121"/>
      <x v="1"/>
      <x/>
    </i>
    <i r="2">
      <x v="87"/>
      <x v="123"/>
      <x v="6"/>
      <x/>
    </i>
    <i r="2">
      <x v="92"/>
      <x v="63"/>
      <x/>
      <x/>
    </i>
    <i r="2">
      <x v="202"/>
      <x v="214"/>
      <x v="1"/>
      <x/>
    </i>
    <i r="2">
      <x v="209"/>
      <x v="222"/>
      <x v="1"/>
      <x/>
    </i>
    <i r="2">
      <x v="213"/>
      <x v="225"/>
      <x/>
      <x/>
    </i>
    <i t="default" r="1">
      <x v="8"/>
    </i>
    <i r="1">
      <x v="10"/>
      <x v="51"/>
      <x v="74"/>
      <x/>
      <x/>
    </i>
    <i r="2">
      <x v="142"/>
      <x v="75"/>
      <x/>
      <x/>
    </i>
    <i r="2">
      <x v="227"/>
      <x v="233"/>
      <x/>
      <x/>
    </i>
    <i r="2">
      <x v="273"/>
      <x v="73"/>
      <x/>
      <x/>
    </i>
    <i r="2">
      <x v="281"/>
      <x v="287"/>
      <x v="2"/>
      <x/>
    </i>
    <i r="2">
      <x v="282"/>
      <x v="288"/>
      <x v="2"/>
      <x/>
    </i>
    <i r="2">
      <x v="283"/>
      <x v="290"/>
      <x v="6"/>
      <x/>
    </i>
    <i r="2">
      <x v="290"/>
      <x v="289"/>
      <x/>
      <x/>
    </i>
    <i t="default" r="1">
      <x v="10"/>
    </i>
    <i r="1">
      <x v="11"/>
      <x v="145"/>
      <x v="130"/>
      <x/>
      <x/>
    </i>
    <i r="2">
      <x v="176"/>
      <x v="76"/>
      <x v="2"/>
      <x/>
    </i>
    <i r="2">
      <x v="216"/>
      <x v="228"/>
      <x v="6"/>
      <x/>
    </i>
    <i r="2">
      <x v="217"/>
      <x v="229"/>
      <x v="6"/>
      <x/>
    </i>
    <i t="default" r="1">
      <x v="11"/>
    </i>
    <i r="1">
      <x v="12"/>
      <x v="24"/>
      <x v="116"/>
      <x v="2"/>
      <x v="1"/>
    </i>
    <i r="2">
      <x v="34"/>
      <x v="164"/>
      <x v="6"/>
      <x/>
    </i>
    <i r="2">
      <x v="38"/>
      <x v="115"/>
      <x v="2"/>
      <x v="1"/>
    </i>
    <i r="2">
      <x v="44"/>
      <x v="114"/>
      <x v="2"/>
      <x v="1"/>
    </i>
    <i r="2">
      <x v="46"/>
      <x v="167"/>
      <x v="6"/>
      <x/>
    </i>
    <i r="2">
      <x v="64"/>
      <x v="68"/>
      <x/>
      <x/>
    </i>
    <i r="2">
      <x v="65"/>
      <x v="66"/>
      <x v="1"/>
      <x/>
    </i>
    <i r="2">
      <x v="66"/>
      <x v="67"/>
      <x/>
      <x/>
    </i>
    <i r="2">
      <x v="79"/>
      <x v="59"/>
      <x v="1"/>
      <x/>
    </i>
    <i r="2">
      <x v="110"/>
      <x v="53"/>
      <x/>
      <x/>
    </i>
    <i r="2">
      <x v="121"/>
      <x v="58"/>
      <x v="6"/>
      <x/>
    </i>
    <i r="2">
      <x v="148"/>
      <x v="120"/>
      <x v="1"/>
      <x v="1"/>
    </i>
    <i r="2">
      <x v="151"/>
      <x v="69"/>
      <x/>
      <x/>
    </i>
    <i r="2">
      <x v="153"/>
      <x v="117"/>
      <x v="1"/>
      <x v="1"/>
    </i>
    <i r="2">
      <x v="168"/>
      <x v="70"/>
      <x/>
      <x/>
    </i>
    <i t="default" r="1">
      <x v="12"/>
    </i>
    <i r="1">
      <x v="14"/>
      <x v="42"/>
      <x v="15"/>
      <x/>
      <x/>
    </i>
    <i r="2">
      <x v="43"/>
      <x v="16"/>
      <x v="2"/>
      <x/>
    </i>
    <i r="2">
      <x v="50"/>
      <x v="10"/>
      <x/>
      <x/>
    </i>
    <i r="2">
      <x v="56"/>
      <x v="128"/>
      <x v="6"/>
      <x/>
    </i>
    <i r="2">
      <x v="58"/>
      <x v="12"/>
      <x/>
      <x/>
    </i>
    <i r="2">
      <x v="59"/>
      <x v="11"/>
      <x/>
      <x/>
    </i>
    <i r="2">
      <x v="78"/>
      <x v="13"/>
      <x/>
      <x/>
    </i>
    <i r="2">
      <x v="80"/>
      <x v="7"/>
      <x/>
      <x/>
    </i>
    <i r="2">
      <x v="101"/>
      <x v="17"/>
      <x v="3"/>
      <x/>
    </i>
    <i r="2">
      <x v="102"/>
      <x v="18"/>
      <x v="3"/>
      <x/>
    </i>
    <i r="2">
      <x v="137"/>
      <x v="21"/>
      <x v="2"/>
      <x/>
    </i>
    <i r="2">
      <x v="150"/>
      <x v="1"/>
      <x/>
      <x/>
    </i>
    <i r="2">
      <x v="152"/>
      <x v="133"/>
      <x v="2"/>
      <x/>
    </i>
    <i r="2">
      <x v="169"/>
      <x v="5"/>
      <x/>
      <x/>
    </i>
    <i r="2">
      <x v="170"/>
      <x v="6"/>
      <x v="3"/>
      <x/>
    </i>
    <i r="2">
      <x v="174"/>
      <x v="8"/>
      <x/>
      <x/>
    </i>
    <i r="2">
      <x v="182"/>
      <x/>
      <x/>
      <x/>
    </i>
    <i r="2">
      <x v="183"/>
      <x v="3"/>
      <x v="6"/>
      <x/>
    </i>
    <i r="2">
      <x v="184"/>
      <x v="2"/>
      <x/>
      <x/>
    </i>
    <i r="2">
      <x v="185"/>
      <x v="4"/>
      <x/>
      <x/>
    </i>
    <i r="2">
      <x v="222"/>
      <x v="20"/>
      <x v="3"/>
      <x/>
    </i>
    <i r="2">
      <x v="271"/>
      <x v="9"/>
      <x/>
      <x/>
    </i>
    <i r="2">
      <x v="272"/>
      <x v="283"/>
      <x v="2"/>
      <x/>
    </i>
    <i r="2">
      <x v="284"/>
      <x v="292"/>
      <x v="6"/>
      <x/>
    </i>
    <i r="2">
      <x v="285"/>
      <x v="294"/>
      <x v="6"/>
      <x/>
    </i>
    <i r="2">
      <x v="288"/>
      <x v="298"/>
      <x v="2"/>
      <x/>
    </i>
    <i r="2">
      <x v="291"/>
      <x v="291"/>
      <x/>
      <x/>
    </i>
    <i r="2">
      <x v="294"/>
      <x v="293"/>
      <x/>
      <x/>
    </i>
    <i t="default" r="1">
      <x v="14"/>
    </i>
    <i r="1">
      <x v="17"/>
      <x v="189"/>
      <x v="72"/>
      <x v="6"/>
      <x/>
    </i>
    <i r="2">
      <x v="206"/>
      <x v="218"/>
      <x v="6"/>
      <x/>
    </i>
    <i r="2">
      <x v="224"/>
      <x v="231"/>
      <x/>
      <x/>
    </i>
    <i t="default" r="1">
      <x v="17"/>
    </i>
    <i r="1">
      <x v="18"/>
      <x v="172"/>
      <x v="64"/>
      <x/>
      <x/>
    </i>
    <i r="2">
      <x v="173"/>
      <x v="65"/>
      <x v="1"/>
      <x/>
    </i>
    <i t="default" r="1">
      <x v="18"/>
    </i>
    <i r="1">
      <x v="19"/>
      <x v="178"/>
      <x v="172"/>
      <x v="6"/>
      <x/>
    </i>
    <i r="2">
      <x v="229"/>
      <x v="235"/>
      <x/>
      <x v="1"/>
    </i>
    <i r="2">
      <x v="230"/>
      <x v="236"/>
      <x/>
      <x v="1"/>
    </i>
    <i t="default" r="1">
      <x v="19"/>
    </i>
    <i r="1">
      <x v="20"/>
      <x v="17"/>
      <x v="106"/>
      <x v="2"/>
      <x v="1"/>
    </i>
    <i r="2">
      <x v="29"/>
      <x v="25"/>
      <x v="3"/>
      <x/>
    </i>
    <i r="2">
      <x v="30"/>
      <x v="108"/>
      <x/>
      <x v="1"/>
    </i>
    <i r="2">
      <x v="40"/>
      <x v="173"/>
      <x v="6"/>
      <x v="1"/>
    </i>
    <i r="2">
      <x v="70"/>
      <x v="24"/>
      <x/>
      <x/>
    </i>
    <i r="2">
      <x v="71"/>
      <x v="112"/>
      <x v="2"/>
      <x v="1"/>
    </i>
    <i r="2">
      <x v="73"/>
      <x v="28"/>
      <x v="3"/>
      <x/>
    </i>
    <i r="2">
      <x v="74"/>
      <x v="26"/>
      <x v="2"/>
      <x/>
    </i>
    <i r="2">
      <x v="75"/>
      <x v="37"/>
      <x/>
      <x/>
    </i>
    <i r="2">
      <x v="76"/>
      <x v="36"/>
      <x/>
      <x/>
    </i>
    <i r="2">
      <x v="144"/>
      <x v="30"/>
      <x v="3"/>
      <x/>
    </i>
    <i r="2">
      <x v="158"/>
      <x v="132"/>
      <x v="2"/>
      <x v="1"/>
    </i>
    <i r="2">
      <x v="159"/>
      <x v="29"/>
      <x v="3"/>
      <x/>
    </i>
    <i r="2">
      <x v="160"/>
      <x v="22"/>
      <x/>
      <x/>
    </i>
    <i r="2">
      <x v="161"/>
      <x v="27"/>
      <x v="3"/>
      <x/>
    </i>
    <i r="2">
      <x v="171"/>
      <x v="38"/>
      <x/>
      <x/>
    </i>
    <i r="2">
      <x v="186"/>
      <x v="34"/>
      <x v="3"/>
      <x/>
    </i>
    <i r="2">
      <x v="190"/>
      <x v="35"/>
      <x v="3"/>
      <x/>
    </i>
    <i r="2">
      <x v="194"/>
      <x v="109"/>
      <x v="2"/>
      <x v="1"/>
    </i>
    <i r="2">
      <x v="221"/>
      <x v="113"/>
      <x/>
      <x v="1"/>
    </i>
    <i r="2">
      <x v="265"/>
      <x v="274"/>
      <x v="6"/>
      <x/>
    </i>
    <i r="2">
      <x v="266"/>
      <x v="275"/>
      <x/>
      <x v="1"/>
    </i>
    <i r="2">
      <x v="277"/>
      <x v="285"/>
      <x v="6"/>
      <x/>
    </i>
    <i r="2">
      <x v="293"/>
      <x v="296"/>
      <x/>
      <x/>
    </i>
    <i t="default" r="1">
      <x v="20"/>
    </i>
    <i r="1">
      <x v="22"/>
      <x v="270"/>
      <x v="281"/>
      <x v="2"/>
      <x/>
    </i>
    <i r="2">
      <x v="289"/>
      <x v="280"/>
      <x/>
      <x/>
    </i>
    <i r="2">
      <x v="295"/>
      <x v="278"/>
      <x v="2"/>
      <x/>
    </i>
    <i t="default" r="1">
      <x v="22"/>
    </i>
    <i t="default">
      <x/>
    </i>
    <i>
      <x v="1"/>
      <x v="3"/>
      <x v="225"/>
      <x v="230"/>
      <x/>
      <x/>
    </i>
    <i t="default" r="1">
      <x v="3"/>
    </i>
    <i r="1">
      <x v="6"/>
      <x v="48"/>
      <x v="201"/>
      <x/>
      <x/>
    </i>
    <i r="2">
      <x v="49"/>
      <x v="202"/>
      <x v="5"/>
      <x/>
    </i>
    <i r="2">
      <x v="116"/>
      <x v="193"/>
      <x/>
      <x/>
    </i>
    <i r="2">
      <x v="130"/>
      <x v="194"/>
      <x/>
      <x/>
    </i>
    <i r="2">
      <x v="201"/>
      <x v="205"/>
      <x/>
      <x/>
    </i>
    <i r="2">
      <x v="214"/>
      <x v="226"/>
      <x v="5"/>
      <x/>
    </i>
    <i r="2">
      <x v="232"/>
      <x v="238"/>
      <x v="6"/>
      <x/>
    </i>
    <i r="2">
      <x v="239"/>
      <x v="248"/>
      <x v="6"/>
      <x/>
    </i>
    <i r="2">
      <x v="262"/>
      <x v="271"/>
      <x/>
      <x/>
    </i>
    <i r="2">
      <x v="263"/>
      <x v="272"/>
      <x v="6"/>
      <x/>
    </i>
    <i r="2">
      <x v="276"/>
      <x v="286"/>
      <x v="6"/>
      <x/>
    </i>
    <i r="2">
      <x v="278"/>
      <x v="246"/>
      <x v="5"/>
      <x/>
    </i>
    <i r="2">
      <x v="279"/>
      <x v="203"/>
      <x/>
      <x/>
    </i>
    <i r="2">
      <x v="280"/>
      <x v="241"/>
      <x/>
      <x/>
    </i>
    <i r="2">
      <x v="298"/>
      <x v="213"/>
      <x v="6"/>
      <x/>
    </i>
    <i r="2">
      <x v="299"/>
      <x v="301"/>
      <x v="6"/>
      <x/>
    </i>
    <i t="default" r="1">
      <x v="6"/>
    </i>
    <i r="1">
      <x v="9"/>
      <x v="90"/>
      <x v="195"/>
      <x/>
      <x/>
    </i>
    <i r="2">
      <x v="91"/>
      <x v="210"/>
      <x v="5"/>
      <x/>
    </i>
    <i t="default" r="1">
      <x v="9"/>
    </i>
    <i r="1">
      <x v="13"/>
      <x v="207"/>
      <x v="219"/>
      <x/>
      <x/>
    </i>
    <i r="2">
      <x v="210"/>
      <x v="223"/>
      <x v="5"/>
      <x/>
    </i>
    <i r="2">
      <x v="264"/>
      <x v="273"/>
      <x/>
      <x/>
    </i>
    <i t="default" r="1">
      <x v="13"/>
    </i>
    <i r="1">
      <x v="15"/>
      <x v="123"/>
      <x v="191"/>
      <x/>
      <x/>
    </i>
    <i r="2">
      <x v="124"/>
      <x v="188"/>
      <x/>
      <x/>
    </i>
    <i r="2">
      <x v="125"/>
      <x v="190"/>
      <x v="5"/>
      <x/>
    </i>
    <i r="2">
      <x v="208"/>
      <x v="220"/>
      <x/>
      <x/>
    </i>
    <i r="2">
      <x v="212"/>
      <x v="221"/>
      <x/>
      <x/>
    </i>
    <i r="2">
      <x v="235"/>
      <x v="245"/>
      <x v="6"/>
      <x/>
    </i>
    <i t="default" r="1">
      <x v="15"/>
    </i>
    <i r="1">
      <x v="16"/>
      <x v="135"/>
      <x v="199"/>
      <x/>
      <x/>
    </i>
    <i r="2">
      <x v="236"/>
      <x v="242"/>
      <x v="6"/>
      <x/>
    </i>
    <i r="2">
      <x v="249"/>
      <x v="258"/>
      <x v="5"/>
      <x/>
    </i>
    <i r="2">
      <x v="268"/>
      <x v="277"/>
      <x v="5"/>
      <x/>
    </i>
    <i t="default" r="1">
      <x v="16"/>
    </i>
    <i r="1">
      <x v="21"/>
      <x v="261"/>
      <x v="270"/>
      <x v="6"/>
      <x/>
    </i>
    <i t="default" r="1">
      <x v="21"/>
    </i>
    <i t="default">
      <x v="1"/>
    </i>
    <i t="grand">
      <x/>
    </i>
  </rowItems>
  <colFields count="1">
    <field x="-2"/>
  </colFields>
  <colItems count="2">
    <i>
      <x/>
    </i>
    <i i="1">
      <x v="1"/>
    </i>
  </colItems>
  <pageFields count="2">
    <pageField fld="0" hier="-1"/>
    <pageField fld="20" hier="-1"/>
  </pageFields>
  <dataFields count="2">
    <dataField name="Household" fld="16" baseField="19" baseItem="0"/>
    <dataField name="Individual" fld="17" baseField="19" baseItem="0"/>
  </dataFields>
  <formats count="234">
    <format dxfId="1144">
      <pivotArea outline="0" collapsedLevelsAreSubtotals="1" fieldPosition="0"/>
    </format>
    <format dxfId="1143">
      <pivotArea dataOnly="0" labelOnly="1" outline="0" fieldPosition="0">
        <references count="1">
          <reference field="4294967294" count="2">
            <x v="0"/>
            <x v="1"/>
          </reference>
        </references>
      </pivotArea>
    </format>
    <format dxfId="1142">
      <pivotArea grandRow="1" outline="0" collapsedLevelsAreSubtotals="1" fieldPosition="0"/>
    </format>
    <format dxfId="1141">
      <pivotArea dataOnly="0" labelOnly="1" grandRow="1" outline="0" fieldPosition="0"/>
    </format>
    <format dxfId="1140">
      <pivotArea grandRow="1" outline="0" collapsedLevelsAreSubtotals="1" fieldPosition="0"/>
    </format>
    <format dxfId="1139">
      <pivotArea dataOnly="0" labelOnly="1" grandRow="1" outline="0" fieldPosition="0"/>
    </format>
    <format dxfId="1138">
      <pivotArea field="24" type="button" dataOnly="0" labelOnly="1" outline="0" axis="axisRow" fieldPosition="4"/>
    </format>
    <format dxfId="1137">
      <pivotArea field="24" type="button" dataOnly="0" labelOnly="1" outline="0" axis="axisRow" fieldPosition="4"/>
    </format>
    <format dxfId="1136">
      <pivotArea field="1" type="button" dataOnly="0" labelOnly="1" outline="0" axis="axisRow" fieldPosition="0"/>
    </format>
    <format dxfId="1135">
      <pivotArea field="5" type="button" dataOnly="0" labelOnly="1" outline="0" axis="axisRow" fieldPosition="1"/>
    </format>
    <format dxfId="1134">
      <pivotArea field="11" type="button" dataOnly="0" labelOnly="1" outline="0" axis="axisRow" fieldPosition="2"/>
    </format>
    <format dxfId="1133">
      <pivotArea field="12" type="button" dataOnly="0" labelOnly="1" outline="0" axis="axisRow" fieldPosition="3"/>
    </format>
    <format dxfId="1132">
      <pivotArea field="22" type="button" dataOnly="0" labelOnly="1" outline="0"/>
    </format>
    <format dxfId="1131">
      <pivotArea dataOnly="0" labelOnly="1" outline="0" fieldPosition="0">
        <references count="1">
          <reference field="4294967294" count="2">
            <x v="0"/>
            <x v="1"/>
          </reference>
        </references>
      </pivotArea>
    </format>
    <format dxfId="1130">
      <pivotArea field="1" type="button" dataOnly="0" labelOnly="1" outline="0" axis="axisRow" fieldPosition="0"/>
    </format>
    <format dxfId="1129">
      <pivotArea field="5" type="button" dataOnly="0" labelOnly="1" outline="0" axis="axisRow" fieldPosition="1"/>
    </format>
    <format dxfId="1128">
      <pivotArea field="11" type="button" dataOnly="0" labelOnly="1" outline="0" axis="axisRow" fieldPosition="2"/>
    </format>
    <format dxfId="1127">
      <pivotArea field="12" type="button" dataOnly="0" labelOnly="1" outline="0" axis="axisRow" fieldPosition="3"/>
    </format>
    <format dxfId="1126">
      <pivotArea field="22" type="button" dataOnly="0" labelOnly="1" outline="0"/>
    </format>
    <format dxfId="1125">
      <pivotArea dataOnly="0" labelOnly="1" outline="0" fieldPosition="0">
        <references count="1">
          <reference field="4294967294" count="2">
            <x v="0"/>
            <x v="1"/>
          </reference>
        </references>
      </pivotArea>
    </format>
    <format dxfId="1124">
      <pivotArea dataOnly="0" labelOnly="1" outline="0" fieldPosition="0">
        <references count="3">
          <reference field="1" count="1" selected="0">
            <x v="0"/>
          </reference>
          <reference field="5" count="1" selected="0">
            <x v="0"/>
          </reference>
          <reference field="11" count="6">
            <x v="63"/>
            <x v="119"/>
            <x v="138"/>
            <x v="156"/>
            <x v="164"/>
            <x v="179"/>
          </reference>
        </references>
      </pivotArea>
    </format>
    <format dxfId="1123">
      <pivotArea dataOnly="0" labelOnly="1" outline="0" fieldPosition="0">
        <references count="3">
          <reference field="1" count="1" selected="0">
            <x v="0"/>
          </reference>
          <reference field="5" count="1" selected="0">
            <x v="14"/>
          </reference>
          <reference field="11" count="5">
            <x v="42"/>
            <x v="43"/>
            <x v="50"/>
            <x v="58"/>
            <x v="59"/>
          </reference>
        </references>
      </pivotArea>
    </format>
    <format dxfId="1122">
      <pivotArea dataOnly="0" labelOnly="1" outline="0" fieldPosition="0">
        <references count="3">
          <reference field="1" count="1" selected="0">
            <x v="0"/>
          </reference>
          <reference field="5" count="1" selected="0">
            <x v="20"/>
          </reference>
          <reference field="11" count="15">
            <x v="70"/>
            <x v="71"/>
            <x v="73"/>
            <x v="74"/>
            <x v="75"/>
            <x v="76"/>
            <x v="144"/>
            <x v="158"/>
            <x v="159"/>
            <x v="160"/>
            <x v="161"/>
            <x v="162"/>
            <x v="171"/>
            <x v="186"/>
            <x v="190"/>
          </reference>
        </references>
      </pivotArea>
    </format>
    <format dxfId="1121">
      <pivotArea field="1" type="button" dataOnly="0" labelOnly="1" outline="0" axis="axisRow" fieldPosition="0"/>
    </format>
    <format dxfId="1120">
      <pivotArea field="5" type="button" dataOnly="0" labelOnly="1" outline="0" axis="axisRow" fieldPosition="1"/>
    </format>
    <format dxfId="1119">
      <pivotArea field="11" type="button" dataOnly="0" labelOnly="1" outline="0" axis="axisRow" fieldPosition="2"/>
    </format>
    <format dxfId="1118">
      <pivotArea field="12" type="button" dataOnly="0" labelOnly="1" outline="0" axis="axisRow" fieldPosition="3"/>
    </format>
    <format dxfId="1117">
      <pivotArea field="19" type="button" dataOnly="0" labelOnly="1" outline="0" axis="axisRow" fieldPosition="5"/>
    </format>
    <format dxfId="1116">
      <pivotArea type="all" dataOnly="0" outline="0" fieldPosition="0"/>
    </format>
    <format dxfId="1115">
      <pivotArea type="all" dataOnly="0" outline="0" fieldPosition="0"/>
    </format>
    <format dxfId="1114">
      <pivotArea outline="0" collapsedLevelsAreSubtotals="1" fieldPosition="0"/>
    </format>
    <format dxfId="1113">
      <pivotArea dataOnly="0" labelOnly="1" outline="0" fieldPosition="0">
        <references count="1">
          <reference field="1" count="0"/>
        </references>
      </pivotArea>
    </format>
    <format dxfId="1112">
      <pivotArea dataOnly="0" labelOnly="1" outline="0" fieldPosition="0">
        <references count="1">
          <reference field="1" count="0" defaultSubtotal="1"/>
        </references>
      </pivotArea>
    </format>
    <format dxfId="1111">
      <pivotArea dataOnly="0" labelOnly="1" grandRow="1" outline="0" fieldPosition="0"/>
    </format>
    <format dxfId="1110">
      <pivotArea dataOnly="0" labelOnly="1" outline="0" fieldPosition="0">
        <references count="2">
          <reference field="1" count="1" selected="0">
            <x v="0"/>
          </reference>
          <reference field="5" count="13">
            <x v="0"/>
            <x v="1"/>
            <x v="2"/>
            <x v="5"/>
            <x v="8"/>
            <x v="10"/>
            <x v="11"/>
            <x v="12"/>
            <x v="14"/>
            <x v="17"/>
            <x v="18"/>
            <x v="19"/>
            <x v="20"/>
          </reference>
        </references>
      </pivotArea>
    </format>
    <format dxfId="1109">
      <pivotArea dataOnly="0" labelOnly="1" outline="0" fieldPosition="0">
        <references count="2">
          <reference field="1" count="1" selected="0">
            <x v="0"/>
          </reference>
          <reference field="5" count="13" defaultSubtotal="1">
            <x v="0"/>
            <x v="1"/>
            <x v="2"/>
            <x v="5"/>
            <x v="8"/>
            <x v="10"/>
            <x v="11"/>
            <x v="12"/>
            <x v="14"/>
            <x v="17"/>
            <x v="18"/>
            <x v="19"/>
            <x v="20"/>
          </reference>
        </references>
      </pivotArea>
    </format>
    <format dxfId="1108">
      <pivotArea dataOnly="0" labelOnly="1" outline="0" fieldPosition="0">
        <references count="2">
          <reference field="1" count="1" selected="0">
            <x v="1"/>
          </reference>
          <reference field="5" count="6">
            <x v="3"/>
            <x v="6"/>
            <x v="9"/>
            <x v="13"/>
            <x v="15"/>
            <x v="16"/>
          </reference>
        </references>
      </pivotArea>
    </format>
    <format dxfId="1107">
      <pivotArea dataOnly="0" labelOnly="1" outline="0" fieldPosition="0">
        <references count="2">
          <reference field="1" count="1" selected="0">
            <x v="1"/>
          </reference>
          <reference field="5" count="6" defaultSubtotal="1">
            <x v="3"/>
            <x v="6"/>
            <x v="9"/>
            <x v="13"/>
            <x v="15"/>
            <x v="16"/>
          </reference>
        </references>
      </pivotArea>
    </format>
    <format dxfId="1106">
      <pivotArea dataOnly="0" labelOnly="1" outline="0" fieldPosition="0">
        <references count="3">
          <reference field="1" count="1" selected="0">
            <x v="0"/>
          </reference>
          <reference field="5" count="1" selected="0">
            <x v="0"/>
          </reference>
          <reference field="11" count="11">
            <x v="3"/>
            <x v="7"/>
            <x v="34"/>
            <x v="39"/>
            <x v="63"/>
            <x v="119"/>
            <x v="138"/>
            <x v="156"/>
            <x v="164"/>
            <x v="179"/>
            <x v="198"/>
          </reference>
        </references>
      </pivotArea>
    </format>
    <format dxfId="1105">
      <pivotArea dataOnly="0" labelOnly="1" outline="0" fieldPosition="0">
        <references count="3">
          <reference field="1" count="1" selected="0">
            <x v="0"/>
          </reference>
          <reference field="5" count="1" selected="0">
            <x v="1"/>
          </reference>
          <reference field="11" count="6">
            <x v="21"/>
            <x v="37"/>
            <x v="54"/>
            <x v="60"/>
            <x v="154"/>
            <x v="203"/>
          </reference>
        </references>
      </pivotArea>
    </format>
    <format dxfId="1104">
      <pivotArea dataOnly="0" labelOnly="1" outline="0" fieldPosition="0">
        <references count="3">
          <reference field="1" count="1" selected="0">
            <x v="0"/>
          </reference>
          <reference field="5" count="1" selected="0">
            <x v="2"/>
          </reference>
          <reference field="11" count="26">
            <x v="1"/>
            <x v="2"/>
            <x v="4"/>
            <x v="5"/>
            <x v="13"/>
            <x v="19"/>
            <x v="23"/>
            <x v="31"/>
            <x v="32"/>
            <x v="61"/>
            <x v="62"/>
            <x v="107"/>
            <x v="134"/>
            <x v="139"/>
            <x v="163"/>
            <x v="166"/>
            <x v="193"/>
            <x v="199"/>
            <x v="211"/>
            <x v="215"/>
            <x v="233"/>
            <x v="240"/>
            <x v="241"/>
            <x v="242"/>
            <x v="243"/>
            <x v="244"/>
          </reference>
        </references>
      </pivotArea>
    </format>
    <format dxfId="1103">
      <pivotArea dataOnly="0" labelOnly="1" outline="0" fieldPosition="0">
        <references count="3">
          <reference field="1" count="1" selected="0">
            <x v="0"/>
          </reference>
          <reference field="5" count="1" selected="0">
            <x v="5"/>
          </reference>
          <reference field="11" count="1">
            <x v="52"/>
          </reference>
        </references>
      </pivotArea>
    </format>
    <format dxfId="1102">
      <pivotArea dataOnly="0" labelOnly="1" outline="0" fieldPosition="0">
        <references count="3">
          <reference field="1" count="1" selected="0">
            <x v="0"/>
          </reference>
          <reference field="5" count="1" selected="0">
            <x v="8"/>
          </reference>
          <reference field="11" count="11">
            <x v="18"/>
            <x v="34"/>
            <x v="55"/>
            <x v="77"/>
            <x v="85"/>
            <x v="86"/>
            <x v="87"/>
            <x v="92"/>
            <x v="202"/>
            <x v="209"/>
            <x v="213"/>
          </reference>
        </references>
      </pivotArea>
    </format>
    <format dxfId="1101">
      <pivotArea dataOnly="0" labelOnly="1" outline="0" fieldPosition="0">
        <references count="3">
          <reference field="1" count="1" selected="0">
            <x v="0"/>
          </reference>
          <reference field="5" count="1" selected="0">
            <x v="10"/>
          </reference>
          <reference field="11" count="5">
            <x v="51"/>
            <x v="142"/>
            <x v="226"/>
            <x v="227"/>
            <x v="228"/>
          </reference>
        </references>
      </pivotArea>
    </format>
    <format dxfId="1100">
      <pivotArea dataOnly="0" labelOnly="1" outline="0" fieldPosition="0">
        <references count="3">
          <reference field="1" count="1" selected="0">
            <x v="0"/>
          </reference>
          <reference field="5" count="1" selected="0">
            <x v="11"/>
          </reference>
          <reference field="11" count="4">
            <x v="145"/>
            <x v="176"/>
            <x v="216"/>
            <x v="217"/>
          </reference>
        </references>
      </pivotArea>
    </format>
    <format dxfId="1099">
      <pivotArea dataOnly="0" labelOnly="1" outline="0" fieldPosition="0">
        <references count="3">
          <reference field="1" count="1" selected="0">
            <x v="0"/>
          </reference>
          <reference field="5" count="1" selected="0">
            <x v="12"/>
          </reference>
          <reference field="11" count="20">
            <x v="24"/>
            <x v="34"/>
            <x v="38"/>
            <x v="46"/>
            <x v="64"/>
            <x v="65"/>
            <x v="66"/>
            <x v="72"/>
            <x v="79"/>
            <x v="83"/>
            <x v="84"/>
            <x v="110"/>
            <x v="121"/>
            <x v="148"/>
            <x v="151"/>
            <x v="153"/>
            <x v="157"/>
            <x v="168"/>
            <x v="181"/>
            <x v="231"/>
          </reference>
        </references>
      </pivotArea>
    </format>
    <format dxfId="1098">
      <pivotArea dataOnly="0" labelOnly="1" outline="0" fieldPosition="0">
        <references count="3">
          <reference field="1" count="1" selected="0">
            <x v="0"/>
          </reference>
          <reference field="5" count="1" selected="0">
            <x v="14"/>
          </reference>
          <reference field="11" count="21">
            <x v="42"/>
            <x v="43"/>
            <x v="50"/>
            <x v="58"/>
            <x v="59"/>
            <x v="78"/>
            <x v="80"/>
            <x v="101"/>
            <x v="102"/>
            <x v="137"/>
            <x v="150"/>
            <x v="152"/>
            <x v="169"/>
            <x v="170"/>
            <x v="174"/>
            <x v="182"/>
            <x v="183"/>
            <x v="184"/>
            <x v="185"/>
            <x v="197"/>
            <x v="222"/>
          </reference>
        </references>
      </pivotArea>
    </format>
    <format dxfId="1097">
      <pivotArea dataOnly="0" labelOnly="1" outline="0" fieldPosition="0">
        <references count="3">
          <reference field="1" count="1" selected="0">
            <x v="0"/>
          </reference>
          <reference field="5" count="1" selected="0">
            <x v="17"/>
          </reference>
          <reference field="11" count="3">
            <x v="189"/>
            <x v="206"/>
            <x v="224"/>
          </reference>
        </references>
      </pivotArea>
    </format>
    <format dxfId="1096">
      <pivotArea dataOnly="0" labelOnly="1" outline="0" fieldPosition="0">
        <references count="3">
          <reference field="1" count="1" selected="0">
            <x v="0"/>
          </reference>
          <reference field="5" count="1" selected="0">
            <x v="18"/>
          </reference>
          <reference field="11" count="4">
            <x v="34"/>
            <x v="56"/>
            <x v="172"/>
            <x v="173"/>
          </reference>
        </references>
      </pivotArea>
    </format>
    <format dxfId="1095">
      <pivotArea dataOnly="0" labelOnly="1" outline="0" fieldPosition="0">
        <references count="3">
          <reference field="1" count="1" selected="0">
            <x v="0"/>
          </reference>
          <reference field="5" count="1" selected="0">
            <x v="19"/>
          </reference>
          <reference field="11" count="3">
            <x v="178"/>
            <x v="229"/>
            <x v="230"/>
          </reference>
        </references>
      </pivotArea>
    </format>
    <format dxfId="1094">
      <pivotArea dataOnly="0" labelOnly="1" outline="0" fieldPosition="0">
        <references count="3">
          <reference field="1" count="1" selected="0">
            <x v="0"/>
          </reference>
          <reference field="5" count="1" selected="0">
            <x v="20"/>
          </reference>
          <reference field="11" count="23">
            <x v="17"/>
            <x v="29"/>
            <x v="30"/>
            <x v="40"/>
            <x v="44"/>
            <x v="70"/>
            <x v="71"/>
            <x v="73"/>
            <x v="74"/>
            <x v="75"/>
            <x v="76"/>
            <x v="144"/>
            <x v="158"/>
            <x v="159"/>
            <x v="160"/>
            <x v="161"/>
            <x v="162"/>
            <x v="171"/>
            <x v="186"/>
            <x v="190"/>
            <x v="194"/>
            <x v="221"/>
            <x v="223"/>
          </reference>
        </references>
      </pivotArea>
    </format>
    <format dxfId="1093">
      <pivotArea dataOnly="0" labelOnly="1" outline="0" fieldPosition="0">
        <references count="3">
          <reference field="1" count="1" selected="0">
            <x v="1"/>
          </reference>
          <reference field="5" count="1" selected="0">
            <x v="3"/>
          </reference>
          <reference field="11" count="3">
            <x v="141"/>
            <x v="225"/>
            <x v="238"/>
          </reference>
        </references>
      </pivotArea>
    </format>
    <format dxfId="1092">
      <pivotArea dataOnly="0" labelOnly="1" outline="0" fieldPosition="0">
        <references count="3">
          <reference field="1" count="1" selected="0">
            <x v="1"/>
          </reference>
          <reference field="5" count="1" selected="0">
            <x v="6"/>
          </reference>
          <reference field="11" count="9">
            <x v="47"/>
            <x v="48"/>
            <x v="49"/>
            <x v="116"/>
            <x v="130"/>
            <x v="201"/>
            <x v="214"/>
            <x v="232"/>
            <x v="239"/>
          </reference>
        </references>
      </pivotArea>
    </format>
    <format dxfId="1091">
      <pivotArea dataOnly="0" labelOnly="1" outline="0" fieldPosition="0">
        <references count="3">
          <reference field="1" count="1" selected="0">
            <x v="1"/>
          </reference>
          <reference field="5" count="1" selected="0">
            <x v="9"/>
          </reference>
          <reference field="11" count="3">
            <x v="90"/>
            <x v="91"/>
            <x v="237"/>
          </reference>
        </references>
      </pivotArea>
    </format>
    <format dxfId="1090">
      <pivotArea dataOnly="0" labelOnly="1" outline="0" fieldPosition="0">
        <references count="3">
          <reference field="1" count="1" selected="0">
            <x v="1"/>
          </reference>
          <reference field="5" count="1" selected="0">
            <x v="13"/>
          </reference>
          <reference field="11" count="6">
            <x v="35"/>
            <x v="36"/>
            <x v="113"/>
            <x v="129"/>
            <x v="207"/>
            <x v="210"/>
          </reference>
        </references>
      </pivotArea>
    </format>
    <format dxfId="1089">
      <pivotArea dataOnly="0" labelOnly="1" outline="0" fieldPosition="0">
        <references count="3">
          <reference field="1" count="1" selected="0">
            <x v="1"/>
          </reference>
          <reference field="5" count="1" selected="0">
            <x v="15"/>
          </reference>
          <reference field="11" count="7">
            <x v="123"/>
            <x v="124"/>
            <x v="125"/>
            <x v="208"/>
            <x v="212"/>
            <x v="234"/>
            <x v="235"/>
          </reference>
        </references>
      </pivotArea>
    </format>
    <format dxfId="1088">
      <pivotArea dataOnly="0" labelOnly="1" outline="0" fieldPosition="0">
        <references count="3">
          <reference field="1" count="1" selected="0">
            <x v="1"/>
          </reference>
          <reference field="5" count="1" selected="0">
            <x v="16"/>
          </reference>
          <reference field="11" count="3">
            <x v="135"/>
            <x v="136"/>
            <x v="236"/>
          </reference>
        </references>
      </pivotArea>
    </format>
    <format dxfId="1087">
      <pivotArea dataOnly="0" labelOnly="1" outline="0" fieldPosition="0">
        <references count="4">
          <reference field="1" count="1" selected="0">
            <x v="0"/>
          </reference>
          <reference field="5" count="1" selected="0">
            <x v="0"/>
          </reference>
          <reference field="11" count="1" selected="0">
            <x v="3"/>
          </reference>
          <reference field="12" count="1">
            <x v="47"/>
          </reference>
        </references>
      </pivotArea>
    </format>
    <format dxfId="1086">
      <pivotArea dataOnly="0" labelOnly="1" outline="0" fieldPosition="0">
        <references count="4">
          <reference field="1" count="1" selected="0">
            <x v="0"/>
          </reference>
          <reference field="5" count="1" selected="0">
            <x v="0"/>
          </reference>
          <reference field="11" count="1" selected="0">
            <x v="7"/>
          </reference>
          <reference field="12" count="1">
            <x v="161"/>
          </reference>
        </references>
      </pivotArea>
    </format>
    <format dxfId="1085">
      <pivotArea dataOnly="0" labelOnly="1" outline="0" fieldPosition="0">
        <references count="4">
          <reference field="1" count="1" selected="0">
            <x v="0"/>
          </reference>
          <reference field="5" count="1" selected="0">
            <x v="0"/>
          </reference>
          <reference field="11" count="1" selected="0">
            <x v="34"/>
          </reference>
          <reference field="12" count="1">
            <x v="134"/>
          </reference>
        </references>
      </pivotArea>
    </format>
    <format dxfId="1084">
      <pivotArea dataOnly="0" labelOnly="1" outline="0" fieldPosition="0">
        <references count="4">
          <reference field="1" count="1" selected="0">
            <x v="0"/>
          </reference>
          <reference field="5" count="1" selected="0">
            <x v="0"/>
          </reference>
          <reference field="11" count="1" selected="0">
            <x v="39"/>
          </reference>
          <reference field="12" count="1">
            <x v="49"/>
          </reference>
        </references>
      </pivotArea>
    </format>
    <format dxfId="1083">
      <pivotArea dataOnly="0" labelOnly="1" outline="0" fieldPosition="0">
        <references count="4">
          <reference field="1" count="1" selected="0">
            <x v="0"/>
          </reference>
          <reference field="5" count="1" selected="0">
            <x v="0"/>
          </reference>
          <reference field="11" count="1" selected="0">
            <x v="63"/>
          </reference>
          <reference field="12" count="1">
            <x v="46"/>
          </reference>
        </references>
      </pivotArea>
    </format>
    <format dxfId="1082">
      <pivotArea dataOnly="0" labelOnly="1" outline="0" fieldPosition="0">
        <references count="4">
          <reference field="1" count="1" selected="0">
            <x v="0"/>
          </reference>
          <reference field="5" count="1" selected="0">
            <x v="0"/>
          </reference>
          <reference field="11" count="1" selected="0">
            <x v="119"/>
          </reference>
          <reference field="12" count="1">
            <x v="48"/>
          </reference>
        </references>
      </pivotArea>
    </format>
    <format dxfId="1081">
      <pivotArea dataOnly="0" labelOnly="1" outline="0" fieldPosition="0">
        <references count="4">
          <reference field="1" count="1" selected="0">
            <x v="0"/>
          </reference>
          <reference field="5" count="1" selected="0">
            <x v="0"/>
          </reference>
          <reference field="11" count="1" selected="0">
            <x v="138"/>
          </reference>
          <reference field="12" count="1">
            <x v="51"/>
          </reference>
        </references>
      </pivotArea>
    </format>
    <format dxfId="1080">
      <pivotArea dataOnly="0" labelOnly="1" outline="0" fieldPosition="0">
        <references count="4">
          <reference field="1" count="1" selected="0">
            <x v="0"/>
          </reference>
          <reference field="5" count="1" selected="0">
            <x v="0"/>
          </reference>
          <reference field="11" count="1" selected="0">
            <x v="156"/>
          </reference>
          <reference field="12" count="1">
            <x v="160"/>
          </reference>
        </references>
      </pivotArea>
    </format>
    <format dxfId="1079">
      <pivotArea dataOnly="0" labelOnly="1" outline="0" fieldPosition="0">
        <references count="4">
          <reference field="1" count="1" selected="0">
            <x v="0"/>
          </reference>
          <reference field="5" count="1" selected="0">
            <x v="0"/>
          </reference>
          <reference field="11" count="1" selected="0">
            <x v="164"/>
          </reference>
          <reference field="12" count="1">
            <x v="44"/>
          </reference>
        </references>
      </pivotArea>
    </format>
    <format dxfId="1078">
      <pivotArea dataOnly="0" labelOnly="1" outline="0" fieldPosition="0">
        <references count="4">
          <reference field="1" count="1" selected="0">
            <x v="0"/>
          </reference>
          <reference field="5" count="1" selected="0">
            <x v="0"/>
          </reference>
          <reference field="11" count="1" selected="0">
            <x v="179"/>
          </reference>
          <reference field="12" count="1">
            <x v="52"/>
          </reference>
        </references>
      </pivotArea>
    </format>
    <format dxfId="1077">
      <pivotArea dataOnly="0" labelOnly="1" outline="0" fieldPosition="0">
        <references count="4">
          <reference field="1" count="1" selected="0">
            <x v="0"/>
          </reference>
          <reference field="5" count="1" selected="0">
            <x v="0"/>
          </reference>
          <reference field="11" count="1" selected="0">
            <x v="198"/>
          </reference>
          <reference field="12" count="1">
            <x v="50"/>
          </reference>
        </references>
      </pivotArea>
    </format>
    <format dxfId="1076">
      <pivotArea dataOnly="0" labelOnly="1" outline="0" fieldPosition="0">
        <references count="4">
          <reference field="1" count="1" selected="0">
            <x v="0"/>
          </reference>
          <reference field="5" count="1" selected="0">
            <x v="1"/>
          </reference>
          <reference field="11" count="1" selected="0">
            <x v="21"/>
          </reference>
          <reference field="12" count="1">
            <x v="39"/>
          </reference>
        </references>
      </pivotArea>
    </format>
    <format dxfId="1075">
      <pivotArea dataOnly="0" labelOnly="1" outline="0" fieldPosition="0">
        <references count="4">
          <reference field="1" count="1" selected="0">
            <x v="0"/>
          </reference>
          <reference field="5" count="1" selected="0">
            <x v="1"/>
          </reference>
          <reference field="11" count="1" selected="0">
            <x v="37"/>
          </reference>
          <reference field="12" count="1">
            <x v="40"/>
          </reference>
        </references>
      </pivotArea>
    </format>
    <format dxfId="1074">
      <pivotArea dataOnly="0" labelOnly="1" outline="0" fieldPosition="0">
        <references count="4">
          <reference field="1" count="1" selected="0">
            <x v="0"/>
          </reference>
          <reference field="5" count="1" selected="0">
            <x v="1"/>
          </reference>
          <reference field="11" count="1" selected="0">
            <x v="54"/>
          </reference>
          <reference field="12" count="1">
            <x v="42"/>
          </reference>
        </references>
      </pivotArea>
    </format>
    <format dxfId="1073">
      <pivotArea dataOnly="0" labelOnly="1" outline="0" fieldPosition="0">
        <references count="4">
          <reference field="1" count="1" selected="0">
            <x v="0"/>
          </reference>
          <reference field="5" count="1" selected="0">
            <x v="1"/>
          </reference>
          <reference field="11" count="1" selected="0">
            <x v="60"/>
          </reference>
          <reference field="12" count="1">
            <x v="162"/>
          </reference>
        </references>
      </pivotArea>
    </format>
    <format dxfId="1072">
      <pivotArea dataOnly="0" labelOnly="1" outline="0" fieldPosition="0">
        <references count="4">
          <reference field="1" count="1" selected="0">
            <x v="0"/>
          </reference>
          <reference field="5" count="1" selected="0">
            <x v="1"/>
          </reference>
          <reference field="11" count="1" selected="0">
            <x v="154"/>
          </reference>
          <reference field="12" count="1">
            <x v="175"/>
          </reference>
        </references>
      </pivotArea>
    </format>
    <format dxfId="1071">
      <pivotArea dataOnly="0" labelOnly="1" outline="0" fieldPosition="0">
        <references count="4">
          <reference field="1" count="1" selected="0">
            <x v="0"/>
          </reference>
          <reference field="5" count="1" selected="0">
            <x v="1"/>
          </reference>
          <reference field="11" count="1" selected="0">
            <x v="203"/>
          </reference>
          <reference field="12" count="1">
            <x v="216"/>
          </reference>
        </references>
      </pivotArea>
    </format>
    <format dxfId="1070">
      <pivotArea dataOnly="0" labelOnly="1" outline="0" fieldPosition="0">
        <references count="4">
          <reference field="1" count="1" selected="0">
            <x v="0"/>
          </reference>
          <reference field="5" count="1" selected="0">
            <x v="2"/>
          </reference>
          <reference field="11" count="1" selected="0">
            <x v="1"/>
          </reference>
          <reference field="12" count="1">
            <x v="147"/>
          </reference>
        </references>
      </pivotArea>
    </format>
    <format dxfId="1069">
      <pivotArea dataOnly="0" labelOnly="1" outline="0" fieldPosition="0">
        <references count="4">
          <reference field="1" count="1" selected="0">
            <x v="0"/>
          </reference>
          <reference field="5" count="1" selected="0">
            <x v="2"/>
          </reference>
          <reference field="11" count="1" selected="0">
            <x v="2"/>
          </reference>
          <reference field="12" count="1">
            <x v="136"/>
          </reference>
        </references>
      </pivotArea>
    </format>
    <format dxfId="1068">
      <pivotArea dataOnly="0" labelOnly="1" outline="0" fieldPosition="0">
        <references count="4">
          <reference field="1" count="1" selected="0">
            <x v="0"/>
          </reference>
          <reference field="5" count="1" selected="0">
            <x v="2"/>
          </reference>
          <reference field="11" count="1" selected="0">
            <x v="4"/>
          </reference>
          <reference field="12" count="1">
            <x v="144"/>
          </reference>
        </references>
      </pivotArea>
    </format>
    <format dxfId="1067">
      <pivotArea dataOnly="0" labelOnly="1" outline="0" fieldPosition="0">
        <references count="4">
          <reference field="1" count="1" selected="0">
            <x v="0"/>
          </reference>
          <reference field="5" count="1" selected="0">
            <x v="2"/>
          </reference>
          <reference field="11" count="1" selected="0">
            <x v="5"/>
          </reference>
          <reference field="12" count="1">
            <x v="157"/>
          </reference>
        </references>
      </pivotArea>
    </format>
    <format dxfId="1066">
      <pivotArea dataOnly="0" labelOnly="1" outline="0" fieldPosition="0">
        <references count="4">
          <reference field="1" count="1" selected="0">
            <x v="0"/>
          </reference>
          <reference field="5" count="1" selected="0">
            <x v="2"/>
          </reference>
          <reference field="11" count="1" selected="0">
            <x v="13"/>
          </reference>
          <reference field="12" count="1">
            <x v="137"/>
          </reference>
        </references>
      </pivotArea>
    </format>
    <format dxfId="1065">
      <pivotArea dataOnly="0" labelOnly="1" outline="0" fieldPosition="0">
        <references count="4">
          <reference field="1" count="1" selected="0">
            <x v="0"/>
          </reference>
          <reference field="5" count="1" selected="0">
            <x v="2"/>
          </reference>
          <reference field="11" count="1" selected="0">
            <x v="19"/>
          </reference>
          <reference field="12" count="1">
            <x v="103"/>
          </reference>
        </references>
      </pivotArea>
    </format>
    <format dxfId="1064">
      <pivotArea dataOnly="0" labelOnly="1" outline="0" fieldPosition="0">
        <references count="4">
          <reference field="1" count="1" selected="0">
            <x v="0"/>
          </reference>
          <reference field="5" count="1" selected="0">
            <x v="2"/>
          </reference>
          <reference field="11" count="1" selected="0">
            <x v="23"/>
          </reference>
          <reference field="12" count="1">
            <x v="142"/>
          </reference>
        </references>
      </pivotArea>
    </format>
    <format dxfId="1063">
      <pivotArea dataOnly="0" labelOnly="1" outline="0" fieldPosition="0">
        <references count="4">
          <reference field="1" count="1" selected="0">
            <x v="0"/>
          </reference>
          <reference field="5" count="1" selected="0">
            <x v="2"/>
          </reference>
          <reference field="11" count="1" selected="0">
            <x v="31"/>
          </reference>
          <reference field="12" count="1">
            <x v="129"/>
          </reference>
        </references>
      </pivotArea>
    </format>
    <format dxfId="1062">
      <pivotArea dataOnly="0" labelOnly="1" outline="0" fieldPosition="0">
        <references count="4">
          <reference field="1" count="1" selected="0">
            <x v="0"/>
          </reference>
          <reference field="5" count="1" selected="0">
            <x v="2"/>
          </reference>
          <reference field="11" count="1" selected="0">
            <x v="32"/>
          </reference>
          <reference field="12" count="1">
            <x v="158"/>
          </reference>
        </references>
      </pivotArea>
    </format>
    <format dxfId="1061">
      <pivotArea dataOnly="0" labelOnly="1" outline="0" fieldPosition="0">
        <references count="4">
          <reference field="1" count="1" selected="0">
            <x v="0"/>
          </reference>
          <reference field="5" count="1" selected="0">
            <x v="2"/>
          </reference>
          <reference field="11" count="1" selected="0">
            <x v="61"/>
          </reference>
          <reference field="12" count="1">
            <x v="149"/>
          </reference>
        </references>
      </pivotArea>
    </format>
    <format dxfId="1060">
      <pivotArea dataOnly="0" labelOnly="1" outline="0" fieldPosition="0">
        <references count="4">
          <reference field="1" count="1" selected="0">
            <x v="0"/>
          </reference>
          <reference field="5" count="1" selected="0">
            <x v="2"/>
          </reference>
          <reference field="11" count="1" selected="0">
            <x v="62"/>
          </reference>
          <reference field="12" count="1">
            <x v="135"/>
          </reference>
        </references>
      </pivotArea>
    </format>
    <format dxfId="1059">
      <pivotArea dataOnly="0" labelOnly="1" outline="0" fieldPosition="0">
        <references count="4">
          <reference field="1" count="1" selected="0">
            <x v="0"/>
          </reference>
          <reference field="5" count="1" selected="0">
            <x v="2"/>
          </reference>
          <reference field="11" count="1" selected="0">
            <x v="107"/>
          </reference>
          <reference field="12" count="1">
            <x v="85"/>
          </reference>
        </references>
      </pivotArea>
    </format>
    <format dxfId="1058">
      <pivotArea dataOnly="0" labelOnly="1" outline="0" fieldPosition="0">
        <references count="4">
          <reference field="1" count="1" selected="0">
            <x v="0"/>
          </reference>
          <reference field="5" count="1" selected="0">
            <x v="2"/>
          </reference>
          <reference field="11" count="1" selected="0">
            <x v="134"/>
          </reference>
          <reference field="12" count="1">
            <x v="159"/>
          </reference>
        </references>
      </pivotArea>
    </format>
    <format dxfId="1057">
      <pivotArea dataOnly="0" labelOnly="1" outline="0" fieldPosition="0">
        <references count="4">
          <reference field="1" count="1" selected="0">
            <x v="0"/>
          </reference>
          <reference field="5" count="1" selected="0">
            <x v="2"/>
          </reference>
          <reference field="11" count="1" selected="0">
            <x v="139"/>
          </reference>
          <reference field="12" count="1">
            <x v="97"/>
          </reference>
        </references>
      </pivotArea>
    </format>
    <format dxfId="1056">
      <pivotArea dataOnly="0" labelOnly="1" outline="0" fieldPosition="0">
        <references count="4">
          <reference field="1" count="1" selected="0">
            <x v="0"/>
          </reference>
          <reference field="5" count="1" selected="0">
            <x v="2"/>
          </reference>
          <reference field="11" count="1" selected="0">
            <x v="163"/>
          </reference>
          <reference field="12" count="1">
            <x v="150"/>
          </reference>
        </references>
      </pivotArea>
    </format>
    <format dxfId="1055">
      <pivotArea dataOnly="0" labelOnly="1" outline="0" fieldPosition="0">
        <references count="4">
          <reference field="1" count="1" selected="0">
            <x v="0"/>
          </reference>
          <reference field="5" count="1" selected="0">
            <x v="2"/>
          </reference>
          <reference field="11" count="1" selected="0">
            <x v="166"/>
          </reference>
          <reference field="12" count="1">
            <x v="151"/>
          </reference>
        </references>
      </pivotArea>
    </format>
    <format dxfId="1054">
      <pivotArea dataOnly="0" labelOnly="1" outline="0" fieldPosition="0">
        <references count="4">
          <reference field="1" count="1" selected="0">
            <x v="0"/>
          </reference>
          <reference field="5" count="1" selected="0">
            <x v="2"/>
          </reference>
          <reference field="11" count="1" selected="0">
            <x v="193"/>
          </reference>
          <reference field="12" count="1">
            <x v="152"/>
          </reference>
        </references>
      </pivotArea>
    </format>
    <format dxfId="1053">
      <pivotArea dataOnly="0" labelOnly="1" outline="0" fieldPosition="0">
        <references count="4">
          <reference field="1" count="1" selected="0">
            <x v="0"/>
          </reference>
          <reference field="5" count="1" selected="0">
            <x v="2"/>
          </reference>
          <reference field="11" count="1" selected="0">
            <x v="199"/>
          </reference>
          <reference field="12" count="1">
            <x v="99"/>
          </reference>
        </references>
      </pivotArea>
    </format>
    <format dxfId="1052">
      <pivotArea dataOnly="0" labelOnly="1" outline="0" fieldPosition="0">
        <references count="4">
          <reference field="1" count="1" selected="0">
            <x v="0"/>
          </reference>
          <reference field="5" count="1" selected="0">
            <x v="2"/>
          </reference>
          <reference field="11" count="1" selected="0">
            <x v="211"/>
          </reference>
          <reference field="12" count="1">
            <x v="224"/>
          </reference>
        </references>
      </pivotArea>
    </format>
    <format dxfId="1051">
      <pivotArea dataOnly="0" labelOnly="1" outline="0" fieldPosition="0">
        <references count="4">
          <reference field="1" count="1" selected="0">
            <x v="0"/>
          </reference>
          <reference field="5" count="1" selected="0">
            <x v="2"/>
          </reference>
          <reference field="11" count="1" selected="0">
            <x v="215"/>
          </reference>
          <reference field="12" count="1">
            <x v="227"/>
          </reference>
        </references>
      </pivotArea>
    </format>
    <format dxfId="1050">
      <pivotArea dataOnly="0" labelOnly="1" outline="0" fieldPosition="0">
        <references count="4">
          <reference field="1" count="1" selected="0">
            <x v="0"/>
          </reference>
          <reference field="5" count="1" selected="0">
            <x v="2"/>
          </reference>
          <reference field="11" count="1" selected="0">
            <x v="233"/>
          </reference>
          <reference field="12" count="1">
            <x v="239"/>
          </reference>
        </references>
      </pivotArea>
    </format>
    <format dxfId="1049">
      <pivotArea dataOnly="0" labelOnly="1" outline="0" fieldPosition="0">
        <references count="4">
          <reference field="1" count="1" selected="0">
            <x v="0"/>
          </reference>
          <reference field="5" count="1" selected="0">
            <x v="2"/>
          </reference>
          <reference field="11" count="1" selected="0">
            <x v="240"/>
          </reference>
          <reference field="12" count="1">
            <x v="249"/>
          </reference>
        </references>
      </pivotArea>
    </format>
    <format dxfId="1048">
      <pivotArea dataOnly="0" labelOnly="1" outline="0" fieldPosition="0">
        <references count="4">
          <reference field="1" count="1" selected="0">
            <x v="0"/>
          </reference>
          <reference field="5" count="1" selected="0">
            <x v="2"/>
          </reference>
          <reference field="11" count="1" selected="0">
            <x v="241"/>
          </reference>
          <reference field="12" count="1">
            <x v="250"/>
          </reference>
        </references>
      </pivotArea>
    </format>
    <format dxfId="1047">
      <pivotArea dataOnly="0" labelOnly="1" outline="0" fieldPosition="0">
        <references count="4">
          <reference field="1" count="1" selected="0">
            <x v="0"/>
          </reference>
          <reference field="5" count="1" selected="0">
            <x v="2"/>
          </reference>
          <reference field="11" count="1" selected="0">
            <x v="242"/>
          </reference>
          <reference field="12" count="1">
            <x v="251"/>
          </reference>
        </references>
      </pivotArea>
    </format>
    <format dxfId="1046">
      <pivotArea dataOnly="0" labelOnly="1" outline="0" fieldPosition="0">
        <references count="4">
          <reference field="1" count="1" selected="0">
            <x v="0"/>
          </reference>
          <reference field="5" count="1" selected="0">
            <x v="2"/>
          </reference>
          <reference field="11" count="1" selected="0">
            <x v="243"/>
          </reference>
          <reference field="12" count="1">
            <x v="252"/>
          </reference>
        </references>
      </pivotArea>
    </format>
    <format dxfId="1045">
      <pivotArea dataOnly="0" labelOnly="1" outline="0" fieldPosition="0">
        <references count="4">
          <reference field="1" count="1" selected="0">
            <x v="0"/>
          </reference>
          <reference field="5" count="1" selected="0">
            <x v="2"/>
          </reference>
          <reference field="11" count="1" selected="0">
            <x v="244"/>
          </reference>
          <reference field="12" count="1">
            <x v="253"/>
          </reference>
        </references>
      </pivotArea>
    </format>
    <format dxfId="1044">
      <pivotArea dataOnly="0" labelOnly="1" outline="0" fieldPosition="0">
        <references count="4">
          <reference field="1" count="1" selected="0">
            <x v="0"/>
          </reference>
          <reference field="5" count="1" selected="0">
            <x v="5"/>
          </reference>
          <reference field="11" count="1" selected="0">
            <x v="52"/>
          </reference>
          <reference field="12" count="1">
            <x v="71"/>
          </reference>
        </references>
      </pivotArea>
    </format>
    <format dxfId="1043">
      <pivotArea dataOnly="0" labelOnly="1" outline="0" fieldPosition="0">
        <references count="4">
          <reference field="1" count="1" selected="0">
            <x v="0"/>
          </reference>
          <reference field="5" count="1" selected="0">
            <x v="8"/>
          </reference>
          <reference field="11" count="1" selected="0">
            <x v="18"/>
          </reference>
          <reference field="12" count="1">
            <x v="119"/>
          </reference>
        </references>
      </pivotArea>
    </format>
    <format dxfId="1042">
      <pivotArea dataOnly="0" labelOnly="1" outline="0" fieldPosition="0">
        <references count="4">
          <reference field="1" count="1" selected="0">
            <x v="0"/>
          </reference>
          <reference field="5" count="1" selected="0">
            <x v="8"/>
          </reference>
          <reference field="11" count="1" selected="0">
            <x v="34"/>
          </reference>
          <reference field="12" count="1">
            <x v="163"/>
          </reference>
        </references>
      </pivotArea>
    </format>
    <format dxfId="1041">
      <pivotArea dataOnly="0" labelOnly="1" outline="0" fieldPosition="0">
        <references count="4">
          <reference field="1" count="1" selected="0">
            <x v="0"/>
          </reference>
          <reference field="5" count="1" selected="0">
            <x v="8"/>
          </reference>
          <reference field="11" count="1" selected="0">
            <x v="55"/>
          </reference>
          <reference field="12" count="1">
            <x v="118"/>
          </reference>
        </references>
      </pivotArea>
    </format>
    <format dxfId="1040">
      <pivotArea dataOnly="0" labelOnly="1" outline="0" fieldPosition="0">
        <references count="4">
          <reference field="1" count="1" selected="0">
            <x v="0"/>
          </reference>
          <reference field="5" count="1" selected="0">
            <x v="8"/>
          </reference>
          <reference field="11" count="1" selected="0">
            <x v="77"/>
          </reference>
          <reference field="12" count="1">
            <x v="183"/>
          </reference>
        </references>
      </pivotArea>
    </format>
    <format dxfId="1039">
      <pivotArea dataOnly="0" labelOnly="1" outline="0" fieldPosition="0">
        <references count="4">
          <reference field="1" count="1" selected="0">
            <x v="0"/>
          </reference>
          <reference field="5" count="1" selected="0">
            <x v="8"/>
          </reference>
          <reference field="11" count="1" selected="0">
            <x v="85"/>
          </reference>
          <reference field="12" count="1">
            <x v="122"/>
          </reference>
        </references>
      </pivotArea>
    </format>
    <format dxfId="1038">
      <pivotArea dataOnly="0" labelOnly="1" outline="0" fieldPosition="0">
        <references count="4">
          <reference field="1" count="1" selected="0">
            <x v="0"/>
          </reference>
          <reference field="5" count="1" selected="0">
            <x v="8"/>
          </reference>
          <reference field="11" count="1" selected="0">
            <x v="86"/>
          </reference>
          <reference field="12" count="1">
            <x v="121"/>
          </reference>
        </references>
      </pivotArea>
    </format>
    <format dxfId="1037">
      <pivotArea dataOnly="0" labelOnly="1" outline="0" fieldPosition="0">
        <references count="4">
          <reference field="1" count="1" selected="0">
            <x v="0"/>
          </reference>
          <reference field="5" count="1" selected="0">
            <x v="8"/>
          </reference>
          <reference field="11" count="1" selected="0">
            <x v="87"/>
          </reference>
          <reference field="12" count="1">
            <x v="123"/>
          </reference>
        </references>
      </pivotArea>
    </format>
    <format dxfId="1036">
      <pivotArea dataOnly="0" labelOnly="1" outline="0" fieldPosition="0">
        <references count="4">
          <reference field="1" count="1" selected="0">
            <x v="0"/>
          </reference>
          <reference field="5" count="1" selected="0">
            <x v="8"/>
          </reference>
          <reference field="11" count="1" selected="0">
            <x v="92"/>
          </reference>
          <reference field="12" count="1">
            <x v="63"/>
          </reference>
        </references>
      </pivotArea>
    </format>
    <format dxfId="1035">
      <pivotArea dataOnly="0" labelOnly="1" outline="0" fieldPosition="0">
        <references count="4">
          <reference field="1" count="1" selected="0">
            <x v="0"/>
          </reference>
          <reference field="5" count="1" selected="0">
            <x v="8"/>
          </reference>
          <reference field="11" count="1" selected="0">
            <x v="202"/>
          </reference>
          <reference field="12" count="1">
            <x v="214"/>
          </reference>
        </references>
      </pivotArea>
    </format>
    <format dxfId="1034">
      <pivotArea dataOnly="0" labelOnly="1" outline="0" fieldPosition="0">
        <references count="4">
          <reference field="1" count="1" selected="0">
            <x v="0"/>
          </reference>
          <reference field="5" count="1" selected="0">
            <x v="8"/>
          </reference>
          <reference field="11" count="1" selected="0">
            <x v="209"/>
          </reference>
          <reference field="12" count="1">
            <x v="222"/>
          </reference>
        </references>
      </pivotArea>
    </format>
    <format dxfId="1033">
      <pivotArea dataOnly="0" labelOnly="1" outline="0" fieldPosition="0">
        <references count="4">
          <reference field="1" count="1" selected="0">
            <x v="0"/>
          </reference>
          <reference field="5" count="1" selected="0">
            <x v="8"/>
          </reference>
          <reference field="11" count="1" selected="0">
            <x v="213"/>
          </reference>
          <reference field="12" count="1">
            <x v="225"/>
          </reference>
        </references>
      </pivotArea>
    </format>
    <format dxfId="1032">
      <pivotArea dataOnly="0" labelOnly="1" outline="0" fieldPosition="0">
        <references count="4">
          <reference field="1" count="1" selected="0">
            <x v="0"/>
          </reference>
          <reference field="5" count="1" selected="0">
            <x v="10"/>
          </reference>
          <reference field="11" count="1" selected="0">
            <x v="51"/>
          </reference>
          <reference field="12" count="1">
            <x v="74"/>
          </reference>
        </references>
      </pivotArea>
    </format>
    <format dxfId="1031">
      <pivotArea dataOnly="0" labelOnly="1" outline="0" fieldPosition="0">
        <references count="4">
          <reference field="1" count="1" selected="0">
            <x v="0"/>
          </reference>
          <reference field="5" count="1" selected="0">
            <x v="10"/>
          </reference>
          <reference field="11" count="1" selected="0">
            <x v="142"/>
          </reference>
          <reference field="12" count="1">
            <x v="75"/>
          </reference>
        </references>
      </pivotArea>
    </format>
    <format dxfId="1030">
      <pivotArea dataOnly="0" labelOnly="1" outline="0" fieldPosition="0">
        <references count="4">
          <reference field="1" count="1" selected="0">
            <x v="0"/>
          </reference>
          <reference field="5" count="1" selected="0">
            <x v="10"/>
          </reference>
          <reference field="11" count="1" selected="0">
            <x v="226"/>
          </reference>
          <reference field="12" count="1">
            <x v="232"/>
          </reference>
        </references>
      </pivotArea>
    </format>
    <format dxfId="1029">
      <pivotArea dataOnly="0" labelOnly="1" outline="0" fieldPosition="0">
        <references count="4">
          <reference field="1" count="1" selected="0">
            <x v="0"/>
          </reference>
          <reference field="5" count="1" selected="0">
            <x v="10"/>
          </reference>
          <reference field="11" count="1" selected="0">
            <x v="227"/>
          </reference>
          <reference field="12" count="1">
            <x v="233"/>
          </reference>
        </references>
      </pivotArea>
    </format>
    <format dxfId="1028">
      <pivotArea dataOnly="0" labelOnly="1" outline="0" fieldPosition="0">
        <references count="4">
          <reference field="1" count="1" selected="0">
            <x v="0"/>
          </reference>
          <reference field="5" count="1" selected="0">
            <x v="10"/>
          </reference>
          <reference field="11" count="1" selected="0">
            <x v="228"/>
          </reference>
          <reference field="12" count="1">
            <x v="234"/>
          </reference>
        </references>
      </pivotArea>
    </format>
    <format dxfId="1027">
      <pivotArea dataOnly="0" labelOnly="1" outline="0" fieldPosition="0">
        <references count="4">
          <reference field="1" count="1" selected="0">
            <x v="0"/>
          </reference>
          <reference field="5" count="1" selected="0">
            <x v="11"/>
          </reference>
          <reference field="11" count="1" selected="0">
            <x v="145"/>
          </reference>
          <reference field="12" count="1">
            <x v="130"/>
          </reference>
        </references>
      </pivotArea>
    </format>
    <format dxfId="1026">
      <pivotArea dataOnly="0" labelOnly="1" outline="0" fieldPosition="0">
        <references count="4">
          <reference field="1" count="1" selected="0">
            <x v="0"/>
          </reference>
          <reference field="5" count="1" selected="0">
            <x v="11"/>
          </reference>
          <reference field="11" count="1" selected="0">
            <x v="176"/>
          </reference>
          <reference field="12" count="1">
            <x v="76"/>
          </reference>
        </references>
      </pivotArea>
    </format>
    <format dxfId="1025">
      <pivotArea dataOnly="0" labelOnly="1" outline="0" fieldPosition="0">
        <references count="4">
          <reference field="1" count="1" selected="0">
            <x v="0"/>
          </reference>
          <reference field="5" count="1" selected="0">
            <x v="11"/>
          </reference>
          <reference field="11" count="1" selected="0">
            <x v="216"/>
          </reference>
          <reference field="12" count="1">
            <x v="228"/>
          </reference>
        </references>
      </pivotArea>
    </format>
    <format dxfId="1024">
      <pivotArea dataOnly="0" labelOnly="1" outline="0" fieldPosition="0">
        <references count="4">
          <reference field="1" count="1" selected="0">
            <x v="0"/>
          </reference>
          <reference field="5" count="1" selected="0">
            <x v="11"/>
          </reference>
          <reference field="11" count="1" selected="0">
            <x v="217"/>
          </reference>
          <reference field="12" count="1">
            <x v="229"/>
          </reference>
        </references>
      </pivotArea>
    </format>
    <format dxfId="1023">
      <pivotArea dataOnly="0" labelOnly="1" outline="0" fieldPosition="0">
        <references count="4">
          <reference field="1" count="1" selected="0">
            <x v="0"/>
          </reference>
          <reference field="5" count="1" selected="0">
            <x v="12"/>
          </reference>
          <reference field="11" count="1" selected="0">
            <x v="24"/>
          </reference>
          <reference field="12" count="1">
            <x v="116"/>
          </reference>
        </references>
      </pivotArea>
    </format>
    <format dxfId="1022">
      <pivotArea dataOnly="0" labelOnly="1" outline="0" fieldPosition="0">
        <references count="4">
          <reference field="1" count="1" selected="0">
            <x v="0"/>
          </reference>
          <reference field="5" count="1" selected="0">
            <x v="12"/>
          </reference>
          <reference field="11" count="1" selected="0">
            <x v="34"/>
          </reference>
          <reference field="12" count="1">
            <x v="164"/>
          </reference>
        </references>
      </pivotArea>
    </format>
    <format dxfId="1021">
      <pivotArea dataOnly="0" labelOnly="1" outline="0" fieldPosition="0">
        <references count="4">
          <reference field="1" count="1" selected="0">
            <x v="0"/>
          </reference>
          <reference field="5" count="1" selected="0">
            <x v="12"/>
          </reference>
          <reference field="11" count="1" selected="0">
            <x v="38"/>
          </reference>
          <reference field="12" count="1">
            <x v="115"/>
          </reference>
        </references>
      </pivotArea>
    </format>
    <format dxfId="1020">
      <pivotArea dataOnly="0" labelOnly="1" outline="0" fieldPosition="0">
        <references count="4">
          <reference field="1" count="1" selected="0">
            <x v="0"/>
          </reference>
          <reference field="5" count="1" selected="0">
            <x v="12"/>
          </reference>
          <reference field="11" count="1" selected="0">
            <x v="46"/>
          </reference>
          <reference field="12" count="1">
            <x v="167"/>
          </reference>
        </references>
      </pivotArea>
    </format>
    <format dxfId="1019">
      <pivotArea dataOnly="0" labelOnly="1" outline="0" fieldPosition="0">
        <references count="4">
          <reference field="1" count="1" selected="0">
            <x v="0"/>
          </reference>
          <reference field="5" count="1" selected="0">
            <x v="12"/>
          </reference>
          <reference field="11" count="1" selected="0">
            <x v="64"/>
          </reference>
          <reference field="12" count="1">
            <x v="68"/>
          </reference>
        </references>
      </pivotArea>
    </format>
    <format dxfId="1018">
      <pivotArea dataOnly="0" labelOnly="1" outline="0" fieldPosition="0">
        <references count="4">
          <reference field="1" count="1" selected="0">
            <x v="0"/>
          </reference>
          <reference field="5" count="1" selected="0">
            <x v="12"/>
          </reference>
          <reference field="11" count="1" selected="0">
            <x v="65"/>
          </reference>
          <reference field="12" count="1">
            <x v="66"/>
          </reference>
        </references>
      </pivotArea>
    </format>
    <format dxfId="1017">
      <pivotArea dataOnly="0" labelOnly="1" outline="0" fieldPosition="0">
        <references count="4">
          <reference field="1" count="1" selected="0">
            <x v="0"/>
          </reference>
          <reference field="5" count="1" selected="0">
            <x v="12"/>
          </reference>
          <reference field="11" count="1" selected="0">
            <x v="66"/>
          </reference>
          <reference field="12" count="1">
            <x v="67"/>
          </reference>
        </references>
      </pivotArea>
    </format>
    <format dxfId="1016">
      <pivotArea dataOnly="0" labelOnly="1" outline="0" fieldPosition="0">
        <references count="4">
          <reference field="1" count="1" selected="0">
            <x v="0"/>
          </reference>
          <reference field="5" count="1" selected="0">
            <x v="12"/>
          </reference>
          <reference field="11" count="1" selected="0">
            <x v="72"/>
          </reference>
          <reference field="12" count="1">
            <x v="61"/>
          </reference>
        </references>
      </pivotArea>
    </format>
    <format dxfId="1015">
      <pivotArea dataOnly="0" labelOnly="1" outline="0" fieldPosition="0">
        <references count="4">
          <reference field="1" count="1" selected="0">
            <x v="0"/>
          </reference>
          <reference field="5" count="1" selected="0">
            <x v="12"/>
          </reference>
          <reference field="11" count="1" selected="0">
            <x v="79"/>
          </reference>
          <reference field="12" count="1">
            <x v="59"/>
          </reference>
        </references>
      </pivotArea>
    </format>
    <format dxfId="1014">
      <pivotArea dataOnly="0" labelOnly="1" outline="0" fieldPosition="0">
        <references count="4">
          <reference field="1" count="1" selected="0">
            <x v="0"/>
          </reference>
          <reference field="5" count="1" selected="0">
            <x v="12"/>
          </reference>
          <reference field="11" count="1" selected="0">
            <x v="83"/>
          </reference>
          <reference field="12" count="1">
            <x v="60"/>
          </reference>
        </references>
      </pivotArea>
    </format>
    <format dxfId="1013">
      <pivotArea dataOnly="0" labelOnly="1" outline="0" fieldPosition="0">
        <references count="4">
          <reference field="1" count="1" selected="0">
            <x v="0"/>
          </reference>
          <reference field="5" count="1" selected="0">
            <x v="12"/>
          </reference>
          <reference field="11" count="1" selected="0">
            <x v="84"/>
          </reference>
          <reference field="12" count="1">
            <x v="165"/>
          </reference>
        </references>
      </pivotArea>
    </format>
    <format dxfId="1012">
      <pivotArea dataOnly="0" labelOnly="1" outline="0" fieldPosition="0">
        <references count="4">
          <reference field="1" count="1" selected="0">
            <x v="0"/>
          </reference>
          <reference field="5" count="1" selected="0">
            <x v="12"/>
          </reference>
          <reference field="11" count="1" selected="0">
            <x v="110"/>
          </reference>
          <reference field="12" count="1">
            <x v="53"/>
          </reference>
        </references>
      </pivotArea>
    </format>
    <format dxfId="1011">
      <pivotArea dataOnly="0" labelOnly="1" outline="0" fieldPosition="0">
        <references count="4">
          <reference field="1" count="1" selected="0">
            <x v="0"/>
          </reference>
          <reference field="5" count="1" selected="0">
            <x v="12"/>
          </reference>
          <reference field="11" count="1" selected="0">
            <x v="121"/>
          </reference>
          <reference field="12" count="1">
            <x v="58"/>
          </reference>
        </references>
      </pivotArea>
    </format>
    <format dxfId="1010">
      <pivotArea dataOnly="0" labelOnly="1" outline="0" fieldPosition="0">
        <references count="4">
          <reference field="1" count="1" selected="0">
            <x v="0"/>
          </reference>
          <reference field="5" count="1" selected="0">
            <x v="12"/>
          </reference>
          <reference field="11" count="1" selected="0">
            <x v="148"/>
          </reference>
          <reference field="12" count="1">
            <x v="120"/>
          </reference>
        </references>
      </pivotArea>
    </format>
    <format dxfId="1009">
      <pivotArea dataOnly="0" labelOnly="1" outline="0" fieldPosition="0">
        <references count="4">
          <reference field="1" count="1" selected="0">
            <x v="0"/>
          </reference>
          <reference field="5" count="1" selected="0">
            <x v="12"/>
          </reference>
          <reference field="11" count="1" selected="0">
            <x v="151"/>
          </reference>
          <reference field="12" count="1">
            <x v="69"/>
          </reference>
        </references>
      </pivotArea>
    </format>
    <format dxfId="1008">
      <pivotArea dataOnly="0" labelOnly="1" outline="0" fieldPosition="0">
        <references count="4">
          <reference field="1" count="1" selected="0">
            <x v="0"/>
          </reference>
          <reference field="5" count="1" selected="0">
            <x v="12"/>
          </reference>
          <reference field="11" count="1" selected="0">
            <x v="153"/>
          </reference>
          <reference field="12" count="1">
            <x v="117"/>
          </reference>
        </references>
      </pivotArea>
    </format>
    <format dxfId="1007">
      <pivotArea dataOnly="0" labelOnly="1" outline="0" fieldPosition="0">
        <references count="4">
          <reference field="1" count="1" selected="0">
            <x v="0"/>
          </reference>
          <reference field="5" count="1" selected="0">
            <x v="12"/>
          </reference>
          <reference field="11" count="1" selected="0">
            <x v="157"/>
          </reference>
          <reference field="12" count="1">
            <x v="62"/>
          </reference>
        </references>
      </pivotArea>
    </format>
    <format dxfId="1006">
      <pivotArea dataOnly="0" labelOnly="1" outline="0" fieldPosition="0">
        <references count="4">
          <reference field="1" count="1" selected="0">
            <x v="0"/>
          </reference>
          <reference field="5" count="1" selected="0">
            <x v="12"/>
          </reference>
          <reference field="11" count="1" selected="0">
            <x v="168"/>
          </reference>
          <reference field="12" count="1">
            <x v="70"/>
          </reference>
        </references>
      </pivotArea>
    </format>
    <format dxfId="1005">
      <pivotArea dataOnly="0" labelOnly="1" outline="0" fieldPosition="0">
        <references count="4">
          <reference field="1" count="1" selected="0">
            <x v="0"/>
          </reference>
          <reference field="5" count="1" selected="0">
            <x v="12"/>
          </reference>
          <reference field="11" count="1" selected="0">
            <x v="181"/>
          </reference>
          <reference field="12" count="1">
            <x v="57"/>
          </reference>
        </references>
      </pivotArea>
    </format>
    <format dxfId="1004">
      <pivotArea dataOnly="0" labelOnly="1" outline="0" fieldPosition="0">
        <references count="4">
          <reference field="1" count="1" selected="0">
            <x v="0"/>
          </reference>
          <reference field="5" count="1" selected="0">
            <x v="12"/>
          </reference>
          <reference field="11" count="1" selected="0">
            <x v="231"/>
          </reference>
          <reference field="12" count="1">
            <x v="237"/>
          </reference>
        </references>
      </pivotArea>
    </format>
    <format dxfId="1003">
      <pivotArea dataOnly="0" labelOnly="1" outline="0" fieldPosition="0">
        <references count="4">
          <reference field="1" count="1" selected="0">
            <x v="0"/>
          </reference>
          <reference field="5" count="1" selected="0">
            <x v="14"/>
          </reference>
          <reference field="11" count="1" selected="0">
            <x v="42"/>
          </reference>
          <reference field="12" count="1">
            <x v="15"/>
          </reference>
        </references>
      </pivotArea>
    </format>
    <format dxfId="1002">
      <pivotArea dataOnly="0" labelOnly="1" outline="0" fieldPosition="0">
        <references count="4">
          <reference field="1" count="1" selected="0">
            <x v="0"/>
          </reference>
          <reference field="5" count="1" selected="0">
            <x v="14"/>
          </reference>
          <reference field="11" count="1" selected="0">
            <x v="43"/>
          </reference>
          <reference field="12" count="1">
            <x v="16"/>
          </reference>
        </references>
      </pivotArea>
    </format>
    <format dxfId="1001">
      <pivotArea dataOnly="0" labelOnly="1" outline="0" fieldPosition="0">
        <references count="4">
          <reference field="1" count="1" selected="0">
            <x v="0"/>
          </reference>
          <reference field="5" count="1" selected="0">
            <x v="14"/>
          </reference>
          <reference field="11" count="1" selected="0">
            <x v="50"/>
          </reference>
          <reference field="12" count="1">
            <x v="10"/>
          </reference>
        </references>
      </pivotArea>
    </format>
    <format dxfId="1000">
      <pivotArea dataOnly="0" labelOnly="1" outline="0" fieldPosition="0">
        <references count="4">
          <reference field="1" count="1" selected="0">
            <x v="0"/>
          </reference>
          <reference field="5" count="1" selected="0">
            <x v="14"/>
          </reference>
          <reference field="11" count="1" selected="0">
            <x v="58"/>
          </reference>
          <reference field="12" count="1">
            <x v="12"/>
          </reference>
        </references>
      </pivotArea>
    </format>
    <format dxfId="999">
      <pivotArea dataOnly="0" labelOnly="1" outline="0" fieldPosition="0">
        <references count="4">
          <reference field="1" count="1" selected="0">
            <x v="0"/>
          </reference>
          <reference field="5" count="1" selected="0">
            <x v="14"/>
          </reference>
          <reference field="11" count="1" selected="0">
            <x v="59"/>
          </reference>
          <reference field="12" count="1">
            <x v="11"/>
          </reference>
        </references>
      </pivotArea>
    </format>
    <format dxfId="998">
      <pivotArea dataOnly="0" labelOnly="1" outline="0" fieldPosition="0">
        <references count="4">
          <reference field="1" count="1" selected="0">
            <x v="0"/>
          </reference>
          <reference field="5" count="1" selected="0">
            <x v="14"/>
          </reference>
          <reference field="11" count="1" selected="0">
            <x v="78"/>
          </reference>
          <reference field="12" count="1">
            <x v="13"/>
          </reference>
        </references>
      </pivotArea>
    </format>
    <format dxfId="997">
      <pivotArea dataOnly="0" labelOnly="1" outline="0" fieldPosition="0">
        <references count="4">
          <reference field="1" count="1" selected="0">
            <x v="0"/>
          </reference>
          <reference field="5" count="1" selected="0">
            <x v="14"/>
          </reference>
          <reference field="11" count="1" selected="0">
            <x v="80"/>
          </reference>
          <reference field="12" count="1">
            <x v="7"/>
          </reference>
        </references>
      </pivotArea>
    </format>
    <format dxfId="996">
      <pivotArea dataOnly="0" labelOnly="1" outline="0" fieldPosition="0">
        <references count="4">
          <reference field="1" count="1" selected="0">
            <x v="0"/>
          </reference>
          <reference field="5" count="1" selected="0">
            <x v="14"/>
          </reference>
          <reference field="11" count="1" selected="0">
            <x v="101"/>
          </reference>
          <reference field="12" count="1">
            <x v="17"/>
          </reference>
        </references>
      </pivotArea>
    </format>
    <format dxfId="995">
      <pivotArea dataOnly="0" labelOnly="1" outline="0" fieldPosition="0">
        <references count="4">
          <reference field="1" count="1" selected="0">
            <x v="0"/>
          </reference>
          <reference field="5" count="1" selected="0">
            <x v="14"/>
          </reference>
          <reference field="11" count="1" selected="0">
            <x v="102"/>
          </reference>
          <reference field="12" count="1">
            <x v="18"/>
          </reference>
        </references>
      </pivotArea>
    </format>
    <format dxfId="994">
      <pivotArea dataOnly="0" labelOnly="1" outline="0" fieldPosition="0">
        <references count="4">
          <reference field="1" count="1" selected="0">
            <x v="0"/>
          </reference>
          <reference field="5" count="1" selected="0">
            <x v="14"/>
          </reference>
          <reference field="11" count="1" selected="0">
            <x v="137"/>
          </reference>
          <reference field="12" count="1">
            <x v="21"/>
          </reference>
        </references>
      </pivotArea>
    </format>
    <format dxfId="993">
      <pivotArea dataOnly="0" labelOnly="1" outline="0" fieldPosition="0">
        <references count="4">
          <reference field="1" count="1" selected="0">
            <x v="0"/>
          </reference>
          <reference field="5" count="1" selected="0">
            <x v="14"/>
          </reference>
          <reference field="11" count="1" selected="0">
            <x v="150"/>
          </reference>
          <reference field="12" count="1">
            <x v="1"/>
          </reference>
        </references>
      </pivotArea>
    </format>
    <format dxfId="992">
      <pivotArea dataOnly="0" labelOnly="1" outline="0" fieldPosition="0">
        <references count="4">
          <reference field="1" count="1" selected="0">
            <x v="0"/>
          </reference>
          <reference field="5" count="1" selected="0">
            <x v="14"/>
          </reference>
          <reference field="11" count="1" selected="0">
            <x v="152"/>
          </reference>
          <reference field="12" count="1">
            <x v="133"/>
          </reference>
        </references>
      </pivotArea>
    </format>
    <format dxfId="991">
      <pivotArea dataOnly="0" labelOnly="1" outline="0" fieldPosition="0">
        <references count="4">
          <reference field="1" count="1" selected="0">
            <x v="0"/>
          </reference>
          <reference field="5" count="1" selected="0">
            <x v="14"/>
          </reference>
          <reference field="11" count="1" selected="0">
            <x v="169"/>
          </reference>
          <reference field="12" count="1">
            <x v="5"/>
          </reference>
        </references>
      </pivotArea>
    </format>
    <format dxfId="990">
      <pivotArea dataOnly="0" labelOnly="1" outline="0" fieldPosition="0">
        <references count="4">
          <reference field="1" count="1" selected="0">
            <x v="0"/>
          </reference>
          <reference field="5" count="1" selected="0">
            <x v="14"/>
          </reference>
          <reference field="11" count="1" selected="0">
            <x v="170"/>
          </reference>
          <reference field="12" count="1">
            <x v="6"/>
          </reference>
        </references>
      </pivotArea>
    </format>
    <format dxfId="989">
      <pivotArea dataOnly="0" labelOnly="1" outline="0" fieldPosition="0">
        <references count="4">
          <reference field="1" count="1" selected="0">
            <x v="0"/>
          </reference>
          <reference field="5" count="1" selected="0">
            <x v="14"/>
          </reference>
          <reference field="11" count="1" selected="0">
            <x v="174"/>
          </reference>
          <reference field="12" count="1">
            <x v="8"/>
          </reference>
        </references>
      </pivotArea>
    </format>
    <format dxfId="988">
      <pivotArea dataOnly="0" labelOnly="1" outline="0" fieldPosition="0">
        <references count="4">
          <reference field="1" count="1" selected="0">
            <x v="0"/>
          </reference>
          <reference field="5" count="1" selected="0">
            <x v="14"/>
          </reference>
          <reference field="11" count="1" selected="0">
            <x v="182"/>
          </reference>
          <reference field="12" count="1">
            <x v="0"/>
          </reference>
        </references>
      </pivotArea>
    </format>
    <format dxfId="987">
      <pivotArea dataOnly="0" labelOnly="1" outline="0" fieldPosition="0">
        <references count="4">
          <reference field="1" count="1" selected="0">
            <x v="0"/>
          </reference>
          <reference field="5" count="1" selected="0">
            <x v="14"/>
          </reference>
          <reference field="11" count="1" selected="0">
            <x v="183"/>
          </reference>
          <reference field="12" count="1">
            <x v="3"/>
          </reference>
        </references>
      </pivotArea>
    </format>
    <format dxfId="986">
      <pivotArea dataOnly="0" labelOnly="1" outline="0" fieldPosition="0">
        <references count="4">
          <reference field="1" count="1" selected="0">
            <x v="0"/>
          </reference>
          <reference field="5" count="1" selected="0">
            <x v="14"/>
          </reference>
          <reference field="11" count="1" selected="0">
            <x v="184"/>
          </reference>
          <reference field="12" count="1">
            <x v="2"/>
          </reference>
        </references>
      </pivotArea>
    </format>
    <format dxfId="985">
      <pivotArea dataOnly="0" labelOnly="1" outline="0" fieldPosition="0">
        <references count="4">
          <reference field="1" count="1" selected="0">
            <x v="0"/>
          </reference>
          <reference field="5" count="1" selected="0">
            <x v="14"/>
          </reference>
          <reference field="11" count="1" selected="0">
            <x v="185"/>
          </reference>
          <reference field="12" count="1">
            <x v="4"/>
          </reference>
        </references>
      </pivotArea>
    </format>
    <format dxfId="984">
      <pivotArea dataOnly="0" labelOnly="1" outline="0" fieldPosition="0">
        <references count="4">
          <reference field="1" count="1" selected="0">
            <x v="0"/>
          </reference>
          <reference field="5" count="1" selected="0">
            <x v="14"/>
          </reference>
          <reference field="11" count="1" selected="0">
            <x v="197"/>
          </reference>
          <reference field="12" count="1">
            <x v="19"/>
          </reference>
        </references>
      </pivotArea>
    </format>
    <format dxfId="983">
      <pivotArea dataOnly="0" labelOnly="1" outline="0" fieldPosition="0">
        <references count="4">
          <reference field="1" count="1" selected="0">
            <x v="0"/>
          </reference>
          <reference field="5" count="1" selected="0">
            <x v="14"/>
          </reference>
          <reference field="11" count="1" selected="0">
            <x v="222"/>
          </reference>
          <reference field="12" count="1">
            <x v="20"/>
          </reference>
        </references>
      </pivotArea>
    </format>
    <format dxfId="982">
      <pivotArea dataOnly="0" labelOnly="1" outline="0" fieldPosition="0">
        <references count="4">
          <reference field="1" count="1" selected="0">
            <x v="0"/>
          </reference>
          <reference field="5" count="1" selected="0">
            <x v="17"/>
          </reference>
          <reference field="11" count="1" selected="0">
            <x v="189"/>
          </reference>
          <reference field="12" count="1">
            <x v="72"/>
          </reference>
        </references>
      </pivotArea>
    </format>
    <format dxfId="981">
      <pivotArea dataOnly="0" labelOnly="1" outline="0" fieldPosition="0">
        <references count="4">
          <reference field="1" count="1" selected="0">
            <x v="0"/>
          </reference>
          <reference field="5" count="1" selected="0">
            <x v="17"/>
          </reference>
          <reference field="11" count="1" selected="0">
            <x v="206"/>
          </reference>
          <reference field="12" count="1">
            <x v="218"/>
          </reference>
        </references>
      </pivotArea>
    </format>
    <format dxfId="980">
      <pivotArea dataOnly="0" labelOnly="1" outline="0" fieldPosition="0">
        <references count="4">
          <reference field="1" count="1" selected="0">
            <x v="0"/>
          </reference>
          <reference field="5" count="1" selected="0">
            <x v="17"/>
          </reference>
          <reference field="11" count="1" selected="0">
            <x v="224"/>
          </reference>
          <reference field="12" count="1">
            <x v="231"/>
          </reference>
        </references>
      </pivotArea>
    </format>
    <format dxfId="979">
      <pivotArea dataOnly="0" labelOnly="1" outline="0" fieldPosition="0">
        <references count="4">
          <reference field="1" count="1" selected="0">
            <x v="0"/>
          </reference>
          <reference field="5" count="1" selected="0">
            <x v="18"/>
          </reference>
          <reference field="11" count="1" selected="0">
            <x v="34"/>
          </reference>
          <reference field="12" count="1">
            <x v="166"/>
          </reference>
        </references>
      </pivotArea>
    </format>
    <format dxfId="978">
      <pivotArea dataOnly="0" labelOnly="1" outline="0" fieldPosition="0">
        <references count="4">
          <reference field="1" count="1" selected="0">
            <x v="0"/>
          </reference>
          <reference field="5" count="1" selected="0">
            <x v="18"/>
          </reference>
          <reference field="11" count="1" selected="0">
            <x v="56"/>
          </reference>
          <reference field="12" count="1">
            <x v="128"/>
          </reference>
        </references>
      </pivotArea>
    </format>
    <format dxfId="977">
      <pivotArea dataOnly="0" labelOnly="1" outline="0" fieldPosition="0">
        <references count="4">
          <reference field="1" count="1" selected="0">
            <x v="0"/>
          </reference>
          <reference field="5" count="1" selected="0">
            <x v="18"/>
          </reference>
          <reference field="11" count="1" selected="0">
            <x v="172"/>
          </reference>
          <reference field="12" count="1">
            <x v="64"/>
          </reference>
        </references>
      </pivotArea>
    </format>
    <format dxfId="976">
      <pivotArea dataOnly="0" labelOnly="1" outline="0" fieldPosition="0">
        <references count="4">
          <reference field="1" count="1" selected="0">
            <x v="0"/>
          </reference>
          <reference field="5" count="1" selected="0">
            <x v="18"/>
          </reference>
          <reference field="11" count="1" selected="0">
            <x v="173"/>
          </reference>
          <reference field="12" count="1">
            <x v="65"/>
          </reference>
        </references>
      </pivotArea>
    </format>
    <format dxfId="975">
      <pivotArea dataOnly="0" labelOnly="1" outline="0" fieldPosition="0">
        <references count="4">
          <reference field="1" count="1" selected="0">
            <x v="0"/>
          </reference>
          <reference field="5" count="1" selected="0">
            <x v="19"/>
          </reference>
          <reference field="11" count="1" selected="0">
            <x v="178"/>
          </reference>
          <reference field="12" count="1">
            <x v="172"/>
          </reference>
        </references>
      </pivotArea>
    </format>
    <format dxfId="974">
      <pivotArea dataOnly="0" labelOnly="1" outline="0" fieldPosition="0">
        <references count="4">
          <reference field="1" count="1" selected="0">
            <x v="0"/>
          </reference>
          <reference field="5" count="1" selected="0">
            <x v="19"/>
          </reference>
          <reference field="11" count="1" selected="0">
            <x v="229"/>
          </reference>
          <reference field="12" count="1">
            <x v="235"/>
          </reference>
        </references>
      </pivotArea>
    </format>
    <format dxfId="973">
      <pivotArea dataOnly="0" labelOnly="1" outline="0" fieldPosition="0">
        <references count="4">
          <reference field="1" count="1" selected="0">
            <x v="0"/>
          </reference>
          <reference field="5" count="1" selected="0">
            <x v="19"/>
          </reference>
          <reference field="11" count="1" selected="0">
            <x v="230"/>
          </reference>
          <reference field="12" count="1">
            <x v="236"/>
          </reference>
        </references>
      </pivotArea>
    </format>
    <format dxfId="972">
      <pivotArea dataOnly="0" labelOnly="1" outline="0" fieldPosition="0">
        <references count="4">
          <reference field="1" count="1" selected="0">
            <x v="0"/>
          </reference>
          <reference field="5" count="1" selected="0">
            <x v="20"/>
          </reference>
          <reference field="11" count="1" selected="0">
            <x v="17"/>
          </reference>
          <reference field="12" count="1">
            <x v="106"/>
          </reference>
        </references>
      </pivotArea>
    </format>
    <format dxfId="971">
      <pivotArea dataOnly="0" labelOnly="1" outline="0" fieldPosition="0">
        <references count="4">
          <reference field="1" count="1" selected="0">
            <x v="0"/>
          </reference>
          <reference field="5" count="1" selected="0">
            <x v="20"/>
          </reference>
          <reference field="11" count="1" selected="0">
            <x v="29"/>
          </reference>
          <reference field="12" count="1">
            <x v="25"/>
          </reference>
        </references>
      </pivotArea>
    </format>
    <format dxfId="970">
      <pivotArea dataOnly="0" labelOnly="1" outline="0" fieldPosition="0">
        <references count="4">
          <reference field="1" count="1" selected="0">
            <x v="0"/>
          </reference>
          <reference field="5" count="1" selected="0">
            <x v="20"/>
          </reference>
          <reference field="11" count="1" selected="0">
            <x v="30"/>
          </reference>
          <reference field="12" count="1">
            <x v="108"/>
          </reference>
        </references>
      </pivotArea>
    </format>
    <format dxfId="969">
      <pivotArea dataOnly="0" labelOnly="1" outline="0" fieldPosition="0">
        <references count="4">
          <reference field="1" count="1" selected="0">
            <x v="0"/>
          </reference>
          <reference field="5" count="1" selected="0">
            <x v="20"/>
          </reference>
          <reference field="11" count="1" selected="0">
            <x v="40"/>
          </reference>
          <reference field="12" count="1">
            <x v="173"/>
          </reference>
        </references>
      </pivotArea>
    </format>
    <format dxfId="968">
      <pivotArea dataOnly="0" labelOnly="1" outline="0" fieldPosition="0">
        <references count="4">
          <reference field="1" count="1" selected="0">
            <x v="0"/>
          </reference>
          <reference field="5" count="1" selected="0">
            <x v="20"/>
          </reference>
          <reference field="11" count="1" selected="0">
            <x v="44"/>
          </reference>
          <reference field="12" count="1">
            <x v="114"/>
          </reference>
        </references>
      </pivotArea>
    </format>
    <format dxfId="967">
      <pivotArea dataOnly="0" labelOnly="1" outline="0" fieldPosition="0">
        <references count="4">
          <reference field="1" count="1" selected="0">
            <x v="0"/>
          </reference>
          <reference field="5" count="1" selected="0">
            <x v="20"/>
          </reference>
          <reference field="11" count="1" selected="0">
            <x v="70"/>
          </reference>
          <reference field="12" count="1">
            <x v="24"/>
          </reference>
        </references>
      </pivotArea>
    </format>
    <format dxfId="966">
      <pivotArea dataOnly="0" labelOnly="1" outline="0" fieldPosition="0">
        <references count="4">
          <reference field="1" count="1" selected="0">
            <x v="0"/>
          </reference>
          <reference field="5" count="1" selected="0">
            <x v="20"/>
          </reference>
          <reference field="11" count="1" selected="0">
            <x v="71"/>
          </reference>
          <reference field="12" count="1">
            <x v="112"/>
          </reference>
        </references>
      </pivotArea>
    </format>
    <format dxfId="965">
      <pivotArea dataOnly="0" labelOnly="1" outline="0" fieldPosition="0">
        <references count="4">
          <reference field="1" count="1" selected="0">
            <x v="0"/>
          </reference>
          <reference field="5" count="1" selected="0">
            <x v="20"/>
          </reference>
          <reference field="11" count="1" selected="0">
            <x v="73"/>
          </reference>
          <reference field="12" count="1">
            <x v="28"/>
          </reference>
        </references>
      </pivotArea>
    </format>
    <format dxfId="964">
      <pivotArea dataOnly="0" labelOnly="1" outline="0" fieldPosition="0">
        <references count="4">
          <reference field="1" count="1" selected="0">
            <x v="0"/>
          </reference>
          <reference field="5" count="1" selected="0">
            <x v="20"/>
          </reference>
          <reference field="11" count="1" selected="0">
            <x v="74"/>
          </reference>
          <reference field="12" count="1">
            <x v="26"/>
          </reference>
        </references>
      </pivotArea>
    </format>
    <format dxfId="963">
      <pivotArea dataOnly="0" labelOnly="1" outline="0" fieldPosition="0">
        <references count="4">
          <reference field="1" count="1" selected="0">
            <x v="0"/>
          </reference>
          <reference field="5" count="1" selected="0">
            <x v="20"/>
          </reference>
          <reference field="11" count="1" selected="0">
            <x v="75"/>
          </reference>
          <reference field="12" count="1">
            <x v="37"/>
          </reference>
        </references>
      </pivotArea>
    </format>
    <format dxfId="962">
      <pivotArea dataOnly="0" labelOnly="1" outline="0" fieldPosition="0">
        <references count="4">
          <reference field="1" count="1" selected="0">
            <x v="0"/>
          </reference>
          <reference field="5" count="1" selected="0">
            <x v="20"/>
          </reference>
          <reference field="11" count="1" selected="0">
            <x v="76"/>
          </reference>
          <reference field="12" count="1">
            <x v="36"/>
          </reference>
        </references>
      </pivotArea>
    </format>
    <format dxfId="961">
      <pivotArea dataOnly="0" labelOnly="1" outline="0" fieldPosition="0">
        <references count="4">
          <reference field="1" count="1" selected="0">
            <x v="0"/>
          </reference>
          <reference field="5" count="1" selected="0">
            <x v="20"/>
          </reference>
          <reference field="11" count="1" selected="0">
            <x v="144"/>
          </reference>
          <reference field="12" count="1">
            <x v="30"/>
          </reference>
        </references>
      </pivotArea>
    </format>
    <format dxfId="960">
      <pivotArea dataOnly="0" labelOnly="1" outline="0" fieldPosition="0">
        <references count="4">
          <reference field="1" count="1" selected="0">
            <x v="0"/>
          </reference>
          <reference field="5" count="1" selected="0">
            <x v="20"/>
          </reference>
          <reference field="11" count="1" selected="0">
            <x v="158"/>
          </reference>
          <reference field="12" count="1">
            <x v="132"/>
          </reference>
        </references>
      </pivotArea>
    </format>
    <format dxfId="959">
      <pivotArea dataOnly="0" labelOnly="1" outline="0" fieldPosition="0">
        <references count="4">
          <reference field="1" count="1" selected="0">
            <x v="0"/>
          </reference>
          <reference field="5" count="1" selected="0">
            <x v="20"/>
          </reference>
          <reference field="11" count="1" selected="0">
            <x v="159"/>
          </reference>
          <reference field="12" count="1">
            <x v="29"/>
          </reference>
        </references>
      </pivotArea>
    </format>
    <format dxfId="958">
      <pivotArea dataOnly="0" labelOnly="1" outline="0" fieldPosition="0">
        <references count="4">
          <reference field="1" count="1" selected="0">
            <x v="0"/>
          </reference>
          <reference field="5" count="1" selected="0">
            <x v="20"/>
          </reference>
          <reference field="11" count="1" selected="0">
            <x v="160"/>
          </reference>
          <reference field="12" count="1">
            <x v="22"/>
          </reference>
        </references>
      </pivotArea>
    </format>
    <format dxfId="957">
      <pivotArea dataOnly="0" labelOnly="1" outline="0" fieldPosition="0">
        <references count="4">
          <reference field="1" count="1" selected="0">
            <x v="0"/>
          </reference>
          <reference field="5" count="1" selected="0">
            <x v="20"/>
          </reference>
          <reference field="11" count="1" selected="0">
            <x v="161"/>
          </reference>
          <reference field="12" count="1">
            <x v="27"/>
          </reference>
        </references>
      </pivotArea>
    </format>
    <format dxfId="956">
      <pivotArea dataOnly="0" labelOnly="1" outline="0" fieldPosition="0">
        <references count="4">
          <reference field="1" count="1" selected="0">
            <x v="0"/>
          </reference>
          <reference field="5" count="1" selected="0">
            <x v="20"/>
          </reference>
          <reference field="11" count="1" selected="0">
            <x v="162"/>
          </reference>
          <reference field="12" count="1">
            <x v="23"/>
          </reference>
        </references>
      </pivotArea>
    </format>
    <format dxfId="955">
      <pivotArea dataOnly="0" labelOnly="1" outline="0" fieldPosition="0">
        <references count="4">
          <reference field="1" count="1" selected="0">
            <x v="0"/>
          </reference>
          <reference field="5" count="1" selected="0">
            <x v="20"/>
          </reference>
          <reference field="11" count="1" selected="0">
            <x v="171"/>
          </reference>
          <reference field="12" count="1">
            <x v="38"/>
          </reference>
        </references>
      </pivotArea>
    </format>
    <format dxfId="954">
      <pivotArea dataOnly="0" labelOnly="1" outline="0" fieldPosition="0">
        <references count="4">
          <reference field="1" count="1" selected="0">
            <x v="0"/>
          </reference>
          <reference field="5" count="1" selected="0">
            <x v="20"/>
          </reference>
          <reference field="11" count="1" selected="0">
            <x v="186"/>
          </reference>
          <reference field="12" count="1">
            <x v="34"/>
          </reference>
        </references>
      </pivotArea>
    </format>
    <format dxfId="953">
      <pivotArea dataOnly="0" labelOnly="1" outline="0" fieldPosition="0">
        <references count="4">
          <reference field="1" count="1" selected="0">
            <x v="0"/>
          </reference>
          <reference field="5" count="1" selected="0">
            <x v="20"/>
          </reference>
          <reference field="11" count="1" selected="0">
            <x v="190"/>
          </reference>
          <reference field="12" count="1">
            <x v="35"/>
          </reference>
        </references>
      </pivotArea>
    </format>
    <format dxfId="952">
      <pivotArea dataOnly="0" labelOnly="1" outline="0" fieldPosition="0">
        <references count="4">
          <reference field="1" count="1" selected="0">
            <x v="0"/>
          </reference>
          <reference field="5" count="1" selected="0">
            <x v="20"/>
          </reference>
          <reference field="11" count="1" selected="0">
            <x v="194"/>
          </reference>
          <reference field="12" count="1">
            <x v="109"/>
          </reference>
        </references>
      </pivotArea>
    </format>
    <format dxfId="951">
      <pivotArea dataOnly="0" labelOnly="1" outline="0" fieldPosition="0">
        <references count="4">
          <reference field="1" count="1" selected="0">
            <x v="0"/>
          </reference>
          <reference field="5" count="1" selected="0">
            <x v="20"/>
          </reference>
          <reference field="11" count="1" selected="0">
            <x v="221"/>
          </reference>
          <reference field="12" count="1">
            <x v="113"/>
          </reference>
        </references>
      </pivotArea>
    </format>
    <format dxfId="950">
      <pivotArea dataOnly="0" labelOnly="1" outline="0" fieldPosition="0">
        <references count="4">
          <reference field="1" count="1" selected="0">
            <x v="0"/>
          </reference>
          <reference field="5" count="1" selected="0">
            <x v="20"/>
          </reference>
          <reference field="11" count="1" selected="0">
            <x v="223"/>
          </reference>
          <reference field="12" count="1">
            <x v="105"/>
          </reference>
        </references>
      </pivotArea>
    </format>
    <format dxfId="949">
      <pivotArea dataOnly="0" labelOnly="1" outline="0" fieldPosition="0">
        <references count="4">
          <reference field="1" count="1" selected="0">
            <x v="1"/>
          </reference>
          <reference field="5" count="1" selected="0">
            <x v="3"/>
          </reference>
          <reference field="11" count="1" selected="0">
            <x v="141"/>
          </reference>
          <reference field="12" count="1">
            <x v="209"/>
          </reference>
        </references>
      </pivotArea>
    </format>
    <format dxfId="948">
      <pivotArea dataOnly="0" labelOnly="1" outline="0" fieldPosition="0">
        <references count="4">
          <reference field="1" count="1" selected="0">
            <x v="1"/>
          </reference>
          <reference field="5" count="1" selected="0">
            <x v="3"/>
          </reference>
          <reference field="11" count="1" selected="0">
            <x v="225"/>
          </reference>
          <reference field="12" count="1">
            <x v="230"/>
          </reference>
        </references>
      </pivotArea>
    </format>
    <format dxfId="947">
      <pivotArea dataOnly="0" labelOnly="1" outline="0" fieldPosition="0">
        <references count="4">
          <reference field="1" count="1" selected="0">
            <x v="1"/>
          </reference>
          <reference field="5" count="1" selected="0">
            <x v="3"/>
          </reference>
          <reference field="11" count="1" selected="0">
            <x v="238"/>
          </reference>
          <reference field="12" count="1">
            <x v="247"/>
          </reference>
        </references>
      </pivotArea>
    </format>
    <format dxfId="946">
      <pivotArea dataOnly="0" labelOnly="1" outline="0" fieldPosition="0">
        <references count="4">
          <reference field="1" count="1" selected="0">
            <x v="1"/>
          </reference>
          <reference field="5" count="1" selected="0">
            <x v="6"/>
          </reference>
          <reference field="11" count="1" selected="0">
            <x v="47"/>
          </reference>
          <reference field="12" count="1">
            <x v="200"/>
          </reference>
        </references>
      </pivotArea>
    </format>
    <format dxfId="945">
      <pivotArea dataOnly="0" labelOnly="1" outline="0" fieldPosition="0">
        <references count="4">
          <reference field="1" count="1" selected="0">
            <x v="1"/>
          </reference>
          <reference field="5" count="1" selected="0">
            <x v="6"/>
          </reference>
          <reference field="11" count="1" selected="0">
            <x v="48"/>
          </reference>
          <reference field="12" count="1">
            <x v="201"/>
          </reference>
        </references>
      </pivotArea>
    </format>
    <format dxfId="944">
      <pivotArea dataOnly="0" labelOnly="1" outline="0" fieldPosition="0">
        <references count="4">
          <reference field="1" count="1" selected="0">
            <x v="1"/>
          </reference>
          <reference field="5" count="1" selected="0">
            <x v="6"/>
          </reference>
          <reference field="11" count="1" selected="0">
            <x v="49"/>
          </reference>
          <reference field="12" count="1">
            <x v="202"/>
          </reference>
        </references>
      </pivotArea>
    </format>
    <format dxfId="943">
      <pivotArea dataOnly="0" labelOnly="1" outline="0" fieldPosition="0">
        <references count="4">
          <reference field="1" count="1" selected="0">
            <x v="1"/>
          </reference>
          <reference field="5" count="1" selected="0">
            <x v="6"/>
          </reference>
          <reference field="11" count="1" selected="0">
            <x v="116"/>
          </reference>
          <reference field="12" count="1">
            <x v="193"/>
          </reference>
        </references>
      </pivotArea>
    </format>
    <format dxfId="942">
      <pivotArea dataOnly="0" labelOnly="1" outline="0" fieldPosition="0">
        <references count="4">
          <reference field="1" count="1" selected="0">
            <x v="1"/>
          </reference>
          <reference field="5" count="1" selected="0">
            <x v="6"/>
          </reference>
          <reference field="11" count="1" selected="0">
            <x v="130"/>
          </reference>
          <reference field="12" count="1">
            <x v="194"/>
          </reference>
        </references>
      </pivotArea>
    </format>
    <format dxfId="941">
      <pivotArea dataOnly="0" labelOnly="1" outline="0" fieldPosition="0">
        <references count="4">
          <reference field="1" count="1" selected="0">
            <x v="1"/>
          </reference>
          <reference field="5" count="1" selected="0">
            <x v="6"/>
          </reference>
          <reference field="11" count="1" selected="0">
            <x v="201"/>
          </reference>
          <reference field="12" count="1">
            <x v="205"/>
          </reference>
        </references>
      </pivotArea>
    </format>
    <format dxfId="940">
      <pivotArea dataOnly="0" labelOnly="1" outline="0" fieldPosition="0">
        <references count="4">
          <reference field="1" count="1" selected="0">
            <x v="1"/>
          </reference>
          <reference field="5" count="1" selected="0">
            <x v="6"/>
          </reference>
          <reference field="11" count="1" selected="0">
            <x v="214"/>
          </reference>
          <reference field="12" count="1">
            <x v="226"/>
          </reference>
        </references>
      </pivotArea>
    </format>
    <format dxfId="939">
      <pivotArea dataOnly="0" labelOnly="1" outline="0" fieldPosition="0">
        <references count="4">
          <reference field="1" count="1" selected="0">
            <x v="1"/>
          </reference>
          <reference field="5" count="1" selected="0">
            <x v="6"/>
          </reference>
          <reference field="11" count="1" selected="0">
            <x v="232"/>
          </reference>
          <reference field="12" count="1">
            <x v="238"/>
          </reference>
        </references>
      </pivotArea>
    </format>
    <format dxfId="938">
      <pivotArea dataOnly="0" labelOnly="1" outline="0" fieldPosition="0">
        <references count="4">
          <reference field="1" count="1" selected="0">
            <x v="1"/>
          </reference>
          <reference field="5" count="1" selected="0">
            <x v="6"/>
          </reference>
          <reference field="11" count="1" selected="0">
            <x v="239"/>
          </reference>
          <reference field="12" count="1">
            <x v="248"/>
          </reference>
        </references>
      </pivotArea>
    </format>
    <format dxfId="937">
      <pivotArea dataOnly="0" labelOnly="1" outline="0" fieldPosition="0">
        <references count="4">
          <reference field="1" count="1" selected="0">
            <x v="1"/>
          </reference>
          <reference field="5" count="1" selected="0">
            <x v="9"/>
          </reference>
          <reference field="11" count="1" selected="0">
            <x v="90"/>
          </reference>
          <reference field="12" count="1">
            <x v="195"/>
          </reference>
        </references>
      </pivotArea>
    </format>
    <format dxfId="936">
      <pivotArea dataOnly="0" labelOnly="1" outline="0" fieldPosition="0">
        <references count="4">
          <reference field="1" count="1" selected="0">
            <x v="1"/>
          </reference>
          <reference field="5" count="1" selected="0">
            <x v="9"/>
          </reference>
          <reference field="11" count="1" selected="0">
            <x v="91"/>
          </reference>
          <reference field="12" count="1">
            <x v="210"/>
          </reference>
        </references>
      </pivotArea>
    </format>
    <format dxfId="935">
      <pivotArea dataOnly="0" labelOnly="1" outline="0" fieldPosition="0">
        <references count="4">
          <reference field="1" count="1" selected="0">
            <x v="1"/>
          </reference>
          <reference field="5" count="1" selected="0">
            <x v="9"/>
          </reference>
          <reference field="11" count="1" selected="0">
            <x v="237"/>
          </reference>
          <reference field="12" count="1">
            <x v="243"/>
          </reference>
        </references>
      </pivotArea>
    </format>
    <format dxfId="934">
      <pivotArea dataOnly="0" labelOnly="1" outline="0" fieldPosition="0">
        <references count="4">
          <reference field="1" count="1" selected="0">
            <x v="1"/>
          </reference>
          <reference field="5" count="1" selected="0">
            <x v="13"/>
          </reference>
          <reference field="11" count="1" selected="0">
            <x v="35"/>
          </reference>
          <reference field="12" count="1">
            <x v="196"/>
          </reference>
        </references>
      </pivotArea>
    </format>
    <format dxfId="933">
      <pivotArea dataOnly="0" labelOnly="1" outline="0" fieldPosition="0">
        <references count="4">
          <reference field="1" count="1" selected="0">
            <x v="1"/>
          </reference>
          <reference field="5" count="1" selected="0">
            <x v="13"/>
          </reference>
          <reference field="11" count="1" selected="0">
            <x v="36"/>
          </reference>
          <reference field="12" count="1">
            <x v="206"/>
          </reference>
        </references>
      </pivotArea>
    </format>
    <format dxfId="932">
      <pivotArea dataOnly="0" labelOnly="1" outline="0" fieldPosition="0">
        <references count="4">
          <reference field="1" count="1" selected="0">
            <x v="1"/>
          </reference>
          <reference field="5" count="1" selected="0">
            <x v="13"/>
          </reference>
          <reference field="11" count="1" selected="0">
            <x v="113"/>
          </reference>
          <reference field="12" count="1">
            <x v="192"/>
          </reference>
        </references>
      </pivotArea>
    </format>
    <format dxfId="931">
      <pivotArea dataOnly="0" labelOnly="1" outline="0" fieldPosition="0">
        <references count="4">
          <reference field="1" count="1" selected="0">
            <x v="1"/>
          </reference>
          <reference field="5" count="1" selected="0">
            <x v="13"/>
          </reference>
          <reference field="11" count="1" selected="0">
            <x v="129"/>
          </reference>
          <reference field="12" count="1">
            <x v="197"/>
          </reference>
        </references>
      </pivotArea>
    </format>
    <format dxfId="930">
      <pivotArea dataOnly="0" labelOnly="1" outline="0" fieldPosition="0">
        <references count="4">
          <reference field="1" count="1" selected="0">
            <x v="1"/>
          </reference>
          <reference field="5" count="1" selected="0">
            <x v="13"/>
          </reference>
          <reference field="11" count="1" selected="0">
            <x v="207"/>
          </reference>
          <reference field="12" count="1">
            <x v="219"/>
          </reference>
        </references>
      </pivotArea>
    </format>
    <format dxfId="929">
      <pivotArea dataOnly="0" labelOnly="1" outline="0" fieldPosition="0">
        <references count="4">
          <reference field="1" count="1" selected="0">
            <x v="1"/>
          </reference>
          <reference field="5" count="1" selected="0">
            <x v="13"/>
          </reference>
          <reference field="11" count="1" selected="0">
            <x v="210"/>
          </reference>
          <reference field="12" count="1">
            <x v="223"/>
          </reference>
        </references>
      </pivotArea>
    </format>
    <format dxfId="928">
      <pivotArea dataOnly="0" labelOnly="1" outline="0" fieldPosition="0">
        <references count="4">
          <reference field="1" count="1" selected="0">
            <x v="1"/>
          </reference>
          <reference field="5" count="1" selected="0">
            <x v="15"/>
          </reference>
          <reference field="11" count="1" selected="0">
            <x v="123"/>
          </reference>
          <reference field="12" count="1">
            <x v="191"/>
          </reference>
        </references>
      </pivotArea>
    </format>
    <format dxfId="927">
      <pivotArea dataOnly="0" labelOnly="1" outline="0" fieldPosition="0">
        <references count="4">
          <reference field="1" count="1" selected="0">
            <x v="1"/>
          </reference>
          <reference field="5" count="1" selected="0">
            <x v="15"/>
          </reference>
          <reference field="11" count="1" selected="0">
            <x v="124"/>
          </reference>
          <reference field="12" count="1">
            <x v="188"/>
          </reference>
        </references>
      </pivotArea>
    </format>
    <format dxfId="926">
      <pivotArea dataOnly="0" labelOnly="1" outline="0" fieldPosition="0">
        <references count="4">
          <reference field="1" count="1" selected="0">
            <x v="1"/>
          </reference>
          <reference field="5" count="1" selected="0">
            <x v="15"/>
          </reference>
          <reference field="11" count="1" selected="0">
            <x v="125"/>
          </reference>
          <reference field="12" count="1">
            <x v="190"/>
          </reference>
        </references>
      </pivotArea>
    </format>
    <format dxfId="925">
      <pivotArea dataOnly="0" labelOnly="1" outline="0" fieldPosition="0">
        <references count="4">
          <reference field="1" count="1" selected="0">
            <x v="1"/>
          </reference>
          <reference field="5" count="1" selected="0">
            <x v="15"/>
          </reference>
          <reference field="11" count="1" selected="0">
            <x v="208"/>
          </reference>
          <reference field="12" count="1">
            <x v="220"/>
          </reference>
        </references>
      </pivotArea>
    </format>
    <format dxfId="924">
      <pivotArea dataOnly="0" labelOnly="1" outline="0" fieldPosition="0">
        <references count="4">
          <reference field="1" count="1" selected="0">
            <x v="1"/>
          </reference>
          <reference field="5" count="1" selected="0">
            <x v="15"/>
          </reference>
          <reference field="11" count="1" selected="0">
            <x v="212"/>
          </reference>
          <reference field="12" count="1">
            <x v="221"/>
          </reference>
        </references>
      </pivotArea>
    </format>
    <format dxfId="923">
      <pivotArea dataOnly="0" labelOnly="1" outline="0" fieldPosition="0">
        <references count="4">
          <reference field="1" count="1" selected="0">
            <x v="1"/>
          </reference>
          <reference field="5" count="1" selected="0">
            <x v="15"/>
          </reference>
          <reference field="11" count="1" selected="0">
            <x v="234"/>
          </reference>
          <reference field="12" count="1">
            <x v="244"/>
          </reference>
        </references>
      </pivotArea>
    </format>
    <format dxfId="922">
      <pivotArea dataOnly="0" labelOnly="1" outline="0" fieldPosition="0">
        <references count="4">
          <reference field="1" count="1" selected="0">
            <x v="1"/>
          </reference>
          <reference field="5" count="1" selected="0">
            <x v="15"/>
          </reference>
          <reference field="11" count="1" selected="0">
            <x v="235"/>
          </reference>
          <reference field="12" count="1">
            <x v="245"/>
          </reference>
        </references>
      </pivotArea>
    </format>
    <format dxfId="921">
      <pivotArea dataOnly="0" labelOnly="1" outline="0" fieldPosition="0">
        <references count="4">
          <reference field="1" count="1" selected="0">
            <x v="1"/>
          </reference>
          <reference field="5" count="1" selected="0">
            <x v="16"/>
          </reference>
          <reference field="11" count="1" selected="0">
            <x v="135"/>
          </reference>
          <reference field="12" count="1">
            <x v="199"/>
          </reference>
        </references>
      </pivotArea>
    </format>
    <format dxfId="920">
      <pivotArea dataOnly="0" labelOnly="1" outline="0" fieldPosition="0">
        <references count="4">
          <reference field="1" count="1" selected="0">
            <x v="1"/>
          </reference>
          <reference field="5" count="1" selected="0">
            <x v="16"/>
          </reference>
          <reference field="11" count="1" selected="0">
            <x v="136"/>
          </reference>
          <reference field="12" count="1">
            <x v="211"/>
          </reference>
        </references>
      </pivotArea>
    </format>
    <format dxfId="919">
      <pivotArea dataOnly="0" labelOnly="1" outline="0" fieldPosition="0">
        <references count="4">
          <reference field="1" count="1" selected="0">
            <x v="1"/>
          </reference>
          <reference field="5" count="1" selected="0">
            <x v="16"/>
          </reference>
          <reference field="11" count="1" selected="0">
            <x v="236"/>
          </reference>
          <reference field="12" count="1">
            <x v="242"/>
          </reference>
        </references>
      </pivotArea>
    </format>
    <format dxfId="918">
      <pivotArea dataOnly="0" labelOnly="1" outline="0" fieldPosition="0">
        <references count="1">
          <reference field="4294967294" count="2">
            <x v="0"/>
            <x v="1"/>
          </reference>
        </references>
      </pivotArea>
    </format>
    <format dxfId="917">
      <pivotArea field="1" type="button" dataOnly="0" labelOnly="1" outline="0" axis="axisRow" fieldPosition="0"/>
    </format>
    <format dxfId="916">
      <pivotArea field="5" type="button" dataOnly="0" labelOnly="1" outline="0" axis="axisRow" fieldPosition="1"/>
    </format>
    <format dxfId="915">
      <pivotArea field="11" type="button" dataOnly="0" labelOnly="1" outline="0" axis="axisRow" fieldPosition="2"/>
    </format>
    <format dxfId="914">
      <pivotArea field="12" type="button" dataOnly="0" labelOnly="1" outline="0" axis="axisRow" fieldPosition="3"/>
    </format>
    <format dxfId="913">
      <pivotArea field="24" type="button" dataOnly="0" labelOnly="1" outline="0" axis="axisRow" fieldPosition="4"/>
    </format>
    <format dxfId="912">
      <pivotArea field="19" type="button" dataOnly="0" labelOnly="1" outline="0" axis="axisRow" fieldPosition="5"/>
    </format>
    <format dxfId="911">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showDrill="0" useAutoFormatting="1" itemPrintTitles="1" createdVersion="4" indent="0" compact="0" compactData="0" multipleFieldFilters="0">
  <location ref="A8:H11" firstHeaderRow="0" firstDataRow="1" firstDataCol="6" rowPageCount="2" colPageCount="1"/>
  <pivotFields count="31">
    <pivotField axis="axisPage" compact="0" outline="0" multipleItemSelectionAllowed="1" showAll="0" defaultSubtotal="0">
      <items count="4">
        <item h="1" x="1"/>
        <item h="1" x="0"/>
        <item x="3"/>
        <item h="1"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3"/>
        <item x="2"/>
        <item x="10"/>
        <item x="21"/>
        <item x="22"/>
        <item x="12"/>
        <item x="11"/>
        <item x="17"/>
        <item x="14"/>
        <item x="5"/>
        <item x="18"/>
        <item x="8"/>
        <item x="9"/>
        <item x="4"/>
        <item x="20"/>
        <item x="0"/>
        <item x="16"/>
        <item x="19"/>
        <item x="7"/>
        <item x="6"/>
        <item x="13"/>
        <item x="15"/>
        <item x="1"/>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00">
        <item x="139"/>
        <item x="147"/>
        <item x="123"/>
        <item x="205"/>
        <item x="37"/>
        <item x="219"/>
        <item x="130"/>
        <item x="135"/>
        <item x="141"/>
        <item x="283"/>
        <item x="144"/>
        <item x="138"/>
        <item x="86"/>
        <item x="287"/>
        <item x="288"/>
        <item x="177"/>
        <item x="178"/>
        <item x="176"/>
        <item x="128"/>
        <item x="153"/>
        <item x="140"/>
        <item x="107"/>
        <item x="75"/>
        <item x="112"/>
        <item x="188"/>
        <item x="74"/>
        <item x="82"/>
        <item x="35"/>
        <item x="131"/>
        <item x="202"/>
        <item x="129"/>
        <item x="9"/>
        <item x="106"/>
        <item x="148"/>
        <item x="292"/>
        <item x="152"/>
        <item x="257"/>
        <item x="43"/>
        <item x="286"/>
        <item x="194"/>
        <item x="24"/>
        <item x="76"/>
        <item x="118"/>
        <item x="136"/>
        <item x="154"/>
        <item x="170"/>
        <item x="121"/>
        <item x="241"/>
        <item x="255"/>
        <item x="251"/>
        <item x="164"/>
        <item x="266"/>
        <item x="103"/>
        <item x="39"/>
        <item x="157"/>
        <item x="179"/>
        <item x="161"/>
        <item x="13"/>
        <item x="15"/>
        <item x="99"/>
        <item x="282"/>
        <item x="201"/>
        <item x="281"/>
        <item x="45"/>
        <item x="213"/>
        <item x="279"/>
        <item x="155"/>
        <item x="245"/>
        <item x="193"/>
        <item x="225"/>
        <item x="248"/>
        <item x="226"/>
        <item x="259"/>
        <item x="10"/>
        <item x="67"/>
        <item x="71"/>
        <item x="166"/>
        <item x="110"/>
        <item x="291"/>
        <item x="42"/>
        <item x="109"/>
        <item x="294"/>
        <item x="117"/>
        <item x="127"/>
        <item x="195"/>
        <item x="262"/>
        <item x="11"/>
        <item x="149"/>
        <item x="132"/>
        <item x="122"/>
        <item x="36"/>
        <item x="246"/>
        <item x="59"/>
        <item x="53"/>
        <item x="58"/>
        <item x="124"/>
        <item x="180"/>
        <item x="66"/>
        <item x="199"/>
        <item x="101"/>
        <item x="183"/>
        <item x="22"/>
        <item x="85"/>
        <item x="61"/>
        <item x="297"/>
        <item x="27"/>
        <item x="25"/>
        <item x="264"/>
        <item x="263"/>
        <item x="296"/>
        <item x="278"/>
        <item x="159"/>
        <item x="12"/>
        <item x="48"/>
        <item x="7"/>
        <item x="247"/>
        <item x="174"/>
        <item x="175"/>
        <item x="250"/>
        <item x="60"/>
        <item x="268"/>
        <item x="163"/>
        <item x="115"/>
        <item x="169"/>
        <item x="114"/>
        <item x="162"/>
        <item x="116"/>
        <item x="111"/>
        <item x="55"/>
        <item x="223"/>
        <item x="229"/>
        <item x="49"/>
        <item x="88"/>
        <item x="87"/>
        <item x="90"/>
        <item x="92"/>
        <item x="93"/>
        <item x="89"/>
        <item x="94"/>
        <item x="91"/>
        <item x="16"/>
        <item x="17"/>
        <item x="100"/>
        <item x="84"/>
        <item x="81"/>
        <item x="80"/>
        <item x="70"/>
        <item x="83"/>
        <item x="146"/>
        <item x="227"/>
        <item x="172"/>
        <item x="32"/>
        <item x="46"/>
        <item x="54"/>
        <item x="280"/>
        <item x="239"/>
        <item x="269"/>
        <item x="243"/>
        <item x="237"/>
        <item x="203"/>
        <item x="167"/>
        <item x="244"/>
        <item x="221"/>
        <item x="235"/>
        <item x="249"/>
        <item x="145"/>
        <item x="230"/>
        <item x="233"/>
        <item x="38"/>
        <item x="192"/>
        <item x="14"/>
        <item x="208"/>
        <item x="47"/>
        <item x="125"/>
        <item x="220"/>
        <item x="216"/>
        <item x="231"/>
        <item x="218"/>
        <item x="252"/>
        <item x="234"/>
        <item x="253"/>
        <item x="242"/>
        <item x="222"/>
        <item x="240"/>
        <item x="168"/>
        <item x="171"/>
        <item x="126"/>
        <item x="137"/>
        <item x="236"/>
        <item x="224"/>
        <item x="256"/>
        <item x="232"/>
        <item x="284"/>
        <item x="217"/>
        <item x="209"/>
        <item x="276"/>
        <item x="277"/>
        <item x="275"/>
        <item x="20"/>
        <item x="44"/>
        <item x="72"/>
        <item x="77"/>
        <item x="254"/>
        <item x="68"/>
        <item x="182"/>
        <item x="29"/>
        <item x="273"/>
        <item x="31"/>
        <item x="187"/>
        <item x="267"/>
        <item x="78"/>
        <item x="79"/>
        <item x="113"/>
        <item x="56"/>
        <item x="1"/>
        <item x="63"/>
        <item x="120"/>
        <item x="215"/>
        <item x="108"/>
        <item x="97"/>
        <item x="260"/>
        <item x="238"/>
        <item x="158"/>
        <item x="96"/>
        <item x="142"/>
        <item x="62"/>
        <item x="119"/>
        <item x="28"/>
        <item x="21"/>
        <item x="26"/>
        <item x="23"/>
        <item x="133"/>
        <item x="270"/>
        <item x="102"/>
        <item x="206"/>
        <item x="150"/>
        <item x="189"/>
        <item x="98"/>
        <item x="197"/>
        <item x="185"/>
        <item x="160"/>
        <item x="64"/>
        <item x="290"/>
        <item x="190"/>
        <item x="191"/>
        <item x="5"/>
        <item x="6"/>
        <item x="265"/>
        <item x="50"/>
        <item x="51"/>
        <item x="274"/>
        <item x="8"/>
        <item x="181"/>
        <item x="69"/>
        <item x="184"/>
        <item x="285"/>
        <item x="156"/>
        <item x="52"/>
        <item x="214"/>
        <item x="200"/>
        <item x="198"/>
        <item x="210"/>
        <item x="104"/>
        <item x="57"/>
        <item x="0"/>
        <item x="18"/>
        <item x="3"/>
        <item x="2"/>
        <item x="4"/>
        <item x="207"/>
        <item x="30"/>
        <item x="186"/>
        <item x="95"/>
        <item x="173"/>
        <item x="212"/>
        <item x="65"/>
        <item x="293"/>
        <item x="272"/>
        <item x="295"/>
        <item x="34"/>
        <item x="33"/>
        <item x="204"/>
        <item x="151"/>
        <item x="134"/>
        <item x="289"/>
        <item x="271"/>
        <item x="41"/>
        <item x="143"/>
        <item x="19"/>
        <item x="40"/>
        <item x="73"/>
        <item x="105"/>
        <item x="165"/>
        <item x="228"/>
        <item x="211"/>
        <item x="196"/>
        <item x="261"/>
        <item x="298"/>
        <item x="258"/>
        <item x="299"/>
      </items>
      <extLst>
        <ext xmlns:x14="http://schemas.microsoft.com/office/spreadsheetml/2009/9/main" uri="{2946ED86-A175-432a-8AC1-64E0C546D7DE}">
          <x14:pivotField fillDownLabels="1"/>
        </ext>
      </extLst>
    </pivotField>
    <pivotField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161"/>
        <item x="189"/>
        <item x="162"/>
        <item x="191"/>
        <item x="163"/>
        <item x="164"/>
        <item x="167"/>
        <item x="172"/>
        <item x="196"/>
        <item x="173"/>
        <item x="175"/>
        <item x="183"/>
        <item x="200"/>
        <item x="188"/>
        <item x="202"/>
        <item x="190"/>
        <item x="192"/>
        <item x="205"/>
        <item x="206"/>
        <item x="207"/>
        <item x="208"/>
        <item x="193"/>
        <item x="210"/>
        <item x="194"/>
        <item x="195"/>
        <item x="197"/>
        <item x="293"/>
        <item x="198"/>
        <item x="199"/>
        <item x="217"/>
        <item x="201"/>
        <item x="203"/>
        <item x="220"/>
        <item x="204"/>
        <item x="222"/>
        <item x="209"/>
        <item x="211"/>
        <item x="294"/>
        <item x="212"/>
        <item x="295"/>
        <item x="296"/>
        <item x="213"/>
        <item x="214"/>
        <item x="215"/>
        <item x="297"/>
        <item x="298"/>
        <item x="216"/>
        <item x="218"/>
        <item x="299"/>
        <item x="219"/>
        <item x="237"/>
        <item x="221"/>
        <item x="223"/>
        <item x="240"/>
        <item x="224"/>
        <item x="225"/>
        <item x="226"/>
        <item x="244"/>
        <item x="245"/>
        <item x="246"/>
        <item x="227"/>
        <item x="248"/>
        <item x="228"/>
        <item x="229"/>
        <item x="230"/>
        <item x="252"/>
        <item x="231"/>
        <item x="254"/>
        <item x="255"/>
        <item x="256"/>
        <item x="257"/>
        <item x="232"/>
        <item x="259"/>
        <item x="260"/>
        <item x="261"/>
        <item x="233"/>
        <item x="234"/>
        <item x="235"/>
        <item x="236"/>
        <item x="238"/>
        <item x="239"/>
        <item x="270"/>
        <item x="300"/>
        <item x="241"/>
        <item x="271"/>
        <item x="272"/>
        <item x="242"/>
        <item x="243"/>
        <item x="275"/>
        <item x="247"/>
        <item x="277"/>
        <item x="278"/>
        <item x="279"/>
        <item x="280"/>
        <item x="249"/>
        <item x="282"/>
        <item x="283"/>
        <item x="284"/>
        <item x="285"/>
        <item x="286"/>
        <item x="287"/>
        <item x="288"/>
        <item x="289"/>
        <item x="290"/>
        <item x="291"/>
        <item x="292"/>
        <item x="250"/>
        <item x="251"/>
        <item x="253"/>
        <item x="258"/>
        <item x="262"/>
        <item x="263"/>
        <item x="264"/>
        <item x="30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7">
        <item x="2"/>
        <item x="0"/>
        <item x="1"/>
        <item x="3"/>
        <item x="6"/>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7">
        <item x="0"/>
        <item x="5"/>
        <item x="6"/>
        <item x="3"/>
        <item x="2"/>
        <item x="1"/>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1"/>
    <field x="5"/>
    <field x="11"/>
    <field x="12"/>
    <field x="21"/>
    <field x="19"/>
  </rowFields>
  <rowItems count="3">
    <i>
      <x/>
      <x v="9"/>
      <x v="297"/>
      <x v="300"/>
      <x v="4"/>
      <x/>
    </i>
    <i r="1">
      <x v="22"/>
      <x v="109"/>
      <x v="236"/>
      <x v="4"/>
      <x/>
    </i>
    <i t="grand">
      <x/>
    </i>
  </rowItems>
  <colFields count="1">
    <field x="-2"/>
  </colFields>
  <colItems count="2">
    <i>
      <x/>
    </i>
    <i i="1">
      <x v="1"/>
    </i>
  </colItems>
  <pageFields count="2">
    <pageField fld="0" hier="-1"/>
    <pageField fld="20" hier="-1"/>
  </pageFields>
  <dataFields count="2">
    <dataField name="Household" fld="16" baseField="19" baseItem="0"/>
    <dataField name="Individual" fld="17" baseField="19" baseItem="0"/>
  </dataFields>
  <formats count="23">
    <format dxfId="910">
      <pivotArea type="all" dataOnly="0" outline="0" fieldPosition="0"/>
    </format>
    <format dxfId="909">
      <pivotArea outline="0" collapsedLevelsAreSubtotals="1" fieldPosition="0"/>
    </format>
    <format dxfId="908">
      <pivotArea field="1" type="button" dataOnly="0" labelOnly="1" outline="0" axis="axisRow" fieldPosition="0"/>
    </format>
    <format dxfId="907">
      <pivotArea field="5" type="button" dataOnly="0" labelOnly="1" outline="0" axis="axisRow" fieldPosition="1"/>
    </format>
    <format dxfId="906">
      <pivotArea field="11" type="button" dataOnly="0" labelOnly="1" outline="0" axis="axisRow" fieldPosition="2"/>
    </format>
    <format dxfId="905">
      <pivotArea field="12" type="button" dataOnly="0" labelOnly="1" outline="0" axis="axisRow" fieldPosition="3"/>
    </format>
    <format dxfId="904">
      <pivotArea field="24" type="button" dataOnly="0" labelOnly="1" outline="0"/>
    </format>
    <format dxfId="903">
      <pivotArea field="21" type="button" dataOnly="0" labelOnly="1" outline="0" axis="axisRow" fieldPosition="4"/>
    </format>
    <format dxfId="902">
      <pivotArea field="19" type="button" dataOnly="0" labelOnly="1" outline="0" axis="axisRow" fieldPosition="5"/>
    </format>
    <format dxfId="901">
      <pivotArea dataOnly="0" labelOnly="1" outline="0" fieldPosition="0">
        <references count="1">
          <reference field="1" count="1">
            <x v="0"/>
          </reference>
        </references>
      </pivotArea>
    </format>
    <format dxfId="900">
      <pivotArea dataOnly="0" labelOnly="1" grandRow="1" outline="0" fieldPosition="0"/>
    </format>
    <format dxfId="899">
      <pivotArea dataOnly="0" labelOnly="1" outline="0" fieldPosition="0">
        <references count="2">
          <reference field="1" count="1" selected="0">
            <x v="0"/>
          </reference>
          <reference field="5" count="1">
            <x v="22"/>
          </reference>
        </references>
      </pivotArea>
    </format>
    <format dxfId="898">
      <pivotArea dataOnly="0" labelOnly="1" outline="0" fieldPosition="0">
        <references count="3">
          <reference field="1" count="1" selected="0">
            <x v="0"/>
          </reference>
          <reference field="5" count="1" selected="0">
            <x v="22"/>
          </reference>
          <reference field="11" count="1">
            <x v="109"/>
          </reference>
        </references>
      </pivotArea>
    </format>
    <format dxfId="897">
      <pivotArea dataOnly="0" labelOnly="1" outline="0" fieldPosition="0">
        <references count="4">
          <reference field="1" count="1" selected="0">
            <x v="0"/>
          </reference>
          <reference field="5" count="1" selected="0">
            <x v="22"/>
          </reference>
          <reference field="11" count="1" selected="0">
            <x v="109"/>
          </reference>
          <reference field="12" count="1">
            <x v="236"/>
          </reference>
        </references>
      </pivotArea>
    </format>
    <format dxfId="896">
      <pivotArea dataOnly="0" labelOnly="1" outline="0" fieldPosition="0">
        <references count="1">
          <reference field="4294967294" count="2">
            <x v="0"/>
            <x v="1"/>
          </reference>
        </references>
      </pivotArea>
    </format>
    <format dxfId="895">
      <pivotArea field="1" type="button" dataOnly="0" labelOnly="1" outline="0" axis="axisRow" fieldPosition="0"/>
    </format>
    <format dxfId="894">
      <pivotArea field="5" type="button" dataOnly="0" labelOnly="1" outline="0" axis="axisRow" fieldPosition="1"/>
    </format>
    <format dxfId="893">
      <pivotArea field="11" type="button" dataOnly="0" labelOnly="1" outline="0" axis="axisRow" fieldPosition="2"/>
    </format>
    <format dxfId="892">
      <pivotArea field="12" type="button" dataOnly="0" labelOnly="1" outline="0" axis="axisRow" fieldPosition="3"/>
    </format>
    <format dxfId="891">
      <pivotArea field="24" type="button" dataOnly="0" labelOnly="1" outline="0"/>
    </format>
    <format dxfId="890">
      <pivotArea field="21" type="button" dataOnly="0" labelOnly="1" outline="0" axis="axisRow" fieldPosition="4"/>
    </format>
    <format dxfId="889">
      <pivotArea field="19" type="button" dataOnly="0" labelOnly="1" outline="0" axis="axisRow" fieldPosition="5"/>
    </format>
    <format dxfId="88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TCL"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306" firstHeaderRow="1" firstDataRow="1" firstDataCol="2" rowPageCount="1" colPageCount="1"/>
  <pivotFields count="31">
    <pivotField axis="axisPage" compact="0" outline="0" multipleItemSelectionAllowed="1"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3"/>
        <item x="2"/>
        <item x="10"/>
        <item x="21"/>
        <item x="12"/>
        <item x="11"/>
        <item x="17"/>
        <item x="14"/>
        <item x="5"/>
        <item x="18"/>
        <item x="8"/>
        <item x="9"/>
        <item x="4"/>
        <item x="20"/>
        <item x="0"/>
        <item x="16"/>
        <item x="19"/>
        <item x="7"/>
        <item x="6"/>
        <item x="13"/>
        <item x="1"/>
        <item x="22"/>
        <item x="15"/>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00">
        <item x="139"/>
        <item x="147"/>
        <item x="123"/>
        <item x="37"/>
        <item x="130"/>
        <item x="135"/>
        <item x="141"/>
        <item x="144"/>
        <item x="138"/>
        <item x="86"/>
        <item x="177"/>
        <item x="178"/>
        <item x="176"/>
        <item x="128"/>
        <item x="153"/>
        <item x="140"/>
        <item x="107"/>
        <item x="75"/>
        <item x="112"/>
        <item x="74"/>
        <item x="82"/>
        <item x="35"/>
        <item x="131"/>
        <item x="129"/>
        <item x="106"/>
        <item x="148"/>
        <item x="152"/>
        <item x="257"/>
        <item x="43"/>
        <item x="24"/>
        <item x="76"/>
        <item x="118"/>
        <item x="136"/>
        <item x="154"/>
        <item x="121"/>
        <item x="241"/>
        <item x="251"/>
        <item x="266"/>
        <item x="103"/>
        <item x="39"/>
        <item x="157"/>
        <item x="179"/>
        <item x="13"/>
        <item x="15"/>
        <item x="99"/>
        <item x="45"/>
        <item x="155"/>
        <item x="245"/>
        <item x="225"/>
        <item x="226"/>
        <item x="10"/>
        <item x="67"/>
        <item x="71"/>
        <item x="166"/>
        <item x="42"/>
        <item x="109"/>
        <item x="117"/>
        <item x="127"/>
        <item x="262"/>
        <item x="11"/>
        <item x="149"/>
        <item x="132"/>
        <item x="122"/>
        <item x="36"/>
        <item x="59"/>
        <item x="53"/>
        <item x="58"/>
        <item x="124"/>
        <item x="101"/>
        <item x="183"/>
        <item x="22"/>
        <item x="85"/>
        <item x="61"/>
        <item x="27"/>
        <item x="25"/>
        <item x="264"/>
        <item x="263"/>
        <item x="278"/>
        <item x="12"/>
        <item x="48"/>
        <item x="7"/>
        <item x="174"/>
        <item x="175"/>
        <item x="60"/>
        <item x="163"/>
        <item x="115"/>
        <item x="114"/>
        <item x="116"/>
        <item x="111"/>
        <item x="55"/>
        <item x="223"/>
        <item x="229"/>
        <item x="49"/>
        <item x="88"/>
        <item x="87"/>
        <item x="90"/>
        <item x="92"/>
        <item x="93"/>
        <item x="89"/>
        <item x="94"/>
        <item x="91"/>
        <item x="16"/>
        <item x="17"/>
        <item x="100"/>
        <item x="84"/>
        <item x="81"/>
        <item x="80"/>
        <item x="70"/>
        <item x="83"/>
        <item x="146"/>
        <item x="46"/>
        <item x="54"/>
        <item x="243"/>
        <item x="237"/>
        <item x="203"/>
        <item x="167"/>
        <item x="221"/>
        <item x="249"/>
        <item x="145"/>
        <item x="38"/>
        <item x="14"/>
        <item x="47"/>
        <item x="125"/>
        <item x="220"/>
        <item x="216"/>
        <item x="218"/>
        <item x="252"/>
        <item x="234"/>
        <item x="253"/>
        <item x="242"/>
        <item x="222"/>
        <item x="168"/>
        <item x="171"/>
        <item x="126"/>
        <item x="137"/>
        <item x="224"/>
        <item x="256"/>
        <item x="20"/>
        <item x="44"/>
        <item x="72"/>
        <item x="77"/>
        <item x="254"/>
        <item x="68"/>
        <item x="182"/>
        <item x="29"/>
        <item x="273"/>
        <item x="78"/>
        <item x="79"/>
        <item x="113"/>
        <item x="56"/>
        <item x="1"/>
        <item x="63"/>
        <item x="120"/>
        <item x="108"/>
        <item x="158"/>
        <item x="96"/>
        <item x="142"/>
        <item x="62"/>
        <item x="119"/>
        <item x="28"/>
        <item x="21"/>
        <item x="26"/>
        <item x="23"/>
        <item x="133"/>
        <item x="270"/>
        <item x="102"/>
        <item x="150"/>
        <item x="98"/>
        <item x="64"/>
        <item x="5"/>
        <item x="6"/>
        <item x="265"/>
        <item x="50"/>
        <item x="51"/>
        <item x="8"/>
        <item x="181"/>
        <item x="69"/>
        <item x="184"/>
        <item x="156"/>
        <item x="52"/>
        <item x="104"/>
        <item x="57"/>
        <item x="0"/>
        <item x="3"/>
        <item x="2"/>
        <item x="4"/>
        <item x="30"/>
        <item x="95"/>
        <item x="173"/>
        <item x="65"/>
        <item x="34"/>
        <item x="33"/>
        <item x="151"/>
        <item x="134"/>
        <item x="271"/>
        <item x="41"/>
        <item x="143"/>
        <item x="19"/>
        <item x="40"/>
        <item x="73"/>
        <item x="165"/>
        <item x="228"/>
        <item x="159"/>
        <item x="160"/>
        <item x="186"/>
        <item x="188"/>
        <item x="161"/>
        <item x="230"/>
        <item x="231"/>
        <item x="162"/>
        <item x="233"/>
        <item x="164"/>
        <item x="232"/>
        <item x="169"/>
        <item x="235"/>
        <item x="193"/>
        <item x="170"/>
        <item x="172"/>
        <item x="32"/>
        <item x="31"/>
        <item x="110"/>
        <item x="97"/>
        <item x="18"/>
        <item x="105"/>
        <item x="180"/>
        <item x="236"/>
        <item x="197"/>
        <item x="185"/>
        <item x="199"/>
        <item x="187"/>
        <item x="189"/>
        <item x="202"/>
        <item x="267"/>
        <item x="204"/>
        <item x="269"/>
        <item x="239"/>
        <item x="238"/>
        <item x="268"/>
        <item x="272"/>
        <item x="244"/>
        <item x="205"/>
        <item x="190"/>
        <item x="207"/>
        <item x="191"/>
        <item x="192"/>
        <item x="274"/>
        <item x="275"/>
        <item x="276"/>
        <item x="277"/>
        <item x="246"/>
        <item x="279"/>
        <item x="280"/>
        <item x="281"/>
        <item x="282"/>
        <item x="283"/>
        <item x="284"/>
        <item x="285"/>
        <item x="286"/>
        <item x="287"/>
        <item x="288"/>
        <item x="289"/>
        <item x="247"/>
        <item x="248"/>
        <item x="250"/>
        <item x="255"/>
        <item x="194"/>
        <item x="290"/>
        <item x="195"/>
        <item x="259"/>
        <item x="214"/>
        <item x="200"/>
        <item x="9"/>
        <item x="201"/>
        <item x="66"/>
        <item x="217"/>
        <item x="219"/>
        <item x="260"/>
        <item x="206"/>
        <item x="240"/>
        <item x="227"/>
        <item x="297"/>
        <item x="208"/>
        <item x="291"/>
        <item x="292"/>
        <item x="210"/>
        <item x="212"/>
        <item x="294"/>
        <item x="213"/>
        <item x="215"/>
        <item x="198"/>
        <item x="209"/>
        <item x="293"/>
        <item x="296"/>
        <item x="295"/>
        <item x="211"/>
        <item x="196"/>
        <item x="261"/>
        <item x="298"/>
        <item x="258"/>
        <item x="29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11"/>
  </rowFields>
  <rowItems count="303">
    <i>
      <x/>
      <x v="3"/>
    </i>
    <i r="1">
      <x v="7"/>
    </i>
    <i r="1">
      <x v="22"/>
    </i>
    <i r="1">
      <x v="34"/>
    </i>
    <i r="1">
      <x v="39"/>
    </i>
    <i r="1">
      <x v="45"/>
    </i>
    <i r="1">
      <x v="63"/>
    </i>
    <i r="1">
      <x v="119"/>
    </i>
    <i r="1">
      <x v="138"/>
    </i>
    <i r="1">
      <x v="156"/>
    </i>
    <i r="1">
      <x v="164"/>
    </i>
    <i r="1">
      <x v="177"/>
    </i>
    <i r="1">
      <x v="179"/>
    </i>
    <i r="1">
      <x v="188"/>
    </i>
    <i r="1">
      <x v="198"/>
    </i>
    <i r="1">
      <x v="204"/>
    </i>
    <i>
      <x v="1"/>
      <x v="21"/>
    </i>
    <i r="1">
      <x v="28"/>
    </i>
    <i r="1">
      <x v="37"/>
    </i>
    <i r="1">
      <x v="54"/>
    </i>
    <i r="1">
      <x v="60"/>
    </i>
    <i r="1">
      <x v="154"/>
    </i>
    <i r="1">
      <x v="195"/>
    </i>
    <i r="1">
      <x v="203"/>
    </i>
    <i>
      <x v="2"/>
      <x/>
    </i>
    <i r="1">
      <x v="1"/>
    </i>
    <i r="1">
      <x v="2"/>
    </i>
    <i r="1">
      <x v="4"/>
    </i>
    <i r="1">
      <x v="5"/>
    </i>
    <i r="1">
      <x v="6"/>
    </i>
    <i r="1">
      <x v="8"/>
    </i>
    <i r="1">
      <x v="9"/>
    </i>
    <i r="1">
      <x v="13"/>
    </i>
    <i r="1">
      <x v="14"/>
    </i>
    <i r="1">
      <x v="15"/>
    </i>
    <i r="1">
      <x v="19"/>
    </i>
    <i r="1">
      <x v="20"/>
    </i>
    <i r="1">
      <x v="23"/>
    </i>
    <i r="1">
      <x v="25"/>
    </i>
    <i r="1">
      <x v="26"/>
    </i>
    <i r="1">
      <x v="31"/>
    </i>
    <i r="1">
      <x v="32"/>
    </i>
    <i r="1">
      <x v="33"/>
    </i>
    <i r="1">
      <x v="61"/>
    </i>
    <i r="1">
      <x v="62"/>
    </i>
    <i r="1">
      <x v="68"/>
    </i>
    <i r="1">
      <x v="93"/>
    </i>
    <i r="1">
      <x v="94"/>
    </i>
    <i r="1">
      <x v="95"/>
    </i>
    <i r="1">
      <x v="96"/>
    </i>
    <i r="1">
      <x v="97"/>
    </i>
    <i r="1">
      <x v="98"/>
    </i>
    <i r="1">
      <x v="99"/>
    </i>
    <i r="1">
      <x v="100"/>
    </i>
    <i r="1">
      <x v="103"/>
    </i>
    <i r="1">
      <x v="104"/>
    </i>
    <i r="1">
      <x v="105"/>
    </i>
    <i r="1">
      <x v="106"/>
    </i>
    <i r="1">
      <x v="107"/>
    </i>
    <i r="1">
      <x v="108"/>
    </i>
    <i r="1">
      <x v="109"/>
    </i>
    <i r="1">
      <x v="118"/>
    </i>
    <i r="1">
      <x v="134"/>
    </i>
    <i r="1">
      <x v="139"/>
    </i>
    <i r="1">
      <x v="146"/>
    </i>
    <i r="1">
      <x v="147"/>
    </i>
    <i r="1">
      <x v="155"/>
    </i>
    <i r="1">
      <x v="163"/>
    </i>
    <i r="1">
      <x v="165"/>
    </i>
    <i r="1">
      <x v="166"/>
    </i>
    <i r="1">
      <x v="167"/>
    </i>
    <i r="1">
      <x v="180"/>
    </i>
    <i r="1">
      <x v="187"/>
    </i>
    <i r="1">
      <x v="192"/>
    </i>
    <i r="1">
      <x v="193"/>
    </i>
    <i r="1">
      <x v="196"/>
    </i>
    <i r="1">
      <x v="199"/>
    </i>
    <i r="1">
      <x v="200"/>
    </i>
    <i r="1">
      <x v="211"/>
    </i>
    <i r="1">
      <x v="215"/>
    </i>
    <i r="1">
      <x v="233"/>
    </i>
    <i r="1">
      <x v="240"/>
    </i>
    <i r="1">
      <x v="241"/>
    </i>
    <i r="1">
      <x v="242"/>
    </i>
    <i r="1">
      <x v="243"/>
    </i>
    <i r="1">
      <x v="244"/>
    </i>
    <i r="1">
      <x v="267"/>
    </i>
    <i r="1">
      <x v="286"/>
    </i>
    <i r="1">
      <x v="287"/>
    </i>
    <i>
      <x v="3"/>
      <x v="141"/>
    </i>
    <i r="1">
      <x v="225"/>
    </i>
    <i r="1">
      <x v="238"/>
    </i>
    <i>
      <x v="4"/>
      <x v="57"/>
    </i>
    <i>
      <x v="5"/>
      <x v="52"/>
    </i>
    <i>
      <x v="6"/>
      <x v="27"/>
    </i>
    <i r="1">
      <x v="47"/>
    </i>
    <i r="1">
      <x v="48"/>
    </i>
    <i r="1">
      <x v="49"/>
    </i>
    <i r="1">
      <x v="116"/>
    </i>
    <i r="1">
      <x v="117"/>
    </i>
    <i r="1">
      <x v="130"/>
    </i>
    <i r="1">
      <x v="201"/>
    </i>
    <i r="1">
      <x v="214"/>
    </i>
    <i r="1">
      <x v="232"/>
    </i>
    <i r="1">
      <x v="239"/>
    </i>
    <i r="1">
      <x v="262"/>
    </i>
    <i r="1">
      <x v="263"/>
    </i>
    <i r="1">
      <x v="276"/>
    </i>
    <i r="1">
      <x v="278"/>
    </i>
    <i r="1">
      <x v="279"/>
    </i>
    <i r="1">
      <x v="280"/>
    </i>
    <i r="1">
      <x v="298"/>
    </i>
    <i r="1">
      <x v="299"/>
    </i>
    <i>
      <x v="7"/>
      <x v="69"/>
    </i>
    <i>
      <x v="8"/>
      <x v="10"/>
    </i>
    <i r="1">
      <x v="11"/>
    </i>
    <i r="1">
      <x v="12"/>
    </i>
    <i r="1">
      <x v="18"/>
    </i>
    <i r="1">
      <x v="34"/>
    </i>
    <i r="1">
      <x v="41"/>
    </i>
    <i r="1">
      <x v="53"/>
    </i>
    <i r="1">
      <x v="55"/>
    </i>
    <i r="1">
      <x v="67"/>
    </i>
    <i r="1">
      <x v="77"/>
    </i>
    <i r="1">
      <x v="81"/>
    </i>
    <i r="1">
      <x v="82"/>
    </i>
    <i r="1">
      <x v="85"/>
    </i>
    <i r="1">
      <x v="86"/>
    </i>
    <i r="1">
      <x v="87"/>
    </i>
    <i r="1">
      <x v="92"/>
    </i>
    <i r="1">
      <x v="114"/>
    </i>
    <i r="1">
      <x v="115"/>
    </i>
    <i r="1">
      <x v="122"/>
    </i>
    <i r="1">
      <x v="131"/>
    </i>
    <i r="1">
      <x v="132"/>
    </i>
    <i r="1">
      <x v="133"/>
    </i>
    <i r="1">
      <x v="175"/>
    </i>
    <i r="1">
      <x v="202"/>
    </i>
    <i r="1">
      <x v="205"/>
    </i>
    <i r="1">
      <x v="209"/>
    </i>
    <i r="1">
      <x v="213"/>
    </i>
    <i r="1">
      <x v="297"/>
    </i>
    <i>
      <x v="9"/>
      <x v="90"/>
    </i>
    <i r="1">
      <x v="91"/>
    </i>
    <i r="1">
      <x v="237"/>
    </i>
    <i>
      <x v="10"/>
      <x v="51"/>
    </i>
    <i r="1">
      <x v="142"/>
    </i>
    <i r="1">
      <x v="226"/>
    </i>
    <i r="1">
      <x v="227"/>
    </i>
    <i r="1">
      <x v="228"/>
    </i>
    <i r="1">
      <x v="273"/>
    </i>
    <i r="1">
      <x v="274"/>
    </i>
    <i r="1">
      <x v="281"/>
    </i>
    <i r="1">
      <x v="282"/>
    </i>
    <i r="1">
      <x v="283"/>
    </i>
    <i r="1">
      <x v="290"/>
    </i>
    <i>
      <x v="11"/>
      <x v="140"/>
    </i>
    <i r="1">
      <x v="145"/>
    </i>
    <i r="1">
      <x v="176"/>
    </i>
    <i r="1">
      <x v="216"/>
    </i>
    <i r="1">
      <x v="217"/>
    </i>
    <i>
      <x v="12"/>
      <x v="24"/>
    </i>
    <i r="1">
      <x v="34"/>
    </i>
    <i r="1">
      <x v="38"/>
    </i>
    <i r="1">
      <x v="44"/>
    </i>
    <i r="1">
      <x v="46"/>
    </i>
    <i r="1">
      <x v="64"/>
    </i>
    <i r="1">
      <x v="65"/>
    </i>
    <i r="1">
      <x v="66"/>
    </i>
    <i r="1">
      <x v="72"/>
    </i>
    <i r="1">
      <x v="79"/>
    </i>
    <i r="1">
      <x v="83"/>
    </i>
    <i r="1">
      <x v="84"/>
    </i>
    <i r="1">
      <x v="89"/>
    </i>
    <i r="1">
      <x v="110"/>
    </i>
    <i r="1">
      <x v="111"/>
    </i>
    <i r="1">
      <x v="121"/>
    </i>
    <i r="1">
      <x v="148"/>
    </i>
    <i r="1">
      <x v="149"/>
    </i>
    <i r="1">
      <x v="151"/>
    </i>
    <i r="1">
      <x v="153"/>
    </i>
    <i r="1">
      <x v="157"/>
    </i>
    <i r="1">
      <x v="168"/>
    </i>
    <i r="1">
      <x v="181"/>
    </i>
    <i r="1">
      <x v="231"/>
    </i>
    <i>
      <x v="13"/>
      <x v="35"/>
    </i>
    <i r="1">
      <x v="36"/>
    </i>
    <i r="1">
      <x v="112"/>
    </i>
    <i r="1">
      <x v="113"/>
    </i>
    <i r="1">
      <x v="128"/>
    </i>
    <i r="1">
      <x v="129"/>
    </i>
    <i r="1">
      <x v="207"/>
    </i>
    <i r="1">
      <x v="210"/>
    </i>
    <i r="1">
      <x v="250"/>
    </i>
    <i r="1">
      <x v="251"/>
    </i>
    <i r="1">
      <x v="252"/>
    </i>
    <i r="1">
      <x v="253"/>
    </i>
    <i r="1">
      <x v="254"/>
    </i>
    <i r="1">
      <x v="255"/>
    </i>
    <i r="1">
      <x v="256"/>
    </i>
    <i r="1">
      <x v="257"/>
    </i>
    <i r="1">
      <x v="258"/>
    </i>
    <i r="1">
      <x v="259"/>
    </i>
    <i r="1">
      <x v="260"/>
    </i>
    <i r="1">
      <x v="264"/>
    </i>
    <i>
      <x v="14"/>
      <x v="42"/>
    </i>
    <i r="1">
      <x v="43"/>
    </i>
    <i r="1">
      <x v="50"/>
    </i>
    <i r="1">
      <x v="56"/>
    </i>
    <i r="1">
      <x v="58"/>
    </i>
    <i r="1">
      <x v="59"/>
    </i>
    <i r="1">
      <x v="78"/>
    </i>
    <i r="1">
      <x v="80"/>
    </i>
    <i r="1">
      <x v="101"/>
    </i>
    <i r="1">
      <x v="102"/>
    </i>
    <i r="1">
      <x v="120"/>
    </i>
    <i r="1">
      <x v="137"/>
    </i>
    <i r="1">
      <x v="150"/>
    </i>
    <i r="1">
      <x v="152"/>
    </i>
    <i r="1">
      <x v="169"/>
    </i>
    <i r="1">
      <x v="170"/>
    </i>
    <i r="1">
      <x v="174"/>
    </i>
    <i r="1">
      <x v="182"/>
    </i>
    <i r="1">
      <x v="183"/>
    </i>
    <i r="1">
      <x v="184"/>
    </i>
    <i r="1">
      <x v="185"/>
    </i>
    <i r="1">
      <x v="197"/>
    </i>
    <i r="1">
      <x v="222"/>
    </i>
    <i r="1">
      <x v="271"/>
    </i>
    <i r="1">
      <x v="272"/>
    </i>
    <i r="1">
      <x v="275"/>
    </i>
    <i r="1">
      <x v="284"/>
    </i>
    <i r="1">
      <x v="285"/>
    </i>
    <i r="1">
      <x v="288"/>
    </i>
    <i r="1">
      <x v="291"/>
    </i>
    <i r="1">
      <x v="294"/>
    </i>
    <i>
      <x v="15"/>
      <x v="123"/>
    </i>
    <i r="1">
      <x v="124"/>
    </i>
    <i r="1">
      <x v="125"/>
    </i>
    <i r="1">
      <x v="126"/>
    </i>
    <i r="1">
      <x v="127"/>
    </i>
    <i r="1">
      <x v="208"/>
    </i>
    <i r="1">
      <x v="212"/>
    </i>
    <i r="1">
      <x v="234"/>
    </i>
    <i r="1">
      <x v="235"/>
    </i>
    <i>
      <x v="16"/>
      <x v="135"/>
    </i>
    <i r="1">
      <x v="136"/>
    </i>
    <i r="1">
      <x v="236"/>
    </i>
    <i r="1">
      <x v="245"/>
    </i>
    <i r="1">
      <x v="246"/>
    </i>
    <i r="1">
      <x v="247"/>
    </i>
    <i r="1">
      <x v="248"/>
    </i>
    <i r="1">
      <x v="249"/>
    </i>
    <i r="1">
      <x v="268"/>
    </i>
    <i>
      <x v="17"/>
      <x v="143"/>
    </i>
    <i r="1">
      <x v="189"/>
    </i>
    <i r="1">
      <x v="206"/>
    </i>
    <i r="1">
      <x v="224"/>
    </i>
    <i>
      <x v="18"/>
      <x v="34"/>
    </i>
    <i r="1">
      <x v="172"/>
    </i>
    <i r="1">
      <x v="173"/>
    </i>
    <i>
      <x v="19"/>
      <x v="178"/>
    </i>
    <i r="1">
      <x v="229"/>
    </i>
    <i r="1">
      <x v="230"/>
    </i>
    <i>
      <x v="20"/>
      <x v="16"/>
    </i>
    <i r="1">
      <x v="17"/>
    </i>
    <i r="1">
      <x v="29"/>
    </i>
    <i r="1">
      <x v="30"/>
    </i>
    <i r="1">
      <x v="40"/>
    </i>
    <i r="1">
      <x v="70"/>
    </i>
    <i r="1">
      <x v="71"/>
    </i>
    <i r="1">
      <x v="73"/>
    </i>
    <i r="1">
      <x v="74"/>
    </i>
    <i r="1">
      <x v="75"/>
    </i>
    <i r="1">
      <x v="76"/>
    </i>
    <i r="1">
      <x v="88"/>
    </i>
    <i r="1">
      <x v="144"/>
    </i>
    <i r="1">
      <x v="158"/>
    </i>
    <i r="1">
      <x v="159"/>
    </i>
    <i r="1">
      <x v="160"/>
    </i>
    <i r="1">
      <x v="161"/>
    </i>
    <i r="1">
      <x v="162"/>
    </i>
    <i r="1">
      <x v="171"/>
    </i>
    <i r="1">
      <x v="186"/>
    </i>
    <i r="1">
      <x v="190"/>
    </i>
    <i r="1">
      <x v="191"/>
    </i>
    <i r="1">
      <x v="194"/>
    </i>
    <i r="1">
      <x v="218"/>
    </i>
    <i r="1">
      <x v="219"/>
    </i>
    <i r="1">
      <x v="220"/>
    </i>
    <i r="1">
      <x v="221"/>
    </i>
    <i r="1">
      <x v="223"/>
    </i>
    <i r="1">
      <x v="265"/>
    </i>
    <i r="1">
      <x v="266"/>
    </i>
    <i r="1">
      <x v="277"/>
    </i>
    <i r="1">
      <x v="292"/>
    </i>
    <i r="1">
      <x v="293"/>
    </i>
    <i>
      <x v="21"/>
      <x v="261"/>
    </i>
    <i>
      <x v="22"/>
      <x v="269"/>
    </i>
    <i r="1">
      <x v="270"/>
    </i>
    <i r="1">
      <x v="289"/>
    </i>
    <i r="1">
      <x v="295"/>
    </i>
    <i>
      <x v="23"/>
      <x v="296"/>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U306" firstHeaderRow="1" firstDataRow="1" firstDataCol="1" rowPageCount="1" colPageCount="1"/>
  <pivotFields count="31">
    <pivotField axis="axisPage"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161"/>
        <item x="189"/>
        <item x="162"/>
        <item x="191"/>
        <item x="163"/>
        <item x="164"/>
        <item x="167"/>
        <item x="219"/>
        <item x="237"/>
        <item x="221"/>
        <item x="223"/>
        <item x="240"/>
        <item x="224"/>
        <item x="225"/>
        <item x="226"/>
        <item x="244"/>
        <item x="245"/>
        <item x="246"/>
        <item x="227"/>
        <item x="248"/>
        <item x="228"/>
        <item x="229"/>
        <item x="230"/>
        <item x="252"/>
        <item x="231"/>
        <item x="254"/>
        <item x="255"/>
        <item x="256"/>
        <item x="257"/>
        <item x="232"/>
        <item x="259"/>
        <item x="260"/>
        <item x="261"/>
        <item x="233"/>
        <item x="234"/>
        <item x="235"/>
        <item x="236"/>
        <item x="172"/>
        <item x="238"/>
        <item x="196"/>
        <item x="173"/>
        <item x="175"/>
        <item x="239"/>
        <item x="183"/>
        <item x="200"/>
        <item x="188"/>
        <item x="202"/>
        <item x="190"/>
        <item x="192"/>
        <item x="205"/>
        <item x="270"/>
        <item x="207"/>
        <item x="206"/>
        <item x="300"/>
        <item x="241"/>
        <item x="271"/>
        <item x="272"/>
        <item x="242"/>
        <item x="243"/>
        <item x="275"/>
        <item x="247"/>
        <item x="208"/>
        <item x="193"/>
        <item x="210"/>
        <item x="194"/>
        <item x="195"/>
        <item x="277"/>
        <item x="278"/>
        <item x="279"/>
        <item x="280"/>
        <item x="249"/>
        <item x="282"/>
        <item x="283"/>
        <item x="284"/>
        <item x="285"/>
        <item x="286"/>
        <item x="287"/>
        <item x="288"/>
        <item x="289"/>
        <item x="290"/>
        <item x="291"/>
        <item x="292"/>
        <item x="250"/>
        <item x="251"/>
        <item x="253"/>
        <item x="258"/>
        <item x="197"/>
        <item x="293"/>
        <item x="198"/>
        <item x="262"/>
        <item x="199"/>
        <item x="217"/>
        <item x="201"/>
        <item x="203"/>
        <item x="220"/>
        <item x="204"/>
        <item x="222"/>
        <item x="209"/>
        <item x="263"/>
        <item x="211"/>
        <item x="294"/>
        <item x="212"/>
        <item x="295"/>
        <item x="296"/>
        <item x="213"/>
        <item x="214"/>
        <item x="215"/>
        <item x="297"/>
        <item x="298"/>
        <item x="216"/>
        <item x="218"/>
        <item x="299"/>
        <item x="264"/>
        <item x="30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2"/>
  </rowFields>
  <rowItems count="3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5.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Q306" firstHeaderRow="0" firstDataRow="1" firstDataCol="3" rowPageCount="1" colPageCount="1"/>
  <pivotFields count="31">
    <pivotField axis="axisPage"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3"/>
        <item x="2"/>
        <item x="10"/>
        <item x="21"/>
        <item x="12"/>
        <item x="11"/>
        <item x="17"/>
        <item x="14"/>
        <item x="5"/>
        <item x="18"/>
        <item x="8"/>
        <item x="9"/>
        <item x="4"/>
        <item x="20"/>
        <item x="0"/>
        <item x="16"/>
        <item x="19"/>
        <item x="7"/>
        <item x="6"/>
        <item x="13"/>
        <item x="1"/>
        <item x="22"/>
        <item x="15"/>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00">
        <item x="139"/>
        <item x="147"/>
        <item x="123"/>
        <item x="37"/>
        <item x="130"/>
        <item x="135"/>
        <item x="141"/>
        <item x="144"/>
        <item x="138"/>
        <item x="86"/>
        <item x="177"/>
        <item x="178"/>
        <item x="176"/>
        <item x="128"/>
        <item x="153"/>
        <item x="140"/>
        <item x="107"/>
        <item x="75"/>
        <item x="112"/>
        <item x="74"/>
        <item x="82"/>
        <item x="35"/>
        <item x="131"/>
        <item x="129"/>
        <item x="106"/>
        <item x="148"/>
        <item x="152"/>
        <item x="257"/>
        <item x="43"/>
        <item x="24"/>
        <item x="76"/>
        <item x="118"/>
        <item x="136"/>
        <item x="154"/>
        <item x="121"/>
        <item x="241"/>
        <item x="251"/>
        <item x="266"/>
        <item x="103"/>
        <item x="39"/>
        <item x="157"/>
        <item x="179"/>
        <item x="13"/>
        <item x="15"/>
        <item x="99"/>
        <item x="45"/>
        <item x="155"/>
        <item x="245"/>
        <item x="225"/>
        <item x="226"/>
        <item x="10"/>
        <item x="67"/>
        <item x="71"/>
        <item x="166"/>
        <item x="42"/>
        <item x="109"/>
        <item x="117"/>
        <item x="127"/>
        <item x="262"/>
        <item x="11"/>
        <item x="149"/>
        <item x="132"/>
        <item x="122"/>
        <item x="36"/>
        <item x="59"/>
        <item x="53"/>
        <item x="58"/>
        <item x="124"/>
        <item x="101"/>
        <item x="183"/>
        <item x="22"/>
        <item x="85"/>
        <item x="61"/>
        <item x="27"/>
        <item x="25"/>
        <item x="264"/>
        <item x="263"/>
        <item x="278"/>
        <item x="12"/>
        <item x="48"/>
        <item x="7"/>
        <item x="174"/>
        <item x="175"/>
        <item x="60"/>
        <item x="163"/>
        <item x="115"/>
        <item x="114"/>
        <item x="116"/>
        <item x="111"/>
        <item x="55"/>
        <item x="223"/>
        <item x="229"/>
        <item x="49"/>
        <item x="88"/>
        <item x="87"/>
        <item x="90"/>
        <item x="92"/>
        <item x="93"/>
        <item x="89"/>
        <item x="94"/>
        <item x="91"/>
        <item x="16"/>
        <item x="17"/>
        <item x="100"/>
        <item x="84"/>
        <item x="81"/>
        <item x="80"/>
        <item x="70"/>
        <item x="83"/>
        <item x="146"/>
        <item x="46"/>
        <item x="54"/>
        <item x="243"/>
        <item x="237"/>
        <item x="203"/>
        <item x="167"/>
        <item x="221"/>
        <item x="249"/>
        <item x="145"/>
        <item x="38"/>
        <item x="14"/>
        <item x="47"/>
        <item x="125"/>
        <item x="220"/>
        <item x="216"/>
        <item x="218"/>
        <item x="252"/>
        <item x="234"/>
        <item x="253"/>
        <item x="242"/>
        <item x="222"/>
        <item x="168"/>
        <item x="171"/>
        <item x="126"/>
        <item x="137"/>
        <item x="224"/>
        <item x="256"/>
        <item x="20"/>
        <item x="44"/>
        <item x="72"/>
        <item x="77"/>
        <item x="254"/>
        <item x="68"/>
        <item x="182"/>
        <item x="29"/>
        <item x="273"/>
        <item x="78"/>
        <item x="79"/>
        <item x="113"/>
        <item x="56"/>
        <item x="1"/>
        <item x="63"/>
        <item x="120"/>
        <item x="108"/>
        <item x="158"/>
        <item x="96"/>
        <item x="142"/>
        <item x="62"/>
        <item x="119"/>
        <item x="28"/>
        <item x="21"/>
        <item x="26"/>
        <item x="23"/>
        <item x="133"/>
        <item x="270"/>
        <item x="102"/>
        <item x="150"/>
        <item x="98"/>
        <item x="64"/>
        <item x="5"/>
        <item x="6"/>
        <item x="265"/>
        <item x="50"/>
        <item x="51"/>
        <item x="8"/>
        <item x="181"/>
        <item x="69"/>
        <item x="184"/>
        <item x="156"/>
        <item x="52"/>
        <item x="104"/>
        <item x="57"/>
        <item x="0"/>
        <item x="3"/>
        <item x="2"/>
        <item x="4"/>
        <item x="30"/>
        <item x="95"/>
        <item x="173"/>
        <item x="65"/>
        <item x="34"/>
        <item x="33"/>
        <item x="151"/>
        <item x="134"/>
        <item x="271"/>
        <item x="41"/>
        <item x="143"/>
        <item x="19"/>
        <item x="40"/>
        <item x="73"/>
        <item x="165"/>
        <item x="228"/>
        <item x="159"/>
        <item x="160"/>
        <item x="186"/>
        <item x="188"/>
        <item x="161"/>
        <item x="230"/>
        <item x="231"/>
        <item x="162"/>
        <item x="233"/>
        <item x="164"/>
        <item x="232"/>
        <item x="169"/>
        <item x="235"/>
        <item x="193"/>
        <item x="170"/>
        <item x="172"/>
        <item x="32"/>
        <item x="31"/>
        <item x="110"/>
        <item x="97"/>
        <item x="18"/>
        <item x="105"/>
        <item x="180"/>
        <item x="236"/>
        <item x="197"/>
        <item x="185"/>
        <item x="199"/>
        <item x="187"/>
        <item x="189"/>
        <item x="202"/>
        <item x="267"/>
        <item x="204"/>
        <item x="269"/>
        <item x="239"/>
        <item x="238"/>
        <item x="268"/>
        <item x="272"/>
        <item x="244"/>
        <item x="205"/>
        <item x="190"/>
        <item x="207"/>
        <item x="191"/>
        <item x="192"/>
        <item x="274"/>
        <item x="275"/>
        <item x="276"/>
        <item x="277"/>
        <item x="246"/>
        <item x="279"/>
        <item x="280"/>
        <item x="281"/>
        <item x="282"/>
        <item x="283"/>
        <item x="284"/>
        <item x="285"/>
        <item x="286"/>
        <item x="287"/>
        <item x="288"/>
        <item x="289"/>
        <item x="247"/>
        <item x="248"/>
        <item x="250"/>
        <item x="255"/>
        <item x="194"/>
        <item x="290"/>
        <item x="195"/>
        <item x="259"/>
        <item x="214"/>
        <item x="200"/>
        <item x="9"/>
        <item x="201"/>
        <item x="66"/>
        <item x="217"/>
        <item x="219"/>
        <item x="260"/>
        <item x="206"/>
        <item x="240"/>
        <item x="227"/>
        <item x="297"/>
        <item x="208"/>
        <item x="291"/>
        <item x="292"/>
        <item x="210"/>
        <item x="212"/>
        <item x="294"/>
        <item x="213"/>
        <item x="215"/>
        <item x="198"/>
        <item x="209"/>
        <item x="293"/>
        <item x="296"/>
        <item x="295"/>
        <item x="211"/>
        <item x="196"/>
        <item x="261"/>
        <item x="298"/>
        <item x="258"/>
        <item x="299"/>
      </items>
      <extLst>
        <ext xmlns:x14="http://schemas.microsoft.com/office/spreadsheetml/2009/9/main" uri="{2946ED86-A175-432a-8AC1-64E0C546D7DE}">
          <x14:pivotField fillDownLabels="1"/>
        </ext>
      </extLst>
    </pivotField>
    <pivotField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219"/>
        <item x="237"/>
        <item x="221"/>
        <item x="223"/>
        <item x="240"/>
        <item x="224"/>
        <item x="225"/>
        <item x="226"/>
        <item x="244"/>
        <item x="245"/>
        <item x="246"/>
        <item x="227"/>
        <item x="248"/>
        <item x="228"/>
        <item x="229"/>
        <item x="230"/>
        <item x="252"/>
        <item x="231"/>
        <item x="254"/>
        <item x="255"/>
        <item x="256"/>
        <item x="257"/>
        <item x="232"/>
        <item x="259"/>
        <item x="260"/>
        <item x="261"/>
        <item x="161"/>
        <item x="189"/>
        <item x="162"/>
        <item x="191"/>
        <item x="163"/>
        <item x="233"/>
        <item x="234"/>
        <item x="235"/>
        <item x="164"/>
        <item x="236"/>
        <item x="167"/>
        <item x="172"/>
        <item x="238"/>
        <item x="196"/>
        <item x="173"/>
        <item x="175"/>
        <item x="239"/>
        <item x="183"/>
        <item x="200"/>
        <item x="188"/>
        <item x="202"/>
        <item x="190"/>
        <item x="192"/>
        <item x="205"/>
        <item x="270"/>
        <item x="207"/>
        <item x="206"/>
        <item x="300"/>
        <item x="241"/>
        <item x="271"/>
        <item x="272"/>
        <item x="242"/>
        <item x="243"/>
        <item x="275"/>
        <item x="247"/>
        <item x="208"/>
        <item x="193"/>
        <item x="210"/>
        <item x="194"/>
        <item x="195"/>
        <item x="277"/>
        <item x="278"/>
        <item x="279"/>
        <item x="280"/>
        <item x="249"/>
        <item x="282"/>
        <item x="283"/>
        <item x="284"/>
        <item x="285"/>
        <item x="286"/>
        <item x="287"/>
        <item x="288"/>
        <item x="289"/>
        <item x="290"/>
        <item x="291"/>
        <item x="292"/>
        <item x="250"/>
        <item x="251"/>
        <item x="253"/>
        <item x="258"/>
        <item x="197"/>
        <item x="293"/>
        <item x="198"/>
        <item x="262"/>
        <item x="199"/>
        <item x="217"/>
        <item x="201"/>
        <item x="203"/>
        <item x="220"/>
        <item x="204"/>
        <item x="222"/>
        <item x="209"/>
        <item x="263"/>
        <item x="211"/>
        <item x="294"/>
        <item x="212"/>
        <item x="295"/>
        <item x="296"/>
        <item x="213"/>
        <item x="214"/>
        <item x="215"/>
        <item x="297"/>
        <item x="298"/>
        <item x="216"/>
        <item x="218"/>
        <item x="299"/>
        <item x="264"/>
        <item x="30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12"/>
    <field x="11"/>
    <field x="5"/>
  </rowFields>
  <rowItems count="303">
    <i>
      <x/>
      <x v="182"/>
      <x v="14"/>
    </i>
    <i>
      <x v="1"/>
      <x v="150"/>
      <x v="14"/>
    </i>
    <i>
      <x v="2"/>
      <x v="184"/>
      <x v="14"/>
    </i>
    <i>
      <x v="3"/>
      <x v="183"/>
      <x v="14"/>
    </i>
    <i>
      <x v="4"/>
      <x v="185"/>
      <x v="14"/>
    </i>
    <i>
      <x v="5"/>
      <x v="169"/>
      <x v="14"/>
    </i>
    <i>
      <x v="6"/>
      <x v="170"/>
      <x v="14"/>
    </i>
    <i>
      <x v="7"/>
      <x v="80"/>
      <x v="14"/>
    </i>
    <i>
      <x v="8"/>
      <x v="174"/>
      <x v="14"/>
    </i>
    <i>
      <x v="9"/>
      <x v="271"/>
      <x v="14"/>
    </i>
    <i>
      <x v="10"/>
      <x v="50"/>
      <x v="14"/>
    </i>
    <i>
      <x v="11"/>
      <x v="59"/>
      <x v="14"/>
    </i>
    <i>
      <x v="12"/>
      <x v="58"/>
      <x v="14"/>
    </i>
    <i>
      <x v="13"/>
      <x v="78"/>
      <x v="14"/>
    </i>
    <i>
      <x v="14"/>
      <x v="120"/>
      <x v="14"/>
    </i>
    <i>
      <x v="15"/>
      <x v="42"/>
      <x v="14"/>
    </i>
    <i>
      <x v="16"/>
      <x v="43"/>
      <x v="14"/>
    </i>
    <i>
      <x v="17"/>
      <x v="101"/>
      <x v="14"/>
    </i>
    <i>
      <x v="18"/>
      <x v="102"/>
      <x v="14"/>
    </i>
    <i>
      <x v="19"/>
      <x v="197"/>
      <x v="14"/>
    </i>
    <i>
      <x v="20"/>
      <x v="222"/>
      <x v="14"/>
    </i>
    <i>
      <x v="21"/>
      <x v="137"/>
      <x v="14"/>
    </i>
    <i>
      <x v="22"/>
      <x v="160"/>
      <x v="20"/>
    </i>
    <i>
      <x v="23"/>
      <x v="162"/>
      <x v="20"/>
    </i>
    <i>
      <x v="24"/>
      <x v="70"/>
      <x v="20"/>
    </i>
    <i>
      <x v="25"/>
      <x v="29"/>
      <x v="20"/>
    </i>
    <i>
      <x v="26"/>
      <x v="74"/>
      <x v="20"/>
    </i>
    <i>
      <x v="27"/>
      <x v="161"/>
      <x v="20"/>
    </i>
    <i>
      <x v="28"/>
      <x v="73"/>
      <x v="20"/>
    </i>
    <i>
      <x v="29"/>
      <x v="159"/>
      <x v="20"/>
    </i>
    <i>
      <x v="30"/>
      <x v="144"/>
      <x v="20"/>
    </i>
    <i>
      <x v="31"/>
      <x v="219"/>
      <x v="20"/>
    </i>
    <i>
      <x v="32"/>
      <x v="218"/>
      <x v="20"/>
    </i>
    <i>
      <x v="33"/>
      <x v="191"/>
      <x v="20"/>
    </i>
    <i>
      <x v="34"/>
      <x v="186"/>
      <x v="20"/>
    </i>
    <i>
      <x v="35"/>
      <x v="190"/>
      <x v="20"/>
    </i>
    <i>
      <x v="36"/>
      <x v="76"/>
      <x v="20"/>
    </i>
    <i>
      <x v="37"/>
      <x v="75"/>
      <x v="20"/>
    </i>
    <i>
      <x v="38"/>
      <x v="171"/>
      <x v="20"/>
    </i>
    <i>
      <x v="39"/>
      <x v="21"/>
      <x v="1"/>
    </i>
    <i>
      <x v="40"/>
      <x v="37"/>
      <x v="1"/>
    </i>
    <i>
      <x v="41"/>
      <x v="195"/>
      <x v="1"/>
    </i>
    <i>
      <x v="42"/>
      <x v="54"/>
      <x v="1"/>
    </i>
    <i>
      <x v="43"/>
      <x v="28"/>
      <x v="1"/>
    </i>
    <i>
      <x v="44"/>
      <x v="164"/>
      <x/>
    </i>
    <i>
      <x v="45"/>
      <x v="45"/>
      <x/>
    </i>
    <i>
      <x v="46"/>
      <x v="63"/>
      <x/>
    </i>
    <i>
      <x v="47"/>
      <x v="3"/>
      <x/>
    </i>
    <i>
      <x v="48"/>
      <x v="119"/>
      <x/>
    </i>
    <i>
      <x v="49"/>
      <x v="39"/>
      <x/>
    </i>
    <i>
      <x v="50"/>
      <x v="198"/>
      <x/>
    </i>
    <i>
      <x v="51"/>
      <x v="138"/>
      <x/>
    </i>
    <i>
      <x v="52"/>
      <x v="179"/>
      <x/>
    </i>
    <i>
      <x v="53"/>
      <x v="110"/>
      <x v="12"/>
    </i>
    <i>
      <x v="54"/>
      <x v="111"/>
      <x v="12"/>
    </i>
    <i>
      <x v="55"/>
      <x v="89"/>
      <x v="12"/>
    </i>
    <i>
      <x v="56"/>
      <x v="149"/>
      <x v="12"/>
    </i>
    <i>
      <x v="57"/>
      <x v="181"/>
      <x v="12"/>
    </i>
    <i>
      <x v="58"/>
      <x v="121"/>
      <x v="12"/>
    </i>
    <i>
      <x v="59"/>
      <x v="79"/>
      <x v="12"/>
    </i>
    <i>
      <x v="60"/>
      <x v="83"/>
      <x v="12"/>
    </i>
    <i>
      <x v="61"/>
      <x v="72"/>
      <x v="12"/>
    </i>
    <i>
      <x v="62"/>
      <x v="157"/>
      <x v="12"/>
    </i>
    <i>
      <x v="63"/>
      <x v="92"/>
      <x v="8"/>
    </i>
    <i>
      <x v="64"/>
      <x v="172"/>
      <x v="18"/>
    </i>
    <i>
      <x v="65"/>
      <x v="173"/>
      <x v="18"/>
    </i>
    <i>
      <x v="66"/>
      <x v="65"/>
      <x v="12"/>
    </i>
    <i>
      <x v="67"/>
      <x v="66"/>
      <x v="12"/>
    </i>
    <i>
      <x v="68"/>
      <x v="64"/>
      <x v="12"/>
    </i>
    <i>
      <x v="69"/>
      <x v="151"/>
      <x v="12"/>
    </i>
    <i>
      <x v="70"/>
      <x v="168"/>
      <x v="12"/>
    </i>
    <i>
      <x v="71"/>
      <x v="52"/>
      <x v="5"/>
    </i>
    <i>
      <x v="72"/>
      <x v="189"/>
      <x v="17"/>
    </i>
    <i>
      <x v="73"/>
      <x v="273"/>
      <x v="10"/>
    </i>
    <i>
      <x v="74"/>
      <x v="51"/>
      <x v="10"/>
    </i>
    <i>
      <x v="75"/>
      <x v="142"/>
      <x v="10"/>
    </i>
    <i>
      <x v="76"/>
      <x v="176"/>
      <x v="11"/>
    </i>
    <i>
      <x v="77"/>
      <x v="140"/>
      <x v="11"/>
    </i>
    <i>
      <x v="78"/>
      <x v="146"/>
      <x v="2"/>
    </i>
    <i>
      <x v="79"/>
      <x v="147"/>
      <x v="2"/>
    </i>
    <i>
      <x v="80"/>
      <x v="106"/>
      <x v="2"/>
    </i>
    <i>
      <x v="81"/>
      <x v="105"/>
      <x v="2"/>
    </i>
    <i>
      <x v="82"/>
      <x v="20"/>
      <x v="2"/>
    </i>
    <i>
      <x v="83"/>
      <x v="108"/>
      <x v="2"/>
    </i>
    <i>
      <x v="84"/>
      <x v="104"/>
      <x v="2"/>
    </i>
    <i>
      <x v="85"/>
      <x v="107"/>
      <x v="2"/>
    </i>
    <i>
      <x v="86"/>
      <x v="9"/>
      <x v="2"/>
    </i>
    <i>
      <x v="87"/>
      <x v="94"/>
      <x v="2"/>
    </i>
    <i>
      <x v="88"/>
      <x v="93"/>
      <x v="2"/>
    </i>
    <i>
      <x v="89"/>
      <x v="98"/>
      <x v="2"/>
    </i>
    <i>
      <x v="90"/>
      <x v="95"/>
      <x v="2"/>
    </i>
    <i>
      <x v="91"/>
      <x v="100"/>
      <x v="2"/>
    </i>
    <i>
      <x v="92"/>
      <x v="96"/>
      <x v="2"/>
    </i>
    <i>
      <x v="93"/>
      <x v="97"/>
      <x v="2"/>
    </i>
    <i>
      <x v="94"/>
      <x v="99"/>
      <x v="2"/>
    </i>
    <i>
      <x v="95"/>
      <x v="187"/>
      <x v="2"/>
    </i>
    <i>
      <x v="96"/>
      <x v="155"/>
      <x v="2"/>
    </i>
    <i>
      <x v="97"/>
      <x v="139"/>
      <x v="2"/>
    </i>
    <i>
      <x v="98"/>
      <x v="167"/>
      <x v="2"/>
    </i>
    <i>
      <x v="99"/>
      <x v="199"/>
      <x v="2"/>
    </i>
    <i>
      <x v="100"/>
      <x v="103"/>
      <x v="2"/>
    </i>
    <i>
      <x v="101"/>
      <x v="68"/>
      <x v="2"/>
    </i>
    <i>
      <x v="102"/>
      <x v="165"/>
      <x v="2"/>
    </i>
    <i>
      <x v="103"/>
      <x v="19"/>
      <x v="2"/>
    </i>
    <i>
      <x v="104"/>
      <x v="180"/>
      <x v="2"/>
    </i>
    <i>
      <x v="105"/>
      <x v="223"/>
      <x v="20"/>
    </i>
    <i>
      <x v="106"/>
      <x v="17"/>
      <x v="20"/>
    </i>
    <i>
      <x v="107"/>
      <x v="16"/>
      <x v="20"/>
    </i>
    <i>
      <x v="108"/>
      <x v="30"/>
      <x v="20"/>
    </i>
    <i>
      <x v="109"/>
      <x v="194"/>
      <x v="20"/>
    </i>
    <i>
      <x v="110"/>
      <x v="220"/>
      <x v="20"/>
    </i>
    <i>
      <x v="111"/>
      <x v="88"/>
      <x v="20"/>
    </i>
    <i>
      <x v="112"/>
      <x v="71"/>
      <x v="20"/>
    </i>
    <i>
      <x v="113"/>
      <x v="221"/>
      <x v="20"/>
    </i>
    <i>
      <x v="114"/>
      <x v="44"/>
      <x v="12"/>
    </i>
    <i>
      <x v="115"/>
      <x v="38"/>
      <x v="12"/>
    </i>
    <i>
      <x v="116"/>
      <x v="24"/>
      <x v="12"/>
    </i>
    <i>
      <x v="117"/>
      <x v="153"/>
      <x v="12"/>
    </i>
    <i>
      <x v="118"/>
      <x v="55"/>
      <x v="8"/>
    </i>
    <i>
      <x v="119"/>
      <x v="18"/>
      <x v="8"/>
    </i>
    <i>
      <x v="120"/>
      <x v="148"/>
      <x v="12"/>
    </i>
    <i>
      <x v="121"/>
      <x v="86"/>
      <x v="8"/>
    </i>
    <i>
      <x v="122"/>
      <x v="85"/>
      <x v="8"/>
    </i>
    <i>
      <x v="123"/>
      <x v="87"/>
      <x v="8"/>
    </i>
    <i>
      <x v="124"/>
      <x v="67"/>
      <x v="8"/>
    </i>
    <i>
      <x v="125"/>
      <x v="122"/>
      <x v="8"/>
    </i>
    <i>
      <x v="126"/>
      <x v="133"/>
      <x v="8"/>
    </i>
    <i>
      <x v="127"/>
      <x v="57"/>
      <x v="4"/>
    </i>
    <i>
      <x v="128"/>
      <x v="56"/>
      <x v="14"/>
    </i>
    <i>
      <x v="129"/>
      <x v="31"/>
      <x v="2"/>
    </i>
    <i>
      <x v="130"/>
      <x v="145"/>
      <x v="11"/>
    </i>
    <i>
      <x v="131"/>
      <x v="22"/>
      <x/>
    </i>
    <i>
      <x v="132"/>
      <x v="158"/>
      <x v="20"/>
    </i>
    <i>
      <x v="133"/>
      <x v="152"/>
      <x v="14"/>
    </i>
    <i>
      <x v="134"/>
      <x v="34"/>
      <x/>
    </i>
    <i>
      <x v="135"/>
      <x v="62"/>
      <x v="2"/>
    </i>
    <i>
      <x v="136"/>
      <x v="2"/>
      <x v="2"/>
    </i>
    <i>
      <x v="137"/>
      <x v="13"/>
      <x v="2"/>
    </i>
    <i>
      <x v="138"/>
      <x v="8"/>
      <x v="2"/>
    </i>
    <i>
      <x v="139"/>
      <x/>
      <x v="2"/>
    </i>
    <i>
      <x v="140"/>
      <x v="15"/>
      <x v="2"/>
    </i>
    <i>
      <x v="141"/>
      <x v="6"/>
      <x v="2"/>
    </i>
    <i>
      <x v="142"/>
      <x v="23"/>
      <x v="2"/>
    </i>
    <i>
      <x v="143"/>
      <x v="196"/>
      <x v="2"/>
    </i>
    <i>
      <x v="144"/>
      <x v="4"/>
      <x v="2"/>
    </i>
    <i>
      <x v="145"/>
      <x v="118"/>
      <x v="2"/>
    </i>
    <i>
      <x v="146"/>
      <x v="109"/>
      <x v="2"/>
    </i>
    <i>
      <x v="147"/>
      <x v="1"/>
      <x v="2"/>
    </i>
    <i>
      <x v="148"/>
      <x v="25"/>
      <x v="2"/>
    </i>
    <i>
      <x v="149"/>
      <x v="61"/>
      <x v="2"/>
    </i>
    <i>
      <x v="150"/>
      <x v="163"/>
      <x v="2"/>
    </i>
    <i>
      <x v="151"/>
      <x v="166"/>
      <x v="2"/>
    </i>
    <i>
      <x v="152"/>
      <x v="193"/>
      <x v="2"/>
    </i>
    <i>
      <x v="153"/>
      <x v="192"/>
      <x v="2"/>
    </i>
    <i>
      <x v="154"/>
      <x v="26"/>
      <x v="2"/>
    </i>
    <i>
      <x v="155"/>
      <x v="14"/>
      <x v="2"/>
    </i>
    <i>
      <x v="156"/>
      <x v="33"/>
      <x v="2"/>
    </i>
    <i>
      <x v="157"/>
      <x v="5"/>
      <x v="2"/>
    </i>
    <i>
      <x v="158"/>
      <x v="32"/>
      <x v="2"/>
    </i>
    <i>
      <x v="159"/>
      <x v="134"/>
      <x v="2"/>
    </i>
    <i>
      <x v="160"/>
      <x v="156"/>
      <x/>
    </i>
    <i>
      <x v="161"/>
      <x v="7"/>
      <x/>
    </i>
    <i>
      <x v="162"/>
      <x v="60"/>
      <x v="1"/>
    </i>
    <i>
      <x v="163"/>
      <x v="34"/>
      <x v="8"/>
    </i>
    <i>
      <x v="164"/>
      <x v="34"/>
      <x v="12"/>
    </i>
    <i>
      <x v="165"/>
      <x v="84"/>
      <x v="12"/>
    </i>
    <i>
      <x v="166"/>
      <x v="34"/>
      <x v="18"/>
    </i>
    <i>
      <x v="167"/>
      <x v="46"/>
      <x v="12"/>
    </i>
    <i>
      <x v="168"/>
      <x v="200"/>
      <x v="2"/>
    </i>
    <i>
      <x v="169"/>
      <x v="53"/>
      <x v="8"/>
    </i>
    <i>
      <x v="170"/>
      <x v="115"/>
      <x v="8"/>
    </i>
    <i>
      <x v="171"/>
      <x v="131"/>
      <x v="8"/>
    </i>
    <i>
      <x v="172"/>
      <x v="178"/>
      <x v="19"/>
    </i>
    <i>
      <x v="173"/>
      <x v="40"/>
      <x v="20"/>
    </i>
    <i>
      <x v="174"/>
      <x v="132"/>
      <x v="8"/>
    </i>
    <i>
      <x v="175"/>
      <x v="154"/>
      <x v="1"/>
    </i>
    <i>
      <x v="176"/>
      <x v="188"/>
      <x/>
    </i>
    <i>
      <x v="177"/>
      <x v="81"/>
      <x v="8"/>
    </i>
    <i>
      <x v="178"/>
      <x v="82"/>
      <x v="8"/>
    </i>
    <i>
      <x v="179"/>
      <x v="12"/>
      <x v="8"/>
    </i>
    <i>
      <x v="180"/>
      <x v="10"/>
      <x v="8"/>
    </i>
    <i>
      <x v="181"/>
      <x v="11"/>
      <x v="8"/>
    </i>
    <i>
      <x v="182"/>
      <x v="41"/>
      <x v="8"/>
    </i>
    <i>
      <x v="183"/>
      <x v="77"/>
      <x v="8"/>
    </i>
    <i>
      <x v="184"/>
      <x v="175"/>
      <x v="8"/>
    </i>
    <i>
      <x v="185"/>
      <x v="143"/>
      <x v="17"/>
    </i>
    <i>
      <x v="186"/>
      <x v="69"/>
      <x v="7"/>
    </i>
    <i>
      <x v="187"/>
      <x v="177"/>
      <x/>
    </i>
    <i>
      <x v="188"/>
      <x v="124"/>
      <x v="15"/>
    </i>
    <i>
      <x v="189"/>
      <x v="127"/>
      <x v="15"/>
    </i>
    <i>
      <x v="190"/>
      <x v="125"/>
      <x v="15"/>
    </i>
    <i>
      <x v="191"/>
      <x v="123"/>
      <x v="15"/>
    </i>
    <i>
      <x v="192"/>
      <x v="113"/>
      <x v="13"/>
    </i>
    <i>
      <x v="193"/>
      <x v="116"/>
      <x v="6"/>
    </i>
    <i>
      <x v="194"/>
      <x v="130"/>
      <x v="6"/>
    </i>
    <i>
      <x v="195"/>
      <x v="90"/>
      <x v="9"/>
    </i>
    <i>
      <x v="196"/>
      <x v="35"/>
      <x v="13"/>
    </i>
    <i>
      <x v="197"/>
      <x v="129"/>
      <x v="13"/>
    </i>
    <i>
      <x v="198"/>
      <x v="112"/>
      <x v="13"/>
    </i>
    <i>
      <x v="199"/>
      <x v="135"/>
      <x v="16"/>
    </i>
    <i>
      <x v="200"/>
      <x v="47"/>
      <x v="6"/>
    </i>
    <i>
      <x v="201"/>
      <x v="48"/>
      <x v="6"/>
    </i>
    <i>
      <x v="202"/>
      <x v="49"/>
      <x v="6"/>
    </i>
    <i>
      <x v="203"/>
      <x v="279"/>
      <x v="6"/>
    </i>
    <i>
      <x v="204"/>
      <x v="117"/>
      <x v="6"/>
    </i>
    <i>
      <x v="205"/>
      <x v="201"/>
      <x v="6"/>
    </i>
    <i>
      <x v="206"/>
      <x v="36"/>
      <x v="13"/>
    </i>
    <i>
      <x v="207"/>
      <x v="126"/>
      <x v="15"/>
    </i>
    <i>
      <x v="208"/>
      <x v="128"/>
      <x v="13"/>
    </i>
    <i>
      <x v="209"/>
      <x v="141"/>
      <x v="3"/>
    </i>
    <i>
      <x v="210"/>
      <x v="91"/>
      <x v="9"/>
    </i>
    <i>
      <x v="211"/>
      <x v="136"/>
      <x v="16"/>
    </i>
    <i>
      <x v="212"/>
      <x v="27"/>
      <x v="6"/>
    </i>
    <i>
      <x v="213"/>
      <x v="298"/>
      <x v="6"/>
    </i>
    <i>
      <x v="214"/>
      <x v="202"/>
      <x v="8"/>
    </i>
    <i>
      <x v="215"/>
      <x v="204"/>
      <x/>
    </i>
    <i>
      <x v="216"/>
      <x v="203"/>
      <x v="1"/>
    </i>
    <i>
      <x v="217"/>
      <x v="205"/>
      <x v="8"/>
    </i>
    <i>
      <x v="218"/>
      <x v="206"/>
      <x v="17"/>
    </i>
    <i>
      <x v="219"/>
      <x v="207"/>
      <x v="13"/>
    </i>
    <i>
      <x v="220"/>
      <x v="208"/>
      <x v="15"/>
    </i>
    <i>
      <x v="221"/>
      <x v="212"/>
      <x v="15"/>
    </i>
    <i>
      <x v="222"/>
      <x v="209"/>
      <x v="8"/>
    </i>
    <i>
      <x v="223"/>
      <x v="210"/>
      <x v="13"/>
    </i>
    <i>
      <x v="224"/>
      <x v="211"/>
      <x v="2"/>
    </i>
    <i>
      <x v="225"/>
      <x v="213"/>
      <x v="8"/>
    </i>
    <i>
      <x v="226"/>
      <x v="214"/>
      <x v="6"/>
    </i>
    <i>
      <x v="227"/>
      <x v="215"/>
      <x v="2"/>
    </i>
    <i>
      <x v="228"/>
      <x v="216"/>
      <x v="11"/>
    </i>
    <i>
      <x v="229"/>
      <x v="217"/>
      <x v="11"/>
    </i>
    <i>
      <x v="230"/>
      <x v="225"/>
      <x v="3"/>
    </i>
    <i>
      <x v="231"/>
      <x v="224"/>
      <x v="17"/>
    </i>
    <i>
      <x v="232"/>
      <x v="226"/>
      <x v="10"/>
    </i>
    <i>
      <x v="233"/>
      <x v="227"/>
      <x v="10"/>
    </i>
    <i>
      <x v="234"/>
      <x v="228"/>
      <x v="10"/>
    </i>
    <i>
      <x v="235"/>
      <x v="229"/>
      <x v="19"/>
    </i>
    <i>
      <x v="236"/>
      <x v="230"/>
      <x v="19"/>
    </i>
    <i>
      <x v="237"/>
      <x v="231"/>
      <x v="12"/>
    </i>
    <i>
      <x v="238"/>
      <x v="232"/>
      <x v="6"/>
    </i>
    <i>
      <x v="239"/>
      <x v="233"/>
      <x v="2"/>
    </i>
    <i>
      <x v="240"/>
      <x v="114"/>
      <x v="8"/>
    </i>
    <i>
      <x v="241"/>
      <x v="280"/>
      <x v="6"/>
    </i>
    <i>
      <x v="242"/>
      <x v="236"/>
      <x v="16"/>
    </i>
    <i>
      <x v="243"/>
      <x v="237"/>
      <x v="9"/>
    </i>
    <i>
      <x v="244"/>
      <x v="234"/>
      <x v="15"/>
    </i>
    <i>
      <x v="245"/>
      <x v="235"/>
      <x v="15"/>
    </i>
    <i>
      <x v="246"/>
      <x v="278"/>
      <x v="6"/>
    </i>
    <i>
      <x v="247"/>
      <x v="238"/>
      <x v="3"/>
    </i>
    <i>
      <x v="248"/>
      <x v="239"/>
      <x v="6"/>
    </i>
    <i>
      <x v="249"/>
      <x v="240"/>
      <x v="2"/>
    </i>
    <i>
      <x v="250"/>
      <x v="241"/>
      <x v="2"/>
    </i>
    <i>
      <x v="251"/>
      <x v="242"/>
      <x v="2"/>
    </i>
    <i>
      <x v="252"/>
      <x v="243"/>
      <x v="2"/>
    </i>
    <i>
      <x v="253"/>
      <x v="244"/>
      <x v="2"/>
    </i>
    <i>
      <x v="254"/>
      <x v="245"/>
      <x v="16"/>
    </i>
    <i>
      <x v="255"/>
      <x v="246"/>
      <x v="16"/>
    </i>
    <i>
      <x v="256"/>
      <x v="247"/>
      <x v="16"/>
    </i>
    <i>
      <x v="257"/>
      <x v="248"/>
      <x v="16"/>
    </i>
    <i>
      <x v="258"/>
      <x v="249"/>
      <x v="16"/>
    </i>
    <i>
      <x v="259"/>
      <x v="250"/>
      <x v="13"/>
    </i>
    <i>
      <x v="260"/>
      <x v="251"/>
      <x v="13"/>
    </i>
    <i>
      <x v="261"/>
      <x v="252"/>
      <x v="13"/>
    </i>
    <i>
      <x v="262"/>
      <x v="253"/>
      <x v="13"/>
    </i>
    <i>
      <x v="263"/>
      <x v="254"/>
      <x v="13"/>
    </i>
    <i>
      <x v="264"/>
      <x v="255"/>
      <x v="13"/>
    </i>
    <i>
      <x v="265"/>
      <x v="256"/>
      <x v="13"/>
    </i>
    <i>
      <x v="266"/>
      <x v="257"/>
      <x v="13"/>
    </i>
    <i>
      <x v="267"/>
      <x v="258"/>
      <x v="13"/>
    </i>
    <i>
      <x v="268"/>
      <x v="259"/>
      <x v="13"/>
    </i>
    <i>
      <x v="269"/>
      <x v="260"/>
      <x v="13"/>
    </i>
    <i>
      <x v="270"/>
      <x v="261"/>
      <x v="21"/>
    </i>
    <i>
      <x v="271"/>
      <x v="262"/>
      <x v="6"/>
    </i>
    <i>
      <x v="272"/>
      <x v="263"/>
      <x v="6"/>
    </i>
    <i>
      <x v="273"/>
      <x v="264"/>
      <x v="13"/>
    </i>
    <i>
      <x v="274"/>
      <x v="265"/>
      <x v="20"/>
    </i>
    <i>
      <x v="275"/>
      <x v="266"/>
      <x v="20"/>
    </i>
    <i>
      <x v="276"/>
      <x v="267"/>
      <x v="2"/>
    </i>
    <i>
      <x v="277"/>
      <x v="268"/>
      <x v="16"/>
    </i>
    <i>
      <x v="278"/>
      <x v="295"/>
      <x v="22"/>
    </i>
    <i>
      <x v="279"/>
      <x v="269"/>
      <x v="22"/>
    </i>
    <i>
      <x v="280"/>
      <x v="289"/>
      <x v="22"/>
    </i>
    <i>
      <x v="281"/>
      <x v="270"/>
      <x v="22"/>
    </i>
    <i>
      <x v="282"/>
      <x v="274"/>
      <x v="10"/>
    </i>
    <i>
      <x v="283"/>
      <x v="272"/>
      <x v="14"/>
    </i>
    <i>
      <x v="284"/>
      <x v="275"/>
      <x v="14"/>
    </i>
    <i>
      <x v="285"/>
      <x v="277"/>
      <x v="20"/>
    </i>
    <i>
      <x v="286"/>
      <x v="276"/>
      <x v="6"/>
    </i>
    <i>
      <x v="287"/>
      <x v="281"/>
      <x v="10"/>
    </i>
    <i>
      <x v="288"/>
      <x v="282"/>
      <x v="10"/>
    </i>
    <i>
      <x v="289"/>
      <x v="290"/>
      <x v="10"/>
    </i>
    <i>
      <x v="290"/>
      <x v="283"/>
      <x v="10"/>
    </i>
    <i>
      <x v="291"/>
      <x v="291"/>
      <x v="14"/>
    </i>
    <i>
      <x v="292"/>
      <x v="284"/>
      <x v="14"/>
    </i>
    <i>
      <x v="293"/>
      <x v="294"/>
      <x v="14"/>
    </i>
    <i>
      <x v="294"/>
      <x v="285"/>
      <x v="14"/>
    </i>
    <i>
      <x v="295"/>
      <x v="286"/>
      <x v="2"/>
    </i>
    <i>
      <x v="296"/>
      <x v="293"/>
      <x v="20"/>
    </i>
    <i>
      <x v="297"/>
      <x v="287"/>
      <x v="2"/>
    </i>
    <i>
      <x v="298"/>
      <x v="288"/>
      <x v="14"/>
    </i>
    <i>
      <x v="299"/>
      <x v="292"/>
      <x v="20"/>
    </i>
    <i>
      <x v="300"/>
      <x v="296"/>
      <x v="23"/>
    </i>
    <i r="1">
      <x v="297"/>
      <x v="8"/>
    </i>
    <i>
      <x v="301"/>
      <x v="299"/>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6.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K306" firstHeaderRow="1" firstDataRow="1" firstDataCol="4"/>
  <pivotFields count="31">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00">
        <item x="139"/>
        <item x="147"/>
        <item x="123"/>
        <item x="205"/>
        <item x="37"/>
        <item x="219"/>
        <item x="130"/>
        <item x="135"/>
        <item x="141"/>
        <item x="283"/>
        <item x="144"/>
        <item x="138"/>
        <item x="86"/>
        <item x="287"/>
        <item x="288"/>
        <item x="177"/>
        <item x="178"/>
        <item x="176"/>
        <item x="128"/>
        <item x="153"/>
        <item x="140"/>
        <item x="107"/>
        <item x="75"/>
        <item x="112"/>
        <item x="188"/>
        <item x="74"/>
        <item x="82"/>
        <item x="35"/>
        <item x="131"/>
        <item x="202"/>
        <item x="129"/>
        <item x="9"/>
        <item x="106"/>
        <item x="148"/>
        <item x="292"/>
        <item x="152"/>
        <item x="257"/>
        <item x="258"/>
        <item x="43"/>
        <item x="286"/>
        <item x="194"/>
        <item x="24"/>
        <item x="76"/>
        <item x="118"/>
        <item x="136"/>
        <item x="154"/>
        <item x="170"/>
        <item x="121"/>
        <item x="241"/>
        <item x="255"/>
        <item x="251"/>
        <item x="164"/>
        <item x="266"/>
        <item x="103"/>
        <item x="39"/>
        <item x="299"/>
        <item x="157"/>
        <item x="179"/>
        <item x="161"/>
        <item x="13"/>
        <item x="15"/>
        <item x="211"/>
        <item x="99"/>
        <item x="282"/>
        <item x="201"/>
        <item x="281"/>
        <item x="45"/>
        <item x="213"/>
        <item x="279"/>
        <item x="155"/>
        <item x="245"/>
        <item x="193"/>
        <item x="225"/>
        <item x="248"/>
        <item x="226"/>
        <item x="259"/>
        <item x="10"/>
        <item x="67"/>
        <item x="71"/>
        <item x="166"/>
        <item x="110"/>
        <item x="291"/>
        <item x="42"/>
        <item x="109"/>
        <item x="294"/>
        <item x="117"/>
        <item x="127"/>
        <item x="195"/>
        <item x="262"/>
        <item x="11"/>
        <item x="149"/>
        <item x="132"/>
        <item x="122"/>
        <item x="36"/>
        <item x="246"/>
        <item x="59"/>
        <item x="53"/>
        <item x="58"/>
        <item x="124"/>
        <item x="180"/>
        <item x="66"/>
        <item x="199"/>
        <item x="101"/>
        <item x="183"/>
        <item x="22"/>
        <item x="85"/>
        <item x="61"/>
        <item x="297"/>
        <item x="27"/>
        <item x="25"/>
        <item x="264"/>
        <item x="263"/>
        <item x="296"/>
        <item x="278"/>
        <item x="159"/>
        <item x="12"/>
        <item x="48"/>
        <item x="7"/>
        <item x="247"/>
        <item x="174"/>
        <item x="175"/>
        <item x="250"/>
        <item x="60"/>
        <item x="268"/>
        <item x="163"/>
        <item x="115"/>
        <item x="169"/>
        <item x="114"/>
        <item x="162"/>
        <item x="116"/>
        <item x="111"/>
        <item x="55"/>
        <item x="223"/>
        <item x="229"/>
        <item x="49"/>
        <item x="88"/>
        <item x="87"/>
        <item x="90"/>
        <item x="92"/>
        <item x="93"/>
        <item x="89"/>
        <item x="94"/>
        <item x="91"/>
        <item x="16"/>
        <item x="17"/>
        <item x="100"/>
        <item x="84"/>
        <item x="81"/>
        <item x="80"/>
        <item x="70"/>
        <item x="83"/>
        <item x="146"/>
        <item x="227"/>
        <item x="172"/>
        <item x="32"/>
        <item x="46"/>
        <item x="54"/>
        <item x="280"/>
        <item x="239"/>
        <item x="269"/>
        <item x="243"/>
        <item x="237"/>
        <item x="203"/>
        <item x="167"/>
        <item x="244"/>
        <item x="221"/>
        <item x="235"/>
        <item x="249"/>
        <item x="145"/>
        <item x="230"/>
        <item x="233"/>
        <item x="38"/>
        <item x="192"/>
        <item x="14"/>
        <item x="208"/>
        <item x="47"/>
        <item x="125"/>
        <item x="220"/>
        <item x="216"/>
        <item x="231"/>
        <item x="218"/>
        <item x="252"/>
        <item x="234"/>
        <item x="253"/>
        <item x="242"/>
        <item x="222"/>
        <item x="240"/>
        <item x="168"/>
        <item x="171"/>
        <item x="126"/>
        <item x="137"/>
        <item x="236"/>
        <item x="224"/>
        <item x="256"/>
        <item x="232"/>
        <item x="284"/>
        <item x="217"/>
        <item x="209"/>
        <item x="276"/>
        <item x="277"/>
        <item x="275"/>
        <item x="20"/>
        <item x="44"/>
        <item x="72"/>
        <item x="77"/>
        <item x="254"/>
        <item x="68"/>
        <item x="182"/>
        <item x="29"/>
        <item x="273"/>
        <item x="31"/>
        <item x="187"/>
        <item x="267"/>
        <item x="78"/>
        <item x="79"/>
        <item x="113"/>
        <item x="56"/>
        <item x="1"/>
        <item x="63"/>
        <item x="120"/>
        <item x="215"/>
        <item x="108"/>
        <item x="97"/>
        <item x="260"/>
        <item x="238"/>
        <item x="158"/>
        <item x="96"/>
        <item x="142"/>
        <item x="62"/>
        <item x="119"/>
        <item x="28"/>
        <item x="21"/>
        <item x="26"/>
        <item x="23"/>
        <item x="133"/>
        <item x="270"/>
        <item x="102"/>
        <item x="206"/>
        <item x="150"/>
        <item x="189"/>
        <item x="98"/>
        <item x="197"/>
        <item x="185"/>
        <item x="160"/>
        <item x="64"/>
        <item x="290"/>
        <item x="190"/>
        <item x="191"/>
        <item x="5"/>
        <item x="6"/>
        <item x="265"/>
        <item x="50"/>
        <item x="51"/>
        <item x="274"/>
        <item x="8"/>
        <item x="181"/>
        <item x="196"/>
        <item x="69"/>
        <item x="184"/>
        <item x="285"/>
        <item x="156"/>
        <item x="52"/>
        <item x="214"/>
        <item x="200"/>
        <item x="198"/>
        <item x="210"/>
        <item x="104"/>
        <item x="57"/>
        <item x="0"/>
        <item x="18"/>
        <item x="3"/>
        <item x="2"/>
        <item x="4"/>
        <item x="207"/>
        <item x="30"/>
        <item x="186"/>
        <item x="95"/>
        <item x="173"/>
        <item x="212"/>
        <item x="65"/>
        <item x="293"/>
        <item x="272"/>
        <item x="295"/>
        <item x="34"/>
        <item x="33"/>
        <item x="204"/>
        <item x="151"/>
        <item x="134"/>
        <item x="289"/>
        <item x="271"/>
        <item x="41"/>
        <item x="143"/>
        <item x="19"/>
        <item x="298"/>
        <item x="40"/>
        <item x="73"/>
        <item x="105"/>
        <item x="165"/>
        <item x="228"/>
        <item x="261"/>
      </items>
      <extLst>
        <ext xmlns:x14="http://schemas.microsoft.com/office/spreadsheetml/2009/9/main" uri="{2946ED86-A175-432a-8AC1-64E0C546D7DE}">
          <x14:pivotField fillDownLabels="1"/>
        </ext>
      </extLst>
    </pivotField>
    <pivotField axis="axisRow" compact="0" outline="0" showAll="0" defaultSubtotal="0">
      <items count="302">
        <item x="0"/>
        <item x="1"/>
        <item x="2"/>
        <item x="3"/>
        <item x="4"/>
        <item x="5"/>
        <item x="6"/>
        <item x="7"/>
        <item x="8"/>
        <item x="9"/>
        <item x="10"/>
        <item x="11"/>
        <item x="265"/>
        <item x="12"/>
        <item x="14"/>
        <item x="13"/>
        <item x="15"/>
        <item x="16"/>
        <item x="17"/>
        <item x="19"/>
        <item x="18"/>
        <item x="20"/>
        <item x="21"/>
        <item x="23"/>
        <item x="22"/>
        <item x="24"/>
        <item x="25"/>
        <item x="26"/>
        <item x="27"/>
        <item x="28"/>
        <item x="29"/>
        <item x="31"/>
        <item x="32"/>
        <item x="33"/>
        <item x="30"/>
        <item x="34"/>
        <item x="266"/>
        <item x="267"/>
        <item x="268"/>
        <item x="35"/>
        <item x="269"/>
        <item x="41"/>
        <item x="42"/>
        <item x="43"/>
        <item x="273"/>
        <item x="45"/>
        <item x="36"/>
        <item x="37"/>
        <item x="38"/>
        <item x="39"/>
        <item x="40"/>
        <item x="44"/>
        <item x="52"/>
        <item x="46"/>
        <item x="54"/>
        <item x="55"/>
        <item x="56"/>
        <item x="57"/>
        <item x="47"/>
        <item x="48"/>
        <item x="60"/>
        <item x="61"/>
        <item x="62"/>
        <item x="49"/>
        <item x="50"/>
        <item x="51"/>
        <item x="53"/>
        <item x="58"/>
        <item x="59"/>
        <item x="63"/>
        <item x="64"/>
        <item x="71"/>
        <item x="65"/>
        <item x="66"/>
        <item x="67"/>
        <item x="68"/>
        <item x="69"/>
        <item x="77"/>
        <item x="78"/>
        <item x="79"/>
        <item x="80"/>
        <item x="81"/>
        <item x="82"/>
        <item x="83"/>
        <item x="84"/>
        <item x="70"/>
        <item x="86"/>
        <item x="87"/>
        <item x="88"/>
        <item x="89"/>
        <item x="90"/>
        <item x="91"/>
        <item x="92"/>
        <item x="93"/>
        <item x="94"/>
        <item x="95"/>
        <item x="96"/>
        <item x="72"/>
        <item x="98"/>
        <item x="73"/>
        <item x="100"/>
        <item x="101"/>
        <item x="102"/>
        <item x="74"/>
        <item x="104"/>
        <item x="105"/>
        <item x="75"/>
        <item x="107"/>
        <item x="76"/>
        <item x="274"/>
        <item x="110"/>
        <item x="111"/>
        <item x="85"/>
        <item x="97"/>
        <item x="99"/>
        <item x="103"/>
        <item x="106"/>
        <item x="108"/>
        <item x="109"/>
        <item x="112"/>
        <item x="113"/>
        <item x="114"/>
        <item x="115"/>
        <item x="116"/>
        <item x="124"/>
        <item x="125"/>
        <item x="126"/>
        <item x="127"/>
        <item x="117"/>
        <item x="118"/>
        <item x="276"/>
        <item x="131"/>
        <item x="119"/>
        <item x="120"/>
        <item x="121"/>
        <item x="122"/>
        <item x="123"/>
        <item x="128"/>
        <item x="138"/>
        <item x="139"/>
        <item x="140"/>
        <item x="141"/>
        <item x="129"/>
        <item x="143"/>
        <item x="130"/>
        <item x="145"/>
        <item x="146"/>
        <item x="147"/>
        <item x="148"/>
        <item x="132"/>
        <item x="133"/>
        <item x="151"/>
        <item x="134"/>
        <item x="153"/>
        <item x="154"/>
        <item x="155"/>
        <item x="156"/>
        <item x="135"/>
        <item x="136"/>
        <item x="137"/>
        <item x="142"/>
        <item x="144"/>
        <item x="149"/>
        <item x="150"/>
        <item x="152"/>
        <item x="165"/>
        <item x="166"/>
        <item x="157"/>
        <item x="168"/>
        <item x="169"/>
        <item x="170"/>
        <item x="171"/>
        <item x="158"/>
        <item x="159"/>
        <item x="174"/>
        <item x="160"/>
        <item x="176"/>
        <item x="177"/>
        <item x="178"/>
        <item x="179"/>
        <item x="180"/>
        <item x="181"/>
        <item x="182"/>
        <item x="281"/>
        <item x="184"/>
        <item x="185"/>
        <item x="186"/>
        <item x="187"/>
        <item x="219"/>
        <item x="237"/>
        <item x="221"/>
        <item x="223"/>
        <item x="240"/>
        <item x="224"/>
        <item x="225"/>
        <item x="226"/>
        <item x="244"/>
        <item x="245"/>
        <item x="246"/>
        <item x="227"/>
        <item x="248"/>
        <item x="228"/>
        <item x="229"/>
        <item x="230"/>
        <item x="252"/>
        <item x="231"/>
        <item x="254"/>
        <item x="255"/>
        <item x="256"/>
        <item x="257"/>
        <item x="232"/>
        <item x="259"/>
        <item x="260"/>
        <item x="261"/>
        <item x="161"/>
        <item x="189"/>
        <item x="162"/>
        <item x="191"/>
        <item x="163"/>
        <item x="233"/>
        <item x="234"/>
        <item x="235"/>
        <item x="164"/>
        <item x="236"/>
        <item x="167"/>
        <item x="172"/>
        <item x="238"/>
        <item x="196"/>
        <item x="173"/>
        <item x="175"/>
        <item x="239"/>
        <item x="183"/>
        <item x="200"/>
        <item x="188"/>
        <item x="202"/>
        <item x="190"/>
        <item x="192"/>
        <item x="205"/>
        <item x="270"/>
        <item x="207"/>
        <item x="206"/>
        <item x="300"/>
        <item x="241"/>
        <item x="271"/>
        <item x="272"/>
        <item x="242"/>
        <item x="243"/>
        <item x="275"/>
        <item x="247"/>
        <item x="208"/>
        <item x="193"/>
        <item x="210"/>
        <item x="194"/>
        <item x="195"/>
        <item x="277"/>
        <item x="278"/>
        <item x="279"/>
        <item x="280"/>
        <item x="249"/>
        <item x="282"/>
        <item x="283"/>
        <item x="284"/>
        <item x="285"/>
        <item x="286"/>
        <item x="287"/>
        <item x="288"/>
        <item x="289"/>
        <item x="290"/>
        <item x="291"/>
        <item x="292"/>
        <item x="250"/>
        <item x="251"/>
        <item x="253"/>
        <item x="258"/>
        <item x="197"/>
        <item x="293"/>
        <item x="198"/>
        <item x="262"/>
        <item x="199"/>
        <item x="217"/>
        <item x="201"/>
        <item x="203"/>
        <item x="220"/>
        <item x="204"/>
        <item x="222"/>
        <item x="209"/>
        <item x="263"/>
        <item x="211"/>
        <item x="294"/>
        <item x="212"/>
        <item x="295"/>
        <item x="296"/>
        <item x="213"/>
        <item x="214"/>
        <item x="215"/>
        <item x="297"/>
        <item x="298"/>
        <item x="216"/>
        <item x="218"/>
        <item x="299"/>
        <item x="264"/>
        <item x="30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8">
        <item x="54"/>
        <item x="0"/>
        <item x="1"/>
        <item x="2"/>
        <item x="22"/>
        <item x="3"/>
        <item x="10"/>
        <item x="14"/>
        <item x="4"/>
        <item x="7"/>
        <item x="17"/>
        <item x="5"/>
        <item x="6"/>
        <item x="18"/>
        <item x="23"/>
        <item x="15"/>
        <item x="13"/>
        <item x="12"/>
        <item x="21"/>
        <item x="26"/>
        <item x="8"/>
        <item x="9"/>
        <item x="19"/>
        <item x="29"/>
        <item x="24"/>
        <item x="16"/>
        <item x="45"/>
        <item x="20"/>
        <item x="46"/>
        <item x="27"/>
        <item x="49"/>
        <item x="48"/>
        <item x="25"/>
        <item x="47"/>
        <item x="33"/>
        <item x="31"/>
        <item x="30"/>
        <item x="28"/>
        <item x="37"/>
        <item x="51"/>
        <item x="50"/>
        <item x="56"/>
        <item x="32"/>
        <item n="0" x="11"/>
        <item x="52"/>
        <item x="55"/>
        <item x="34"/>
        <item x="53"/>
        <item x="35"/>
        <item x="36"/>
        <item x="43"/>
        <item x="44"/>
        <item x="38"/>
        <item x="39"/>
        <item x="41"/>
        <item x="42"/>
        <item x="40"/>
        <item x="5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11"/>
    <field x="12"/>
    <field x="0"/>
    <field x="23"/>
  </rowFields>
  <rowItems count="303">
    <i>
      <x/>
      <x v="139"/>
      <x/>
      <x v="43"/>
    </i>
    <i>
      <x v="1"/>
      <x v="147"/>
      <x/>
      <x v="18"/>
    </i>
    <i>
      <x v="2"/>
      <x v="136"/>
      <x v="1"/>
      <x v="18"/>
    </i>
    <i>
      <x v="3"/>
      <x v="249"/>
      <x/>
      <x v="42"/>
    </i>
    <i>
      <x v="4"/>
      <x v="47"/>
      <x v="1"/>
      <x v="6"/>
    </i>
    <i>
      <x v="5"/>
      <x v="284"/>
      <x/>
      <x v="51"/>
    </i>
    <i>
      <x v="6"/>
      <x v="144"/>
      <x v="1"/>
      <x v="18"/>
    </i>
    <i>
      <x v="7"/>
      <x v="157"/>
      <x v="1"/>
      <x v="18"/>
    </i>
    <i>
      <x v="8"/>
      <x v="141"/>
      <x/>
      <x v="43"/>
    </i>
    <i>
      <x v="9"/>
      <x v="263"/>
      <x/>
      <x v="43"/>
    </i>
    <i>
      <x v="10"/>
      <x v="161"/>
      <x v="1"/>
      <x v="4"/>
    </i>
    <i>
      <x v="11"/>
      <x v="138"/>
      <x/>
      <x v="43"/>
    </i>
    <i>
      <x v="12"/>
      <x v="86"/>
      <x/>
      <x v="43"/>
    </i>
    <i>
      <x v="13"/>
      <x v="267"/>
      <x/>
      <x v="43"/>
    </i>
    <i>
      <x v="14"/>
      <x v="268"/>
      <x/>
      <x v="43"/>
    </i>
    <i>
      <x v="15"/>
      <x v="180"/>
      <x/>
      <x v="43"/>
    </i>
    <i>
      <x v="16"/>
      <x v="181"/>
      <x/>
      <x v="43"/>
    </i>
    <i>
      <x v="17"/>
      <x v="179"/>
      <x/>
      <x v="43"/>
    </i>
    <i>
      <x v="18"/>
      <x v="137"/>
      <x v="1"/>
      <x v="18"/>
    </i>
    <i>
      <x v="19"/>
      <x v="155"/>
      <x/>
      <x v="43"/>
    </i>
    <i>
      <x v="20"/>
      <x v="140"/>
      <x/>
      <x v="18"/>
    </i>
    <i>
      <x v="21"/>
      <x v="107"/>
      <x/>
      <x v="43"/>
    </i>
    <i>
      <x v="22"/>
      <x v="106"/>
      <x v="1"/>
      <x v="6"/>
    </i>
    <i>
      <x v="23"/>
      <x v="119"/>
      <x v="1"/>
      <x v="5"/>
    </i>
    <i>
      <x v="24"/>
      <x v="217"/>
      <x/>
      <x v="5"/>
    </i>
    <i>
      <x v="25"/>
      <x v="103"/>
      <x v="1"/>
      <x v="22"/>
    </i>
    <i>
      <x v="26"/>
      <x v="82"/>
      <x/>
      <x v="43"/>
    </i>
    <i>
      <x v="27"/>
      <x v="39"/>
      <x v="1"/>
      <x v="17"/>
    </i>
    <i>
      <x v="28"/>
      <x v="131"/>
      <x/>
      <x v="43"/>
    </i>
    <i>
      <x v="29"/>
      <x v="237"/>
      <x/>
      <x v="43"/>
    </i>
    <i>
      <x v="30"/>
      <x v="142"/>
      <x v="1"/>
      <x v="18"/>
    </i>
    <i>
      <x v="31"/>
      <x v="9"/>
      <x v="1"/>
      <x v="1"/>
    </i>
    <i>
      <x v="32"/>
      <x v="116"/>
      <x v="1"/>
      <x v="3"/>
    </i>
    <i>
      <x v="33"/>
      <x v="148"/>
      <x/>
      <x v="43"/>
    </i>
    <i>
      <x v="34"/>
      <x v="290"/>
      <x v="1"/>
      <x v="53"/>
    </i>
    <i>
      <x v="35"/>
      <x v="154"/>
      <x/>
      <x v="43"/>
    </i>
    <i>
      <x v="36"/>
      <x v="212"/>
      <x/>
      <x v="43"/>
    </i>
    <i>
      <x v="37"/>
      <x v="213"/>
      <x v="1"/>
      <x v="43"/>
    </i>
    <i>
      <x v="38"/>
      <x v="43"/>
      <x/>
      <x v="43"/>
    </i>
    <i>
      <x v="39"/>
      <x v="266"/>
      <x/>
      <x v="43"/>
    </i>
    <i>
      <x v="40"/>
      <x v="274"/>
      <x v="1"/>
      <x v="43"/>
    </i>
    <i>
      <x v="41"/>
      <x v="25"/>
      <x v="1"/>
      <x v="1"/>
    </i>
    <i>
      <x v="42"/>
      <x v="108"/>
      <x v="1"/>
      <x v="7"/>
    </i>
    <i>
      <x v="43"/>
      <x v="129"/>
      <x v="1"/>
      <x v="16"/>
    </i>
    <i>
      <x v="44"/>
      <x v="158"/>
      <x v="1"/>
      <x v="15"/>
    </i>
    <i>
      <x v="45"/>
      <x v="156"/>
      <x/>
      <x v="43"/>
    </i>
    <i>
      <x v="46"/>
      <x v="228"/>
      <x v="1"/>
      <x v="18"/>
    </i>
    <i>
      <x v="47"/>
      <x v="134"/>
      <x v="1"/>
      <x v="43"/>
    </i>
    <i r="1">
      <x v="163"/>
      <x v="1"/>
      <x v="43"/>
    </i>
    <i r="1">
      <x v="164"/>
      <x v="1"/>
      <x v="43"/>
    </i>
    <i r="1">
      <x v="166"/>
      <x/>
      <x v="43"/>
    </i>
    <i>
      <x v="48"/>
      <x v="196"/>
      <x/>
      <x v="43"/>
    </i>
    <i>
      <x v="49"/>
      <x v="273"/>
      <x v="1"/>
      <x v="43"/>
    </i>
    <i>
      <x v="50"/>
      <x v="206"/>
      <x/>
      <x v="43"/>
    </i>
    <i>
      <x v="51"/>
      <x v="224"/>
      <x v="1"/>
      <x v="15"/>
    </i>
    <i>
      <x v="52"/>
      <x v="40"/>
      <x v="1"/>
      <x v="12"/>
    </i>
    <i>
      <x v="53"/>
      <x v="115"/>
      <x v="1"/>
      <x v="1"/>
    </i>
    <i>
      <x v="54"/>
      <x v="49"/>
      <x v="1"/>
      <x v="7"/>
    </i>
    <i>
      <x v="55"/>
      <x v="301"/>
      <x v="1"/>
      <x v="57"/>
    </i>
    <i>
      <x v="56"/>
      <x v="173"/>
      <x v="1"/>
      <x v="43"/>
    </i>
    <i>
      <x v="57"/>
      <x v="182"/>
      <x/>
      <x v="43"/>
    </i>
    <i>
      <x v="58"/>
      <x v="218"/>
      <x v="1"/>
      <x v="22"/>
    </i>
    <i>
      <x v="59"/>
      <x v="15"/>
      <x v="1"/>
      <x v="2"/>
    </i>
    <i>
      <x v="60"/>
      <x v="16"/>
      <x v="1"/>
      <x v="2"/>
    </i>
    <i>
      <x v="61"/>
      <x v="293"/>
      <x v="1"/>
      <x v="56"/>
    </i>
    <i>
      <x v="62"/>
      <x v="114"/>
      <x v="1"/>
      <x v="13"/>
    </i>
    <i>
      <x v="63"/>
      <x v="262"/>
      <x/>
      <x v="43"/>
    </i>
    <i>
      <x v="64"/>
      <x v="283"/>
      <x v="1"/>
      <x v="49"/>
    </i>
    <i>
      <x v="65"/>
      <x v="261"/>
      <x/>
      <x v="43"/>
    </i>
    <i>
      <x v="66"/>
      <x v="45"/>
      <x/>
      <x v="43"/>
    </i>
    <i>
      <x v="67"/>
      <x v="297"/>
      <x v="1"/>
      <x v="43"/>
    </i>
    <i>
      <x v="68"/>
      <x v="259"/>
      <x/>
      <x v="43"/>
    </i>
    <i>
      <x v="69"/>
      <x v="167"/>
      <x v="1"/>
      <x v="43"/>
    </i>
    <i>
      <x v="70"/>
      <x v="200"/>
      <x/>
      <x v="18"/>
    </i>
    <i>
      <x v="71"/>
      <x v="227"/>
      <x/>
      <x v="34"/>
    </i>
    <i>
      <x v="72"/>
      <x v="201"/>
      <x v="1"/>
      <x v="17"/>
    </i>
    <i>
      <x v="73"/>
      <x v="271"/>
      <x v="1"/>
      <x v="44"/>
    </i>
    <i>
      <x v="74"/>
      <x v="202"/>
      <x v="1"/>
      <x v="17"/>
    </i>
    <i>
      <x v="75"/>
      <x v="277"/>
      <x v="1"/>
      <x v="47"/>
    </i>
    <i>
      <x v="76"/>
      <x v="10"/>
      <x v="1"/>
      <x v="8"/>
    </i>
    <i>
      <x v="77"/>
      <x v="74"/>
      <x v="1"/>
      <x v="12"/>
    </i>
    <i>
      <x v="78"/>
      <x v="71"/>
      <x/>
      <x v="43"/>
    </i>
    <i>
      <x v="79"/>
      <x v="169"/>
      <x/>
      <x v="19"/>
    </i>
    <i>
      <x v="80"/>
      <x v="110"/>
      <x/>
      <x v="1"/>
    </i>
    <i>
      <x v="81"/>
      <x v="288"/>
      <x v="1"/>
      <x v="53"/>
    </i>
    <i>
      <x v="82"/>
      <x v="42"/>
      <x/>
      <x v="43"/>
    </i>
    <i>
      <x v="83"/>
      <x v="118"/>
      <x v="1"/>
      <x v="5"/>
    </i>
    <i>
      <x v="84"/>
      <x v="295"/>
      <x v="1"/>
      <x v="43"/>
    </i>
    <i>
      <x v="85"/>
      <x v="128"/>
      <x v="1"/>
      <x v="27"/>
    </i>
    <i>
      <x v="86"/>
      <x v="127"/>
      <x/>
      <x v="43"/>
    </i>
    <i>
      <x v="87"/>
      <x v="276"/>
      <x v="1"/>
      <x v="46"/>
    </i>
    <i>
      <x v="88"/>
      <x v="12"/>
      <x v="1"/>
      <x/>
    </i>
    <i>
      <x v="89"/>
      <x v="11"/>
      <x v="1"/>
      <x v="1"/>
    </i>
    <i>
      <x v="90"/>
      <x v="162"/>
      <x v="1"/>
      <x v="9"/>
    </i>
    <i>
      <x v="91"/>
      <x v="149"/>
      <x v="1"/>
      <x v="18"/>
    </i>
    <i>
      <x v="92"/>
      <x v="135"/>
      <x v="1"/>
      <x v="18"/>
    </i>
    <i>
      <x v="93"/>
      <x v="46"/>
      <x v="1"/>
      <x v="1"/>
    </i>
    <i>
      <x v="94"/>
      <x v="258"/>
      <x v="1"/>
      <x v="43"/>
    </i>
    <i>
      <x v="95"/>
      <x v="68"/>
      <x v="1"/>
      <x v="12"/>
    </i>
    <i>
      <x v="96"/>
      <x v="66"/>
      <x v="1"/>
      <x v="6"/>
    </i>
    <i>
      <x v="97"/>
      <x v="67"/>
      <x v="1"/>
      <x v="11"/>
    </i>
    <i>
      <x v="98"/>
      <x v="124"/>
      <x/>
      <x v="15"/>
    </i>
    <i>
      <x v="99"/>
      <x v="231"/>
      <x v="1"/>
      <x v="37"/>
    </i>
    <i>
      <x v="100"/>
      <x v="73"/>
      <x v="1"/>
      <x v="12"/>
    </i>
    <i>
      <x v="101"/>
      <x v="234"/>
      <x/>
      <x v="36"/>
    </i>
    <i>
      <x v="102"/>
      <x v="101"/>
      <x/>
      <x v="43"/>
    </i>
    <i>
      <x v="103"/>
      <x v="186"/>
      <x/>
      <x v="23"/>
    </i>
    <i>
      <x v="104"/>
      <x v="24"/>
      <x v="1"/>
      <x v="12"/>
    </i>
    <i>
      <x v="105"/>
      <x v="112"/>
      <x v="1"/>
      <x v="1"/>
    </i>
    <i>
      <x v="106"/>
      <x v="61"/>
      <x/>
      <x v="43"/>
    </i>
    <i>
      <x v="107"/>
      <x v="241"/>
      <x v="1"/>
      <x v="41"/>
    </i>
    <i>
      <x v="108"/>
      <x v="28"/>
      <x v="1"/>
      <x v="21"/>
    </i>
    <i>
      <x v="109"/>
      <x v="26"/>
      <x v="1"/>
      <x v="20"/>
    </i>
    <i>
      <x v="110"/>
      <x v="37"/>
      <x v="1"/>
      <x v="13"/>
    </i>
    <i>
      <x v="111"/>
      <x v="36"/>
      <x v="1"/>
      <x v="7"/>
    </i>
    <i>
      <x v="112"/>
      <x v="299"/>
      <x v="2"/>
      <x v="55"/>
    </i>
    <i>
      <x v="113"/>
      <x v="183"/>
      <x v="1"/>
      <x v="24"/>
    </i>
    <i>
      <x v="114"/>
      <x v="214"/>
      <x v="1"/>
      <x v="24"/>
    </i>
    <i>
      <x v="115"/>
      <x v="13"/>
      <x v="1"/>
      <x v="3"/>
    </i>
    <i>
      <x v="116"/>
      <x v="59"/>
      <x v="1"/>
      <x v="12"/>
    </i>
    <i>
      <x v="117"/>
      <x v="7"/>
      <x v="1"/>
      <x v="2"/>
    </i>
    <i>
      <x v="118"/>
      <x v="270"/>
      <x v="1"/>
      <x v="43"/>
    </i>
    <i>
      <x v="119"/>
      <x v="177"/>
      <x/>
      <x v="43"/>
    </i>
    <i>
      <x v="120"/>
      <x v="178"/>
      <x/>
      <x v="43"/>
    </i>
    <i>
      <x v="121"/>
      <x v="272"/>
      <x v="1"/>
      <x v="43"/>
    </i>
    <i>
      <x v="122"/>
      <x v="60"/>
      <x/>
      <x v="43"/>
    </i>
    <i>
      <x v="123"/>
      <x v="243"/>
      <x/>
      <x v="38"/>
    </i>
    <i>
      <x v="124"/>
      <x v="165"/>
      <x/>
      <x v="43"/>
    </i>
    <i>
      <x v="125"/>
      <x v="122"/>
      <x v="1"/>
      <x v="9"/>
    </i>
    <i>
      <x v="126"/>
      <x v="225"/>
      <x v="1"/>
      <x v="29"/>
    </i>
    <i>
      <x v="127"/>
      <x v="121"/>
      <x v="1"/>
      <x v="6"/>
    </i>
    <i>
      <x v="128"/>
      <x v="222"/>
      <x v="1"/>
      <x v="32"/>
    </i>
    <i>
      <x v="129"/>
      <x v="123"/>
      <x v="1"/>
      <x v="43"/>
    </i>
    <i>
      <x v="130"/>
      <x v="111"/>
      <x/>
      <x v="43"/>
    </i>
    <i>
      <x v="131"/>
      <x v="55"/>
      <x/>
      <x v="5"/>
    </i>
    <i>
      <x v="132"/>
      <x v="195"/>
      <x v="1"/>
      <x v="11"/>
    </i>
    <i>
      <x v="133"/>
      <x v="210"/>
      <x v="1"/>
      <x v="12"/>
    </i>
    <i>
      <x v="134"/>
      <x v="63"/>
      <x v="1"/>
      <x v="25"/>
    </i>
    <i>
      <x v="135"/>
      <x v="88"/>
      <x/>
      <x v="43"/>
    </i>
    <i>
      <x v="136"/>
      <x v="87"/>
      <x/>
      <x v="43"/>
    </i>
    <i>
      <x v="137"/>
      <x v="90"/>
      <x/>
      <x v="43"/>
    </i>
    <i>
      <x v="138"/>
      <x v="92"/>
      <x/>
      <x v="43"/>
    </i>
    <i>
      <x v="139"/>
      <x v="93"/>
      <x/>
      <x v="43"/>
    </i>
    <i>
      <x v="140"/>
      <x v="89"/>
      <x/>
      <x v="43"/>
    </i>
    <i>
      <x v="141"/>
      <x v="94"/>
      <x/>
      <x v="43"/>
    </i>
    <i>
      <x v="142"/>
      <x v="91"/>
      <x/>
      <x v="43"/>
    </i>
    <i>
      <x v="143"/>
      <x v="17"/>
      <x v="1"/>
      <x v="5"/>
    </i>
    <i>
      <x v="144"/>
      <x v="18"/>
      <x v="1"/>
      <x v="5"/>
    </i>
    <i>
      <x v="145"/>
      <x v="100"/>
      <x/>
      <x v="43"/>
    </i>
    <i>
      <x v="146"/>
      <x v="84"/>
      <x/>
      <x v="43"/>
    </i>
    <i>
      <x v="147"/>
      <x v="81"/>
      <x/>
      <x v="43"/>
    </i>
    <i>
      <x v="148"/>
      <x v="80"/>
      <x/>
      <x v="43"/>
    </i>
    <i>
      <x v="149"/>
      <x v="85"/>
      <x v="1"/>
      <x v="15"/>
    </i>
    <i>
      <x v="150"/>
      <x v="83"/>
      <x/>
      <x v="43"/>
    </i>
    <i>
      <x v="151"/>
      <x v="146"/>
      <x/>
      <x v="43"/>
    </i>
    <i>
      <x v="152"/>
      <x v="203"/>
      <x v="1"/>
      <x v="18"/>
    </i>
    <i>
      <x v="153"/>
      <x v="229"/>
      <x v="1"/>
      <x v="18"/>
    </i>
    <i>
      <x v="154"/>
      <x v="32"/>
      <x/>
      <x v="43"/>
    </i>
    <i>
      <x v="155"/>
      <x v="53"/>
      <x v="1"/>
      <x v="1"/>
    </i>
    <i>
      <x v="156"/>
      <x v="54"/>
      <x/>
      <x v="3"/>
    </i>
    <i>
      <x v="157"/>
      <x v="260"/>
      <x/>
      <x v="43"/>
    </i>
    <i>
      <x v="158"/>
      <x v="245"/>
      <x v="1"/>
      <x v="40"/>
    </i>
    <i>
      <x v="159"/>
      <x v="244"/>
      <x/>
      <x v="39"/>
    </i>
    <i>
      <x v="160"/>
      <x v="198"/>
      <x/>
      <x v="14"/>
    </i>
    <i>
      <x v="161"/>
      <x v="192"/>
      <x/>
      <x v="43"/>
    </i>
    <i>
      <x v="162"/>
      <x v="240"/>
      <x/>
      <x v="43"/>
    </i>
    <i>
      <x v="163"/>
      <x v="170"/>
      <x/>
      <x v="14"/>
    </i>
    <i>
      <x v="164"/>
      <x v="248"/>
      <x v="1"/>
      <x v="39"/>
    </i>
    <i>
      <x v="165"/>
      <x v="193"/>
      <x v="1"/>
      <x v="4"/>
    </i>
    <i>
      <x v="166"/>
      <x v="226"/>
      <x v="1"/>
      <x v="4"/>
    </i>
    <i>
      <x v="167"/>
      <x v="204"/>
      <x/>
      <x v="4"/>
    </i>
    <i>
      <x v="168"/>
      <x v="145"/>
      <x/>
      <x v="18"/>
    </i>
    <i>
      <x v="169"/>
      <x v="219"/>
      <x v="1"/>
      <x v="28"/>
    </i>
    <i>
      <x v="170"/>
      <x v="223"/>
      <x v="1"/>
      <x v="30"/>
    </i>
    <i>
      <x v="171"/>
      <x v="48"/>
      <x v="1"/>
      <x v="16"/>
    </i>
    <i>
      <x v="172"/>
      <x v="253"/>
      <x v="1"/>
      <x v="42"/>
    </i>
    <i>
      <x v="173"/>
      <x v="14"/>
      <x/>
      <x v="5"/>
    </i>
    <i>
      <x v="174"/>
      <x v="287"/>
      <x v="1"/>
      <x v="53"/>
    </i>
    <i>
      <x v="175"/>
      <x v="58"/>
      <x v="1"/>
      <x v="43"/>
    </i>
    <i>
      <x v="176"/>
      <x v="125"/>
      <x/>
      <x v="43"/>
    </i>
    <i>
      <x v="177"/>
      <x v="191"/>
      <x v="1"/>
      <x v="26"/>
    </i>
    <i>
      <x v="178"/>
      <x v="188"/>
      <x v="1"/>
      <x v="7"/>
    </i>
    <i>
      <x v="179"/>
      <x v="220"/>
      <x v="1"/>
      <x v="33"/>
    </i>
    <i>
      <x v="180"/>
      <x v="190"/>
      <x v="1"/>
      <x v="7"/>
    </i>
    <i>
      <x v="181"/>
      <x v="207"/>
      <x/>
      <x v="43"/>
    </i>
    <i>
      <x v="182"/>
      <x v="189"/>
      <x/>
      <x v="43"/>
    </i>
    <i>
      <x v="183"/>
      <x v="208"/>
      <x/>
      <x v="4"/>
    </i>
    <i>
      <x v="184"/>
      <x v="197"/>
      <x/>
      <x v="43"/>
    </i>
    <i>
      <x v="185"/>
      <x v="194"/>
      <x v="1"/>
      <x v="7"/>
    </i>
    <i>
      <x v="186"/>
      <x v="246"/>
      <x v="1"/>
      <x v="39"/>
    </i>
    <i>
      <x v="187"/>
      <x v="171"/>
      <x/>
      <x v="14"/>
    </i>
    <i>
      <x v="188"/>
      <x v="174"/>
      <x/>
      <x v="43"/>
    </i>
    <i>
      <x v="189"/>
      <x v="126"/>
      <x/>
      <x v="43"/>
    </i>
    <i>
      <x v="190"/>
      <x v="159"/>
      <x v="1"/>
      <x v="18"/>
    </i>
    <i>
      <x v="191"/>
      <x v="230"/>
      <x v="1"/>
      <x v="35"/>
    </i>
    <i>
      <x v="192"/>
      <x v="199"/>
      <x v="1"/>
      <x v="11"/>
    </i>
    <i>
      <x v="193"/>
      <x v="211"/>
      <x/>
      <x v="43"/>
    </i>
    <i>
      <x v="194"/>
      <x v="221"/>
      <x v="1"/>
      <x v="31"/>
    </i>
    <i>
      <x v="195"/>
      <x v="264"/>
      <x/>
      <x v="43"/>
    </i>
    <i>
      <x v="196"/>
      <x v="282"/>
      <x/>
      <x v="50"/>
    </i>
    <i>
      <x v="197"/>
      <x v="289"/>
      <x v="1"/>
      <x v="53"/>
    </i>
    <i>
      <x v="198"/>
      <x v="256"/>
      <x/>
      <x v="43"/>
    </i>
    <i>
      <x v="199"/>
      <x v="257"/>
      <x/>
      <x v="43"/>
    </i>
    <i>
      <x v="200"/>
      <x v="255"/>
      <x/>
      <x v="43"/>
    </i>
    <i>
      <x v="201"/>
      <x v="21"/>
      <x v="1"/>
      <x v="8"/>
    </i>
    <i>
      <x v="202"/>
      <x v="51"/>
      <x v="1"/>
      <x v="6"/>
    </i>
    <i>
      <x v="203"/>
      <x v="97"/>
      <x v="1"/>
      <x v="22"/>
    </i>
    <i>
      <x v="204"/>
      <x v="77"/>
      <x/>
      <x v="10"/>
    </i>
    <i>
      <x v="205"/>
      <x v="209"/>
      <x/>
      <x v="19"/>
    </i>
    <i>
      <x v="206"/>
      <x v="75"/>
      <x v="1"/>
      <x v="10"/>
    </i>
    <i>
      <x v="207"/>
      <x v="185"/>
      <x/>
      <x v="22"/>
    </i>
    <i>
      <x v="208"/>
      <x v="30"/>
      <x v="1"/>
      <x v="12"/>
    </i>
    <i>
      <x v="209"/>
      <x v="130"/>
      <x v="1"/>
      <x v="9"/>
    </i>
    <i>
      <x v="210"/>
      <x v="31"/>
      <x/>
      <x v="43"/>
    </i>
    <i>
      <x v="211"/>
      <x v="235"/>
      <x v="1"/>
      <x v="35"/>
    </i>
    <i>
      <x v="212"/>
      <x v="238"/>
      <x v="1"/>
      <x v="35"/>
    </i>
    <i>
      <x v="213"/>
      <x v="78"/>
      <x/>
      <x v="15"/>
    </i>
    <i>
      <x v="214"/>
      <x v="79"/>
      <x/>
      <x v="43"/>
    </i>
    <i>
      <x v="215"/>
      <x v="120"/>
      <x v="1"/>
      <x v="11"/>
    </i>
    <i>
      <x v="216"/>
      <x v="56"/>
      <x/>
      <x v="5"/>
    </i>
    <i>
      <x v="217"/>
      <x v="1"/>
      <x v="1"/>
      <x v="1"/>
    </i>
    <i>
      <x v="218"/>
      <x v="69"/>
      <x v="1"/>
      <x v="15"/>
    </i>
    <i>
      <x v="219"/>
      <x v="133"/>
      <x v="1"/>
      <x v="17"/>
    </i>
    <i>
      <x v="220"/>
      <x v="298"/>
      <x v="1"/>
      <x v="55"/>
    </i>
    <i>
      <x v="221"/>
      <x v="117"/>
      <x v="1"/>
      <x v="11"/>
    </i>
    <i>
      <x v="222"/>
      <x v="113"/>
      <x v="1"/>
      <x v="2"/>
    </i>
    <i>
      <x v="223"/>
      <x v="286"/>
      <x v="1"/>
      <x v="38"/>
    </i>
    <i>
      <x v="224"/>
      <x v="242"/>
      <x v="1"/>
      <x v="38"/>
    </i>
    <i>
      <x v="225"/>
      <x v="175"/>
      <x v="1"/>
      <x v="14"/>
    </i>
    <i>
      <x v="226"/>
      <x v="96"/>
      <x/>
      <x v="43"/>
    </i>
    <i>
      <x v="227"/>
      <x v="160"/>
      <x v="1"/>
      <x v="18"/>
    </i>
    <i>
      <x v="228"/>
      <x v="62"/>
      <x/>
      <x v="43"/>
    </i>
    <i>
      <x v="229"/>
      <x v="132"/>
      <x v="1"/>
      <x v="6"/>
    </i>
    <i>
      <x v="230"/>
      <x v="29"/>
      <x v="1"/>
      <x v="2"/>
    </i>
    <i>
      <x v="231"/>
      <x v="22"/>
      <x v="1"/>
      <x v="1"/>
    </i>
    <i>
      <x v="232"/>
      <x v="27"/>
      <x v="1"/>
      <x v="1"/>
    </i>
    <i>
      <x v="233"/>
      <x v="23"/>
      <x/>
      <x v="9"/>
    </i>
    <i>
      <x v="234"/>
      <x v="150"/>
      <x v="1"/>
      <x v="18"/>
    </i>
    <i>
      <x v="235"/>
      <x v="44"/>
      <x v="1"/>
      <x v="2"/>
    </i>
    <i>
      <x v="236"/>
      <x v="102"/>
      <x/>
      <x v="43"/>
    </i>
    <i>
      <x v="237"/>
      <x v="285"/>
      <x v="1"/>
      <x v="52"/>
    </i>
    <i>
      <x v="238"/>
      <x v="151"/>
      <x/>
      <x v="18"/>
    </i>
    <i>
      <x v="239"/>
      <x v="236"/>
      <x v="1"/>
      <x v="35"/>
    </i>
    <i>
      <x v="240"/>
      <x v="98"/>
      <x/>
      <x v="43"/>
    </i>
    <i>
      <x v="241"/>
      <x v="232"/>
      <x/>
      <x v="36"/>
    </i>
    <i>
      <x v="242"/>
      <x v="233"/>
      <x v="1"/>
      <x v="36"/>
    </i>
    <i>
      <x v="243"/>
      <x v="216"/>
      <x v="1"/>
      <x v="14"/>
    </i>
    <i>
      <x v="244"/>
      <x v="70"/>
      <x v="1"/>
      <x v="15"/>
    </i>
    <i>
      <x v="245"/>
      <x v="275"/>
      <x v="1"/>
      <x v="45"/>
    </i>
    <i>
      <x v="246"/>
      <x v="250"/>
      <x v="1"/>
      <x v="42"/>
    </i>
    <i>
      <x v="247"/>
      <x v="252"/>
      <x v="1"/>
      <x v="42"/>
    </i>
    <i>
      <x v="248"/>
      <x v="5"/>
      <x v="1"/>
      <x v="3"/>
    </i>
    <i>
      <x v="249"/>
      <x v="6"/>
      <x v="1"/>
      <x v="8"/>
    </i>
    <i>
      <x v="250"/>
      <x v="38"/>
      <x v="1"/>
      <x v="6"/>
    </i>
    <i>
      <x v="251"/>
      <x v="64"/>
      <x v="1"/>
      <x v="2"/>
    </i>
    <i>
      <x v="252"/>
      <x v="65"/>
      <x v="1"/>
      <x v="2"/>
    </i>
    <i>
      <x v="253"/>
      <x v="254"/>
      <x/>
      <x v="43"/>
    </i>
    <i>
      <x v="254"/>
      <x v="8"/>
      <x v="1"/>
      <x v="2"/>
    </i>
    <i>
      <x v="255"/>
      <x v="184"/>
      <x/>
      <x v="43"/>
    </i>
    <i>
      <x v="256"/>
      <x v="278"/>
      <x v="1"/>
      <x v="48"/>
    </i>
    <i>
      <x v="257"/>
      <x v="76"/>
      <x v="1"/>
      <x v="13"/>
    </i>
    <i>
      <x v="258"/>
      <x v="187"/>
      <x/>
      <x v="43"/>
    </i>
    <i>
      <x v="259"/>
      <x v="265"/>
      <x/>
      <x v="43"/>
    </i>
    <i>
      <x v="260"/>
      <x v="172"/>
      <x v="1"/>
      <x v="43"/>
    </i>
    <i>
      <x v="261"/>
      <x v="52"/>
      <x/>
      <x v="12"/>
    </i>
    <i>
      <x v="262"/>
      <x v="279"/>
      <x/>
      <x v="48"/>
    </i>
    <i>
      <x v="263"/>
      <x v="281"/>
      <x v="1"/>
      <x v="48"/>
    </i>
    <i>
      <x v="264"/>
      <x v="280"/>
      <x v="1"/>
      <x v="48"/>
    </i>
    <i>
      <x v="265"/>
      <x v="292"/>
      <x v="1"/>
      <x v="53"/>
    </i>
    <i>
      <x v="266"/>
      <x v="104"/>
      <x/>
      <x v="43"/>
    </i>
    <i>
      <x v="267"/>
      <x v="57"/>
      <x/>
      <x v="43"/>
    </i>
    <i>
      <x v="268"/>
      <x/>
      <x v="1"/>
      <x v="1"/>
    </i>
    <i>
      <x v="269"/>
      <x v="20"/>
      <x v="1"/>
      <x v="11"/>
    </i>
    <i>
      <x v="270"/>
      <x v="3"/>
      <x v="1"/>
      <x v="3"/>
    </i>
    <i>
      <x v="271"/>
      <x v="2"/>
      <x v="1"/>
      <x v="2"/>
    </i>
    <i>
      <x v="272"/>
      <x v="4"/>
      <x v="1"/>
      <x v="5"/>
    </i>
    <i>
      <x v="273"/>
      <x v="251"/>
      <x/>
      <x v="42"/>
    </i>
    <i>
      <x v="274"/>
      <x v="34"/>
      <x v="1"/>
      <x v="6"/>
    </i>
    <i>
      <x v="275"/>
      <x v="215"/>
      <x/>
      <x v="43"/>
    </i>
    <i>
      <x v="276"/>
      <x v="95"/>
      <x/>
      <x v="43"/>
    </i>
    <i>
      <x v="277"/>
      <x v="176"/>
      <x/>
      <x v="43"/>
    </i>
    <i>
      <x v="278"/>
      <x v="294"/>
      <x v="1"/>
      <x v="54"/>
    </i>
    <i>
      <x v="279"/>
      <x v="72"/>
      <x v="1"/>
      <x v="43"/>
    </i>
    <i>
      <x v="280"/>
      <x v="291"/>
      <x v="1"/>
      <x v="53"/>
    </i>
    <i>
      <x v="281"/>
      <x v="247"/>
      <x/>
      <x v="40"/>
    </i>
    <i>
      <x v="282"/>
      <x v="296"/>
      <x v="1"/>
      <x v="54"/>
    </i>
    <i>
      <x v="283"/>
      <x v="35"/>
      <x v="1"/>
      <x v="6"/>
    </i>
    <i>
      <x v="284"/>
      <x v="33"/>
      <x/>
      <x v="6"/>
    </i>
    <i>
      <x v="285"/>
      <x v="239"/>
      <x/>
      <x v="38"/>
    </i>
    <i>
      <x v="286"/>
      <x v="153"/>
      <x/>
      <x v="18"/>
    </i>
    <i>
      <x v="287"/>
      <x v="152"/>
      <x v="1"/>
      <x v="18"/>
    </i>
    <i>
      <x v="288"/>
      <x v="269"/>
      <x/>
      <x v="43"/>
    </i>
    <i>
      <x v="289"/>
      <x v="109"/>
      <x v="1"/>
      <x v="1"/>
    </i>
    <i>
      <x v="290"/>
      <x v="41"/>
      <x/>
      <x v="43"/>
    </i>
    <i>
      <x v="291"/>
      <x v="143"/>
      <x/>
      <x v="43"/>
    </i>
    <i>
      <x v="292"/>
      <x v="19"/>
      <x/>
      <x v="11"/>
    </i>
    <i>
      <x v="293"/>
      <x v="300"/>
      <x v="2"/>
      <x v="43"/>
    </i>
    <i>
      <x v="294"/>
      <x v="50"/>
      <x v="1"/>
      <x v="15"/>
    </i>
    <i>
      <x v="295"/>
      <x v="99"/>
      <x v="1"/>
      <x v="15"/>
    </i>
    <i>
      <x v="296"/>
      <x v="105"/>
      <x/>
      <x v="6"/>
    </i>
    <i>
      <x v="297"/>
      <x v="168"/>
      <x/>
      <x v="43"/>
    </i>
    <i>
      <x v="298"/>
      <x v="205"/>
      <x v="1"/>
      <x v="17"/>
    </i>
    <i>
      <x v="299"/>
      <x v="300"/>
      <x v="3"/>
      <x v="43"/>
    </i>
  </rowItems>
  <colItems count="1">
    <i/>
  </colItems>
  <dataFields count="1">
    <dataField name="Sum of HH" fld="16" baseField="23" baseItem="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7.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I154" firstHeaderRow="1" firstDataRow="1" firstDataCol="1" rowPageCount="1" colPageCount="1"/>
  <pivotFields count="31">
    <pivotField axis="axisPage" multipleItemSelectionAllowed="1" showAll="0">
      <items count="5">
        <item x="1"/>
        <item h="1" x="0"/>
        <item h="1" x="3"/>
        <item h="1" x="2"/>
        <item t="default"/>
      </items>
    </pivotField>
    <pivotField showAll="0"/>
    <pivotField showAll="0"/>
    <pivotField showAll="0"/>
    <pivotField showAll="0"/>
    <pivotField axis="axisRow" showAll="0" sortType="descending">
      <items count="25">
        <item x="3"/>
        <item x="2"/>
        <item x="10"/>
        <item x="21"/>
        <item x="12"/>
        <item x="11"/>
        <item x="17"/>
        <item x="14"/>
        <item x="5"/>
        <item x="18"/>
        <item x="8"/>
        <item x="9"/>
        <item x="4"/>
        <item x="20"/>
        <item x="0"/>
        <item x="16"/>
        <item x="19"/>
        <item x="7"/>
        <item x="6"/>
        <item x="13"/>
        <item x="1"/>
        <item x="22"/>
        <item x="15"/>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items count="301">
        <item x="139"/>
        <item x="147"/>
        <item x="123"/>
        <item x="37"/>
        <item x="130"/>
        <item x="135"/>
        <item x="141"/>
        <item x="144"/>
        <item x="138"/>
        <item x="86"/>
        <item x="177"/>
        <item x="178"/>
        <item x="176"/>
        <item x="128"/>
        <item x="153"/>
        <item x="140"/>
        <item x="107"/>
        <item x="75"/>
        <item x="112"/>
        <item x="188"/>
        <item x="74"/>
        <item x="82"/>
        <item x="35"/>
        <item x="131"/>
        <item x="129"/>
        <item x="106"/>
        <item x="148"/>
        <item x="152"/>
        <item x="257"/>
        <item x="43"/>
        <item x="24"/>
        <item x="76"/>
        <item x="118"/>
        <item x="136"/>
        <item x="154"/>
        <item x="121"/>
        <item x="241"/>
        <item x="251"/>
        <item x="164"/>
        <item x="266"/>
        <item x="103"/>
        <item x="39"/>
        <item x="157"/>
        <item x="179"/>
        <item x="161"/>
        <item x="13"/>
        <item x="15"/>
        <item x="99"/>
        <item x="45"/>
        <item x="155"/>
        <item x="245"/>
        <item x="193"/>
        <item x="225"/>
        <item x="226"/>
        <item x="10"/>
        <item x="67"/>
        <item x="71"/>
        <item x="166"/>
        <item x="42"/>
        <item x="109"/>
        <item x="117"/>
        <item x="127"/>
        <item x="262"/>
        <item x="11"/>
        <item x="149"/>
        <item x="132"/>
        <item x="122"/>
        <item x="36"/>
        <item x="59"/>
        <item x="53"/>
        <item x="58"/>
        <item x="124"/>
        <item x="101"/>
        <item x="183"/>
        <item x="22"/>
        <item x="85"/>
        <item x="61"/>
        <item x="27"/>
        <item x="25"/>
        <item x="264"/>
        <item x="263"/>
        <item x="278"/>
        <item x="159"/>
        <item x="12"/>
        <item x="48"/>
        <item x="7"/>
        <item x="174"/>
        <item x="175"/>
        <item x="60"/>
        <item x="163"/>
        <item x="115"/>
        <item x="169"/>
        <item x="114"/>
        <item x="162"/>
        <item x="116"/>
        <item x="111"/>
        <item x="55"/>
        <item x="223"/>
        <item x="229"/>
        <item x="49"/>
        <item x="88"/>
        <item x="87"/>
        <item x="90"/>
        <item x="92"/>
        <item x="93"/>
        <item x="89"/>
        <item x="94"/>
        <item x="91"/>
        <item x="16"/>
        <item x="17"/>
        <item x="100"/>
        <item x="84"/>
        <item x="81"/>
        <item x="80"/>
        <item x="70"/>
        <item x="83"/>
        <item x="146"/>
        <item x="46"/>
        <item x="54"/>
        <item x="243"/>
        <item x="237"/>
        <item x="203"/>
        <item x="167"/>
        <item x="221"/>
        <item x="235"/>
        <item x="249"/>
        <item x="145"/>
        <item x="230"/>
        <item x="233"/>
        <item x="38"/>
        <item x="14"/>
        <item x="47"/>
        <item x="125"/>
        <item x="220"/>
        <item x="216"/>
        <item x="231"/>
        <item x="218"/>
        <item x="252"/>
        <item x="234"/>
        <item x="253"/>
        <item x="242"/>
        <item x="222"/>
        <item x="168"/>
        <item x="171"/>
        <item x="126"/>
        <item x="137"/>
        <item x="224"/>
        <item x="256"/>
        <item x="232"/>
        <item x="20"/>
        <item x="44"/>
        <item x="72"/>
        <item x="77"/>
        <item x="254"/>
        <item x="68"/>
        <item x="182"/>
        <item x="29"/>
        <item x="273"/>
        <item x="78"/>
        <item x="79"/>
        <item x="113"/>
        <item x="56"/>
        <item x="1"/>
        <item x="63"/>
        <item x="120"/>
        <item x="108"/>
        <item x="158"/>
        <item x="96"/>
        <item x="142"/>
        <item x="62"/>
        <item x="119"/>
        <item x="28"/>
        <item x="21"/>
        <item x="26"/>
        <item x="23"/>
        <item x="133"/>
        <item x="270"/>
        <item x="102"/>
        <item x="150"/>
        <item x="98"/>
        <item x="160"/>
        <item x="64"/>
        <item x="5"/>
        <item x="6"/>
        <item x="265"/>
        <item x="50"/>
        <item x="51"/>
        <item x="8"/>
        <item x="181"/>
        <item x="69"/>
        <item x="184"/>
        <item x="156"/>
        <item x="52"/>
        <item x="104"/>
        <item x="57"/>
        <item x="0"/>
        <item x="3"/>
        <item x="2"/>
        <item x="4"/>
        <item x="30"/>
        <item x="186"/>
        <item x="95"/>
        <item x="173"/>
        <item x="65"/>
        <item x="34"/>
        <item x="33"/>
        <item x="151"/>
        <item x="134"/>
        <item x="271"/>
        <item x="41"/>
        <item x="143"/>
        <item x="19"/>
        <item x="40"/>
        <item x="73"/>
        <item x="165"/>
        <item x="228"/>
        <item x="170"/>
        <item x="172"/>
        <item x="32"/>
        <item x="31"/>
        <item x="110"/>
        <item x="97"/>
        <item x="18"/>
        <item x="105"/>
        <item x="180"/>
        <item x="236"/>
        <item x="197"/>
        <item x="185"/>
        <item x="199"/>
        <item x="187"/>
        <item x="189"/>
        <item x="202"/>
        <item x="267"/>
        <item x="204"/>
        <item x="269"/>
        <item x="239"/>
        <item x="238"/>
        <item x="268"/>
        <item x="272"/>
        <item x="244"/>
        <item x="205"/>
        <item x="190"/>
        <item x="207"/>
        <item x="191"/>
        <item x="192"/>
        <item x="274"/>
        <item x="275"/>
        <item x="276"/>
        <item x="277"/>
        <item x="246"/>
        <item x="279"/>
        <item x="280"/>
        <item x="281"/>
        <item x="282"/>
        <item x="283"/>
        <item x="284"/>
        <item x="285"/>
        <item x="286"/>
        <item x="287"/>
        <item x="288"/>
        <item x="289"/>
        <item x="247"/>
        <item x="248"/>
        <item x="250"/>
        <item x="255"/>
        <item x="194"/>
        <item x="290"/>
        <item x="195"/>
        <item x="259"/>
        <item x="214"/>
        <item x="200"/>
        <item x="9"/>
        <item x="201"/>
        <item x="66"/>
        <item x="217"/>
        <item x="219"/>
        <item x="260"/>
        <item x="206"/>
        <item x="240"/>
        <item x="227"/>
        <item x="297"/>
        <item x="208"/>
        <item x="291"/>
        <item x="292"/>
        <item x="210"/>
        <item x="212"/>
        <item x="294"/>
        <item x="213"/>
        <item x="215"/>
        <item x="198"/>
        <item x="209"/>
        <item x="293"/>
        <item x="296"/>
        <item x="295"/>
        <item x="211"/>
        <item x="196"/>
        <item x="261"/>
        <item x="298"/>
        <item x="258"/>
        <item x="299"/>
        <item t="default"/>
      </items>
    </pivotField>
    <pivotField showAll="0"/>
    <pivotField showAll="0"/>
    <pivotField showAll="0" defaultSubtotal="0"/>
    <pivotField showAll="0"/>
    <pivotField dataField="1"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s>
  <rowFields count="2">
    <field x="5"/>
    <field x="11"/>
  </rowFields>
  <rowItems count="150">
    <i>
      <x v="10"/>
    </i>
    <i r="1">
      <x v="226"/>
    </i>
    <i r="1">
      <x v="228"/>
    </i>
    <i r="1">
      <x v="274"/>
    </i>
    <i>
      <x v="16"/>
    </i>
    <i r="1">
      <x v="147"/>
    </i>
    <i r="1">
      <x v="245"/>
    </i>
    <i r="1">
      <x v="246"/>
    </i>
    <i r="1">
      <x v="247"/>
    </i>
    <i r="1">
      <x v="248"/>
    </i>
    <i>
      <x v="20"/>
    </i>
    <i r="1">
      <x v="16"/>
    </i>
    <i r="1">
      <x v="95"/>
    </i>
    <i r="1">
      <x v="174"/>
    </i>
    <i r="1">
      <x v="205"/>
    </i>
    <i r="1">
      <x v="218"/>
    </i>
    <i r="1">
      <x v="219"/>
    </i>
    <i r="1">
      <x v="220"/>
    </i>
    <i r="1">
      <x v="223"/>
    </i>
    <i>
      <x v="3"/>
    </i>
    <i r="1">
      <x v="153"/>
    </i>
    <i r="1">
      <x v="238"/>
    </i>
    <i>
      <x v="22"/>
    </i>
    <i r="1">
      <x v="269"/>
    </i>
    <i>
      <x v="13"/>
    </i>
    <i r="1">
      <x v="36"/>
    </i>
    <i r="1">
      <x v="37"/>
    </i>
    <i r="1">
      <x v="119"/>
    </i>
    <i r="1">
      <x v="120"/>
    </i>
    <i r="1">
      <x v="139"/>
    </i>
    <i r="1">
      <x v="140"/>
    </i>
    <i r="1">
      <x v="250"/>
    </i>
    <i r="1">
      <x v="251"/>
    </i>
    <i r="1">
      <x v="252"/>
    </i>
    <i r="1">
      <x v="253"/>
    </i>
    <i r="1">
      <x v="254"/>
    </i>
    <i r="1">
      <x v="255"/>
    </i>
    <i r="1">
      <x v="256"/>
    </i>
    <i r="1">
      <x v="257"/>
    </i>
    <i r="1">
      <x v="258"/>
    </i>
    <i r="1">
      <x v="259"/>
    </i>
    <i r="1">
      <x v="260"/>
    </i>
    <i>
      <x v="9"/>
    </i>
    <i r="1">
      <x v="237"/>
    </i>
    <i>
      <x v="14"/>
    </i>
    <i r="1">
      <x v="130"/>
    </i>
    <i r="1">
      <x v="211"/>
    </i>
    <i r="1">
      <x v="275"/>
    </i>
    <i>
      <x/>
    </i>
    <i r="1">
      <x v="23"/>
    </i>
    <i r="1">
      <x v="48"/>
    </i>
    <i r="1">
      <x v="190"/>
    </i>
    <i r="1">
      <x v="192"/>
    </i>
    <i r="1">
      <x v="200"/>
    </i>
    <i r="1">
      <x v="202"/>
    </i>
    <i>
      <x v="2"/>
    </i>
    <i r="1">
      <x/>
    </i>
    <i r="1">
      <x v="1"/>
    </i>
    <i r="1">
      <x v="6"/>
    </i>
    <i r="1">
      <x v="8"/>
    </i>
    <i r="1">
      <x v="9"/>
    </i>
    <i r="1">
      <x v="14"/>
    </i>
    <i r="1">
      <x v="15"/>
    </i>
    <i r="1">
      <x v="21"/>
    </i>
    <i r="1">
      <x v="26"/>
    </i>
    <i r="1">
      <x v="27"/>
    </i>
    <i r="1">
      <x v="34"/>
    </i>
    <i r="1">
      <x v="51"/>
    </i>
    <i r="1">
      <x v="72"/>
    </i>
    <i r="1">
      <x v="100"/>
    </i>
    <i r="1">
      <x v="101"/>
    </i>
    <i r="1">
      <x v="102"/>
    </i>
    <i r="1">
      <x v="103"/>
    </i>
    <i r="1">
      <x v="104"/>
    </i>
    <i r="1">
      <x v="105"/>
    </i>
    <i r="1">
      <x v="106"/>
    </i>
    <i r="1">
      <x v="107"/>
    </i>
    <i r="1">
      <x v="110"/>
    </i>
    <i r="1">
      <x v="111"/>
    </i>
    <i r="1">
      <x v="112"/>
    </i>
    <i r="1">
      <x v="113"/>
    </i>
    <i r="1">
      <x v="115"/>
    </i>
    <i r="1">
      <x v="116"/>
    </i>
    <i r="1">
      <x v="126"/>
    </i>
    <i r="1">
      <x v="158"/>
    </i>
    <i r="1">
      <x v="159"/>
    </i>
    <i r="1">
      <x v="167"/>
    </i>
    <i r="1">
      <x v="177"/>
    </i>
    <i r="1">
      <x v="178"/>
    </i>
    <i r="1">
      <x v="179"/>
    </i>
    <i r="1">
      <x v="193"/>
    </i>
    <i r="1">
      <x v="201"/>
    </i>
    <i r="1">
      <x v="206"/>
    </i>
    <i r="1">
      <x v="210"/>
    </i>
    <i r="1">
      <x v="214"/>
    </i>
    <i r="1">
      <x v="233"/>
    </i>
    <i r="1">
      <x v="240"/>
    </i>
    <i r="1">
      <x v="242"/>
    </i>
    <i>
      <x v="17"/>
    </i>
    <i r="1">
      <x v="155"/>
    </i>
    <i>
      <x v="15"/>
    </i>
    <i r="1">
      <x v="137"/>
    </i>
    <i r="1">
      <x v="138"/>
    </i>
    <i r="1">
      <x v="234"/>
    </i>
    <i>
      <x v="7"/>
    </i>
    <i r="1">
      <x v="73"/>
    </i>
    <i>
      <x v="11"/>
    </i>
    <i r="1">
      <x v="152"/>
    </i>
    <i>
      <x v="6"/>
    </i>
    <i r="1">
      <x v="28"/>
    </i>
    <i r="1">
      <x v="50"/>
    </i>
    <i r="1">
      <x v="125"/>
    </i>
    <i>
      <x v="12"/>
    </i>
    <i r="1">
      <x v="76"/>
    </i>
    <i r="1">
      <x v="88"/>
    </i>
    <i r="1">
      <x v="89"/>
    </i>
    <i r="1">
      <x v="96"/>
    </i>
    <i r="1">
      <x v="118"/>
    </i>
    <i r="1">
      <x v="161"/>
    </i>
    <i r="1">
      <x v="169"/>
    </i>
    <i r="1">
      <x v="194"/>
    </i>
    <i r="1">
      <x v="231"/>
    </i>
    <i>
      <x v="18"/>
    </i>
    <i r="1">
      <x v="35"/>
    </i>
    <i>
      <x v="4"/>
    </i>
    <i r="1">
      <x v="61"/>
    </i>
    <i>
      <x v="1"/>
    </i>
    <i r="1">
      <x v="29"/>
    </i>
    <i r="1">
      <x v="58"/>
    </i>
    <i r="1">
      <x v="209"/>
    </i>
    <i>
      <x v="8"/>
    </i>
    <i r="1">
      <x v="10"/>
    </i>
    <i r="1">
      <x v="11"/>
    </i>
    <i r="1">
      <x v="12"/>
    </i>
    <i r="1">
      <x v="19"/>
    </i>
    <i r="1">
      <x v="43"/>
    </i>
    <i r="1">
      <x v="57"/>
    </i>
    <i r="1">
      <x v="71"/>
    </i>
    <i r="1">
      <x v="86"/>
    </i>
    <i r="1">
      <x v="87"/>
    </i>
    <i r="1">
      <x v="121"/>
    </i>
    <i r="1">
      <x v="122"/>
    </i>
    <i r="1">
      <x v="132"/>
    </i>
    <i r="1">
      <x v="142"/>
    </i>
    <i r="1">
      <x v="143"/>
    </i>
    <i r="1">
      <x v="144"/>
    </i>
    <i r="1">
      <x v="188"/>
    </i>
    <i>
      <x v="5"/>
    </i>
    <i r="1">
      <x v="56"/>
    </i>
    <i t="grand">
      <x/>
    </i>
  </rowItems>
  <colItems count="1">
    <i/>
  </colItems>
  <pageFields count="1">
    <pageField fld="0" hier="-1"/>
  </pageFields>
  <dataFields count="1">
    <dataField name="Sum of HH" fld="16" baseField="5" baseItem="20" numFmtId="165"/>
  </dataFields>
  <formats count="10">
    <format dxfId="574">
      <pivotArea outline="0" collapsedLevelsAreSubtotals="1" fieldPosition="0">
        <references count="1">
          <reference field="4294967294" count="1" selected="0">
            <x v="0"/>
          </reference>
        </references>
      </pivotArea>
    </format>
    <format dxfId="573">
      <pivotArea dataOnly="0" labelOnly="1" fieldPosition="0">
        <references count="1">
          <reference field="11" count="16">
            <x v="3"/>
            <x v="29"/>
            <x v="39"/>
            <x v="47"/>
            <x v="59"/>
            <x v="84"/>
            <x v="91"/>
            <x v="92"/>
            <x v="93"/>
            <x v="117"/>
            <x v="148"/>
            <x v="165"/>
            <x v="170"/>
            <x v="176"/>
            <x v="207"/>
            <x v="208"/>
          </reference>
        </references>
      </pivotArea>
    </format>
    <format dxfId="572">
      <pivotArea type="all" dataOnly="0" outline="0" fieldPosition="0"/>
    </format>
    <format dxfId="571">
      <pivotArea outline="0" collapsedLevelsAreSubtotals="1" fieldPosition="0">
        <references count="1">
          <reference field="4294967294" count="1" selected="0">
            <x v="0"/>
          </reference>
        </references>
      </pivotArea>
    </format>
    <format dxfId="570">
      <pivotArea dataOnly="0" labelOnly="1" outline="0" fieldPosition="0">
        <references count="1">
          <reference field="4294967294" count="1">
            <x v="0"/>
          </reference>
        </references>
      </pivotArea>
    </format>
    <format dxfId="569">
      <pivotArea outline="0" collapsedLevelsAreSubtotals="1" fieldPosition="0">
        <references count="1">
          <reference field="4294967294" count="1" selected="0">
            <x v="0"/>
          </reference>
        </references>
      </pivotArea>
    </format>
    <format dxfId="568">
      <pivotArea field="0" type="button" dataOnly="0" labelOnly="1" outline="0" axis="axisPage" fieldPosition="0"/>
    </format>
    <format dxfId="567">
      <pivotArea dataOnly="0" labelOnly="1" outline="0" fieldPosition="0">
        <references count="1">
          <reference field="0" count="0"/>
        </references>
      </pivotArea>
    </format>
    <format dxfId="566">
      <pivotArea dataOnly="0" labelOnly="1" grandRow="1" outline="0" fieldPosition="0"/>
    </format>
    <format dxfId="56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2" firstHeaderRow="1" firstDataRow="1" firstDataCol="3" rowPageCount="1" colPageCount="1"/>
  <pivotFields count="24">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84"/>
        <item x="20"/>
        <item x="23"/>
        <item x="27"/>
        <item x="24"/>
        <item x="6"/>
        <item x="112"/>
        <item x="42"/>
        <item x="75"/>
        <item x="37"/>
        <item x="85"/>
        <item x="100"/>
        <item x="56"/>
        <item x="113"/>
        <item x="43"/>
        <item x="115"/>
        <item x="53"/>
        <item x="118"/>
        <item x="119"/>
        <item x="101"/>
        <item x="102"/>
        <item x="86"/>
        <item x="32"/>
        <item x="103"/>
        <item x="55"/>
        <item x="26"/>
        <item x="28"/>
        <item x="29"/>
        <item x="104"/>
        <item x="74"/>
        <item x="34"/>
        <item x="124"/>
        <item x="1"/>
        <item x="125"/>
        <item x="87"/>
        <item x="0"/>
        <item x="3"/>
        <item x="45"/>
        <item x="105"/>
        <item x="76"/>
        <item x="106"/>
        <item x="107"/>
        <item x="30"/>
        <item x="128"/>
        <item x="5"/>
        <item x="108"/>
        <item x="77"/>
        <item x="129"/>
        <item x="31"/>
        <item x="21"/>
        <item x="89"/>
        <item x="80"/>
        <item x="131"/>
        <item x="109"/>
        <item x="132"/>
        <item x="110"/>
        <item x="114"/>
        <item x="117"/>
        <item x="134"/>
        <item x="71"/>
        <item x="120"/>
        <item x="18"/>
        <item x="135"/>
        <item x="121"/>
        <item x="122"/>
        <item x="123"/>
        <item x="90"/>
        <item x="51"/>
        <item x="91"/>
        <item x="7"/>
        <item x="33"/>
        <item x="2"/>
        <item x="16"/>
        <item x="81"/>
        <item x="52"/>
        <item x="25"/>
        <item x="46"/>
        <item x="79"/>
        <item x="12"/>
        <item x="92"/>
        <item x="9"/>
        <item x="136"/>
        <item x="98"/>
        <item x="35"/>
        <item x="58"/>
        <item x="40"/>
        <item x="137"/>
        <item x="138"/>
        <item x="59"/>
        <item x="139"/>
        <item x="93"/>
        <item x="47"/>
        <item x="141"/>
        <item x="48"/>
        <item x="49"/>
        <item x="73"/>
        <item x="94"/>
        <item x="140"/>
        <item x="99"/>
        <item x="144"/>
        <item x="95"/>
        <item x="145"/>
        <item x="96"/>
        <item x="146"/>
        <item x="50"/>
        <item x="142"/>
        <item x="66"/>
        <item x="72"/>
        <item x="78"/>
        <item x="126"/>
        <item x="68"/>
        <item x="111"/>
        <item x="143"/>
        <item x="147"/>
        <item x="17"/>
        <item x="127"/>
        <item x="116"/>
        <item x="67"/>
        <item x="10"/>
        <item x="69"/>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140"/>
        <item x="73"/>
        <item x="94"/>
        <item x="45"/>
        <item x="3"/>
        <item x="40"/>
        <item x="27"/>
        <item x="9"/>
        <item x="29"/>
        <item x="15"/>
        <item x="113"/>
        <item x="96"/>
        <item x="135"/>
        <item x="93"/>
        <item x="80"/>
        <item x="131"/>
        <item x="128"/>
        <item x="91"/>
        <item x="76"/>
        <item x="77"/>
        <item x="137"/>
        <item x="138"/>
        <item x="74"/>
        <item x="34"/>
        <item x="104"/>
        <item x="33"/>
        <item x="35"/>
        <item x="108"/>
        <item x="102"/>
        <item x="122"/>
        <item x="139"/>
        <item x="90"/>
        <item x="89"/>
        <item x="129"/>
        <item x="121"/>
        <item x="145"/>
        <item x="23"/>
        <item x="20"/>
        <item x="37"/>
        <item x="95"/>
        <item x="125"/>
        <item x="53"/>
        <item x="56"/>
        <item x="42"/>
        <item x="16"/>
        <item x="32"/>
        <item x="51"/>
        <item x="30"/>
        <item x="107"/>
        <item x="124"/>
        <item x="123"/>
        <item x="52"/>
        <item x="2"/>
        <item x="84"/>
        <item x="24"/>
        <item x="22"/>
        <item x="83"/>
        <item x="28"/>
        <item x="92"/>
        <item x="98"/>
        <item x="99"/>
        <item x="85"/>
        <item x="71"/>
        <item x="81"/>
        <item x="26"/>
        <item x="86"/>
        <item x="132"/>
        <item x="134"/>
        <item x="114"/>
        <item x="110"/>
        <item x="109"/>
        <item x="117"/>
        <item x="5"/>
        <item x="100"/>
        <item x="120"/>
        <item x="118"/>
        <item x="119"/>
        <item x="50"/>
        <item x="142"/>
        <item x="66"/>
        <item x="72"/>
        <item x="78"/>
        <item x="126"/>
        <item x="68"/>
        <item x="111"/>
        <item x="143"/>
        <item x="17"/>
        <item x="127"/>
        <item x="116"/>
        <item x="67"/>
        <item x="10"/>
        <item x="6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9"/>
    <field x="5"/>
  </rowFields>
  <rowItems count="129">
    <i>
      <x/>
      <x v="36"/>
      <x v="83"/>
    </i>
    <i r="1">
      <x v="37"/>
      <x v="30"/>
    </i>
    <i r="1">
      <x v="38"/>
      <x v="1"/>
    </i>
    <i r="1">
      <x v="39"/>
      <x v="16"/>
    </i>
    <i r="1">
      <x v="40"/>
      <x v="105"/>
    </i>
    <i r="1">
      <x v="41"/>
      <x v="65"/>
    </i>
    <i r="1">
      <x v="42"/>
      <x v="93"/>
    </i>
    <i r="1">
      <x v="92"/>
      <x v="76"/>
    </i>
    <i r="1">
      <x v="110"/>
      <x v="111"/>
    </i>
    <i r="1">
      <x v="113"/>
      <x v="114"/>
    </i>
    <i>
      <x v="1"/>
      <x v="35"/>
      <x v="6"/>
    </i>
    <i r="1">
      <x v="93"/>
      <x v="28"/>
    </i>
    <i r="1">
      <x v="115"/>
      <x v="117"/>
    </i>
    <i r="1">
      <x v="139"/>
      <x v="141"/>
    </i>
    <i r="1">
      <x v="142"/>
      <x v="144"/>
    </i>
    <i>
      <x v="2"/>
      <x/>
      <x v="102"/>
    </i>
    <i r="2">
      <x v="116"/>
    </i>
    <i r="1">
      <x v="61"/>
      <x v="53"/>
    </i>
    <i r="1">
      <x v="63"/>
      <x v="66"/>
    </i>
    <i r="1">
      <x v="64"/>
      <x v="106"/>
    </i>
    <i r="1">
      <x v="65"/>
      <x v="5"/>
    </i>
    <i r="1">
      <x v="82"/>
      <x v="3"/>
    </i>
    <i r="1">
      <x v="83"/>
      <x v="7"/>
    </i>
    <i r="1">
      <x v="84"/>
      <x v="2"/>
    </i>
    <i r="1">
      <x v="86"/>
      <x v="29"/>
    </i>
    <i r="1">
      <x v="87"/>
      <x v="82"/>
    </i>
    <i r="1">
      <x v="88"/>
      <x v="85"/>
    </i>
    <i r="1">
      <x v="89"/>
      <x v="101"/>
    </i>
    <i r="1">
      <x v="90"/>
      <x v="13"/>
    </i>
    <i r="1">
      <x v="91"/>
      <x v="62"/>
    </i>
    <i r="1">
      <x v="119"/>
      <x v="121"/>
    </i>
    <i r="1">
      <x v="120"/>
      <x v="122"/>
    </i>
    <i r="1">
      <x v="135"/>
      <x v="137"/>
    </i>
    <i r="1">
      <x v="143"/>
      <x v="145"/>
    </i>
    <i r="1">
      <x v="145"/>
      <x v="147"/>
    </i>
    <i>
      <x v="3"/>
      <x v="100"/>
      <x v="60"/>
    </i>
    <i r="1">
      <x v="104"/>
      <x v="20"/>
    </i>
    <i r="1">
      <x v="105"/>
      <x v="21"/>
    </i>
    <i r="1">
      <x v="122"/>
      <x v="124"/>
    </i>
    <i r="1">
      <x v="127"/>
      <x v="129"/>
    </i>
    <i r="1">
      <x v="128"/>
      <x v="133"/>
    </i>
    <i r="1">
      <x v="140"/>
      <x v="142"/>
    </i>
    <i>
      <x v="4"/>
      <x v="48"/>
      <x v="49"/>
    </i>
    <i r="1">
      <x v="74"/>
      <x v="25"/>
    </i>
    <i r="1">
      <x v="76"/>
      <x v="45"/>
    </i>
    <i r="1">
      <x v="77"/>
      <x v="44"/>
    </i>
    <i r="1">
      <x v="106"/>
      <x v="107"/>
    </i>
    <i r="1">
      <x v="108"/>
      <x v="109"/>
    </i>
    <i r="1">
      <x v="116"/>
      <x v="118"/>
    </i>
    <i r="1">
      <x v="144"/>
      <x v="146"/>
    </i>
    <i>
      <x v="5"/>
      <x v="101"/>
      <x v="47"/>
    </i>
    <i r="1">
      <x v="132"/>
      <x v="134"/>
    </i>
    <i>
      <x v="6"/>
      <x v="56"/>
      <x v="48"/>
    </i>
    <i r="1">
      <x v="57"/>
      <x v="23"/>
    </i>
    <i r="1">
      <x v="58"/>
      <x v="67"/>
    </i>
    <i r="1">
      <x v="138"/>
      <x v="140"/>
    </i>
    <i>
      <x v="7"/>
      <x v="59"/>
      <x v="92"/>
    </i>
    <i r="1">
      <x v="79"/>
      <x v="68"/>
    </i>
    <i>
      <x v="8"/>
      <x v="43"/>
      <x v="54"/>
    </i>
    <i r="1">
      <x v="47"/>
      <x v="42"/>
    </i>
    <i r="1">
      <x v="51"/>
      <x v="32"/>
    </i>
    <i r="1">
      <x v="52"/>
      <x v="33"/>
    </i>
    <i r="1">
      <x v="53"/>
      <x v="31"/>
    </i>
    <i r="1">
      <x v="54"/>
      <x v="73"/>
    </i>
    <i r="1">
      <x v="55"/>
      <x v="86"/>
    </i>
    <i r="1">
      <x v="70"/>
      <x v="19"/>
    </i>
    <i r="1">
      <x v="71"/>
      <x v="15"/>
    </i>
    <i r="1">
      <x v="72"/>
      <x v="10"/>
    </i>
    <i r="1">
      <x v="73"/>
      <x v="75"/>
    </i>
    <i r="1">
      <x v="75"/>
      <x v="70"/>
    </i>
    <i>
      <x v="9"/>
      <x v="123"/>
      <x v="125"/>
    </i>
    <i r="1">
      <x v="124"/>
      <x v="126"/>
    </i>
    <i r="1">
      <x v="137"/>
      <x v="139"/>
    </i>
    <i>
      <x v="10"/>
      <x/>
      <x v="84"/>
    </i>
    <i r="2">
      <x v="116"/>
    </i>
    <i r="1">
      <x v="1"/>
      <x v="94"/>
    </i>
    <i r="1">
      <x v="2"/>
      <x v="72"/>
    </i>
    <i r="1">
      <x v="3"/>
      <x v="96"/>
    </i>
    <i r="1">
      <x v="4"/>
      <x v="95"/>
    </i>
    <i r="1">
      <x v="5"/>
      <x v="97"/>
    </i>
    <i r="1">
      <x v="6"/>
      <x v="87"/>
    </i>
    <i r="1">
      <x v="7"/>
      <x v="43"/>
    </i>
    <i r="1">
      <x v="8"/>
      <x v="91"/>
    </i>
    <i r="1">
      <x v="9"/>
      <x v="9"/>
    </i>
    <i r="1">
      <x v="10"/>
      <x v="8"/>
    </i>
    <i r="1">
      <x v="11"/>
      <x v="22"/>
    </i>
    <i r="1">
      <x v="12"/>
      <x v="27"/>
    </i>
    <i r="1">
      <x v="13"/>
      <x v="26"/>
    </i>
    <i r="1">
      <x v="14"/>
      <x v="41"/>
    </i>
    <i r="1">
      <x v="15"/>
      <x v="17"/>
    </i>
    <i r="1">
      <x v="16"/>
      <x v="18"/>
    </i>
    <i r="1">
      <x v="17"/>
      <x v="51"/>
    </i>
    <i r="1">
      <x v="18"/>
      <x v="52"/>
    </i>
    <i r="1">
      <x v="19"/>
      <x v="104"/>
    </i>
    <i r="1">
      <x v="20"/>
      <x v="64"/>
    </i>
    <i r="1">
      <x v="81"/>
      <x v="74"/>
    </i>
    <i r="1">
      <x v="130"/>
      <x v="131"/>
    </i>
    <i>
      <x v="11"/>
      <x v="97"/>
      <x v="59"/>
    </i>
    <i r="1">
      <x v="98"/>
      <x v="58"/>
    </i>
    <i r="1">
      <x v="125"/>
      <x v="127"/>
    </i>
    <i r="1">
      <x v="126"/>
      <x v="128"/>
    </i>
    <i r="1">
      <x v="141"/>
      <x v="143"/>
    </i>
    <i>
      <x v="12"/>
      <x v="103"/>
      <x v="63"/>
    </i>
    <i>
      <x v="13"/>
      <x v="49"/>
      <x v="89"/>
    </i>
    <i r="1">
      <x v="50"/>
      <x v="90"/>
    </i>
    <i>
      <x v="14"/>
      <x v="21"/>
      <x v="79"/>
    </i>
    <i r="1">
      <x v="22"/>
      <x v="81"/>
    </i>
    <i r="1">
      <x v="23"/>
      <x v="35"/>
    </i>
    <i r="1">
      <x v="24"/>
      <x v="11"/>
    </i>
    <i r="1">
      <x v="25"/>
      <x v="38"/>
    </i>
    <i r="1">
      <x v="26"/>
      <x v="80"/>
    </i>
    <i r="1">
      <x v="27"/>
      <x v="37"/>
    </i>
    <i r="1">
      <x v="28"/>
      <x v="78"/>
    </i>
    <i r="1">
      <x v="30"/>
      <x v="98"/>
    </i>
    <i r="1">
      <x v="31"/>
      <x v="99"/>
    </i>
    <i r="1">
      <x v="32"/>
      <x v="40"/>
    </i>
    <i r="1">
      <x v="33"/>
      <x v="39"/>
    </i>
    <i r="1">
      <x v="34"/>
      <x v="88"/>
    </i>
    <i r="1">
      <x v="66"/>
      <x v="4"/>
    </i>
    <i r="1">
      <x v="67"/>
      <x v="12"/>
    </i>
    <i r="1">
      <x v="68"/>
      <x v="103"/>
    </i>
    <i r="1">
      <x v="69"/>
      <x v="36"/>
    </i>
    <i r="1">
      <x v="80"/>
      <x v="77"/>
    </i>
    <i r="1">
      <x v="109"/>
      <x v="110"/>
    </i>
    <i r="1">
      <x v="129"/>
      <x v="130"/>
    </i>
    <i>
      <x v="15"/>
      <x/>
      <x v="116"/>
    </i>
    <i r="1">
      <x v="136"/>
      <x v="138"/>
    </i>
    <i>
      <x v="16"/>
      <x v="133"/>
      <x v="135"/>
    </i>
    <i t="grand">
      <x/>
    </i>
  </rowItems>
  <colItems count="1">
    <i/>
  </colItems>
  <pageFields count="1">
    <pageField fld="20" hier="-1"/>
  </pageFields>
  <dataFields count="1">
    <dataField name="Sum of Coverage" fld="21" baseField="0" baseItem="2420248" numFmtId="9"/>
  </dataFields>
  <formats count="311">
    <format dxfId="885">
      <pivotArea outline="0" collapsedLevelsAreSubtotals="1" fieldPosition="0"/>
    </format>
    <format dxfId="884">
      <pivotArea dataOnly="0" labelOnly="1" outline="0" axis="axisValues" fieldPosition="0"/>
    </format>
    <format dxfId="883">
      <pivotArea field="20" type="button" dataOnly="0" labelOnly="1" outline="0" axis="axisPage" fieldPosition="0"/>
    </format>
    <format dxfId="882">
      <pivotArea dataOnly="0" labelOnly="1" outline="0" fieldPosition="0">
        <references count="1">
          <reference field="20" count="0"/>
        </references>
      </pivotArea>
    </format>
    <format dxfId="881">
      <pivotArea outline="0" collapsedLevelsAreSubtotals="1" fieldPosition="0">
        <references count="3">
          <reference field="4" count="1" selected="0">
            <x v="0"/>
          </reference>
          <reference field="5" count="10" selected="0">
            <x v="1"/>
            <x v="16"/>
            <x v="30"/>
            <x v="65"/>
            <x v="76"/>
            <x v="83"/>
            <x v="93"/>
            <x v="105"/>
            <x v="111"/>
            <x v="114"/>
          </reference>
          <reference field="19" count="10" selected="0">
            <x v="36"/>
            <x v="37"/>
            <x v="38"/>
            <x v="39"/>
            <x v="40"/>
            <x v="41"/>
            <x v="42"/>
            <x v="92"/>
            <x v="110"/>
            <x v="113"/>
          </reference>
        </references>
      </pivotArea>
    </format>
    <format dxfId="880">
      <pivotArea dataOnly="0" labelOnly="1" outline="0" fieldPosition="0">
        <references count="1">
          <reference field="4" count="1">
            <x v="0"/>
          </reference>
        </references>
      </pivotArea>
    </format>
    <format dxfId="879">
      <pivotArea dataOnly="0" labelOnly="1" outline="0" fieldPosition="0">
        <references count="2">
          <reference field="4" count="1" selected="0">
            <x v="0"/>
          </reference>
          <reference field="19" count="10">
            <x v="36"/>
            <x v="37"/>
            <x v="38"/>
            <x v="39"/>
            <x v="40"/>
            <x v="41"/>
            <x v="42"/>
            <x v="92"/>
            <x v="110"/>
            <x v="113"/>
          </reference>
        </references>
      </pivotArea>
    </format>
    <format dxfId="878">
      <pivotArea dataOnly="0" labelOnly="1" outline="0" fieldPosition="0">
        <references count="3">
          <reference field="4" count="1" selected="0">
            <x v="0"/>
          </reference>
          <reference field="5" count="1">
            <x v="83"/>
          </reference>
          <reference field="19" count="1" selected="0">
            <x v="36"/>
          </reference>
        </references>
      </pivotArea>
    </format>
    <format dxfId="877">
      <pivotArea dataOnly="0" labelOnly="1" outline="0" fieldPosition="0">
        <references count="3">
          <reference field="4" count="1" selected="0">
            <x v="0"/>
          </reference>
          <reference field="5" count="1">
            <x v="30"/>
          </reference>
          <reference field="19" count="1" selected="0">
            <x v="37"/>
          </reference>
        </references>
      </pivotArea>
    </format>
    <format dxfId="876">
      <pivotArea dataOnly="0" labelOnly="1" outline="0" fieldPosition="0">
        <references count="3">
          <reference field="4" count="1" selected="0">
            <x v="0"/>
          </reference>
          <reference field="5" count="1">
            <x v="1"/>
          </reference>
          <reference field="19" count="1" selected="0">
            <x v="38"/>
          </reference>
        </references>
      </pivotArea>
    </format>
    <format dxfId="875">
      <pivotArea dataOnly="0" labelOnly="1" outline="0" fieldPosition="0">
        <references count="3">
          <reference field="4" count="1" selected="0">
            <x v="0"/>
          </reference>
          <reference field="5" count="1">
            <x v="16"/>
          </reference>
          <reference field="19" count="1" selected="0">
            <x v="39"/>
          </reference>
        </references>
      </pivotArea>
    </format>
    <format dxfId="874">
      <pivotArea dataOnly="0" labelOnly="1" outline="0" fieldPosition="0">
        <references count="3">
          <reference field="4" count="1" selected="0">
            <x v="0"/>
          </reference>
          <reference field="5" count="1">
            <x v="105"/>
          </reference>
          <reference field="19" count="1" selected="0">
            <x v="40"/>
          </reference>
        </references>
      </pivotArea>
    </format>
    <format dxfId="873">
      <pivotArea dataOnly="0" labelOnly="1" outline="0" fieldPosition="0">
        <references count="3">
          <reference field="4" count="1" selected="0">
            <x v="0"/>
          </reference>
          <reference field="5" count="1">
            <x v="65"/>
          </reference>
          <reference field="19" count="1" selected="0">
            <x v="41"/>
          </reference>
        </references>
      </pivotArea>
    </format>
    <format dxfId="872">
      <pivotArea dataOnly="0" labelOnly="1" outline="0" fieldPosition="0">
        <references count="3">
          <reference field="4" count="1" selected="0">
            <x v="0"/>
          </reference>
          <reference field="5" count="1">
            <x v="93"/>
          </reference>
          <reference field="19" count="1" selected="0">
            <x v="42"/>
          </reference>
        </references>
      </pivotArea>
    </format>
    <format dxfId="871">
      <pivotArea dataOnly="0" labelOnly="1" outline="0" fieldPosition="0">
        <references count="3">
          <reference field="4" count="1" selected="0">
            <x v="0"/>
          </reference>
          <reference field="5" count="1">
            <x v="76"/>
          </reference>
          <reference field="19" count="1" selected="0">
            <x v="92"/>
          </reference>
        </references>
      </pivotArea>
    </format>
    <format dxfId="870">
      <pivotArea dataOnly="0" labelOnly="1" outline="0" fieldPosition="0">
        <references count="3">
          <reference field="4" count="1" selected="0">
            <x v="0"/>
          </reference>
          <reference field="5" count="1">
            <x v="111"/>
          </reference>
          <reference field="19" count="1" selected="0">
            <x v="110"/>
          </reference>
        </references>
      </pivotArea>
    </format>
    <format dxfId="869">
      <pivotArea dataOnly="0" labelOnly="1" outline="0" fieldPosition="0">
        <references count="3">
          <reference field="4" count="1" selected="0">
            <x v="0"/>
          </reference>
          <reference field="5" count="1">
            <x v="114"/>
          </reference>
          <reference field="19" count="1" selected="0">
            <x v="113"/>
          </reference>
        </references>
      </pivotArea>
    </format>
    <format dxfId="868">
      <pivotArea outline="0" collapsedLevelsAreSubtotals="1" fieldPosition="0">
        <references count="3">
          <reference field="4" count="1" selected="0">
            <x v="1"/>
          </reference>
          <reference field="5" count="3" selected="0">
            <x v="6"/>
            <x v="28"/>
            <x v="117"/>
          </reference>
          <reference field="19" count="3" selected="0">
            <x v="35"/>
            <x v="93"/>
            <x v="115"/>
          </reference>
        </references>
      </pivotArea>
    </format>
    <format dxfId="867">
      <pivotArea dataOnly="0" labelOnly="1" outline="0" fieldPosition="0">
        <references count="1">
          <reference field="4" count="1">
            <x v="1"/>
          </reference>
        </references>
      </pivotArea>
    </format>
    <format dxfId="866">
      <pivotArea dataOnly="0" labelOnly="1" outline="0" fieldPosition="0">
        <references count="2">
          <reference field="4" count="1" selected="0">
            <x v="1"/>
          </reference>
          <reference field="19" count="3">
            <x v="35"/>
            <x v="93"/>
            <x v="115"/>
          </reference>
        </references>
      </pivotArea>
    </format>
    <format dxfId="865">
      <pivotArea dataOnly="0" labelOnly="1" outline="0" fieldPosition="0">
        <references count="3">
          <reference field="4" count="1" selected="0">
            <x v="1"/>
          </reference>
          <reference field="5" count="1">
            <x v="6"/>
          </reference>
          <reference field="19" count="1" selected="0">
            <x v="35"/>
          </reference>
        </references>
      </pivotArea>
    </format>
    <format dxfId="864">
      <pivotArea dataOnly="0" labelOnly="1" outline="0" fieldPosition="0">
        <references count="3">
          <reference field="4" count="1" selected="0">
            <x v="1"/>
          </reference>
          <reference field="5" count="1">
            <x v="28"/>
          </reference>
          <reference field="19" count="1" selected="0">
            <x v="93"/>
          </reference>
        </references>
      </pivotArea>
    </format>
    <format dxfId="863">
      <pivotArea dataOnly="0" labelOnly="1" outline="0" fieldPosition="0">
        <references count="3">
          <reference field="4" count="1" selected="0">
            <x v="1"/>
          </reference>
          <reference field="5" count="1">
            <x v="117"/>
          </reference>
          <reference field="19" count="1" selected="0">
            <x v="115"/>
          </reference>
        </references>
      </pivotArea>
    </format>
    <format dxfId="862">
      <pivotArea outline="0" collapsedLevelsAreSubtotals="1" fieldPosition="0">
        <references count="3">
          <reference field="4" count="1" selected="0">
            <x v="2"/>
          </reference>
          <reference field="5" count="19" selected="0">
            <x v="0"/>
            <x v="2"/>
            <x v="3"/>
            <x v="5"/>
            <x v="7"/>
            <x v="13"/>
            <x v="29"/>
            <x v="53"/>
            <x v="62"/>
            <x v="66"/>
            <x v="82"/>
            <x v="85"/>
            <x v="101"/>
            <x v="102"/>
            <x v="106"/>
            <x v="113"/>
            <x v="116"/>
            <x v="121"/>
            <x v="122"/>
          </reference>
          <reference field="19" count="18" selected="0">
            <x v="0"/>
            <x v="61"/>
            <x v="63"/>
            <x v="64"/>
            <x v="65"/>
            <x v="82"/>
            <x v="83"/>
            <x v="84"/>
            <x v="85"/>
            <x v="86"/>
            <x v="87"/>
            <x v="88"/>
            <x v="89"/>
            <x v="90"/>
            <x v="91"/>
            <x v="112"/>
            <x v="119"/>
            <x v="120"/>
          </reference>
        </references>
      </pivotArea>
    </format>
    <format dxfId="861">
      <pivotArea dataOnly="0" labelOnly="1" outline="0" fieldPosition="0">
        <references count="1">
          <reference field="4" count="1">
            <x v="2"/>
          </reference>
        </references>
      </pivotArea>
    </format>
    <format dxfId="860">
      <pivotArea dataOnly="0" labelOnly="1" outline="0" fieldPosition="0">
        <references count="2">
          <reference field="4" count="1" selected="0">
            <x v="2"/>
          </reference>
          <reference field="19" count="18">
            <x v="0"/>
            <x v="61"/>
            <x v="63"/>
            <x v="64"/>
            <x v="65"/>
            <x v="82"/>
            <x v="83"/>
            <x v="84"/>
            <x v="85"/>
            <x v="86"/>
            <x v="87"/>
            <x v="88"/>
            <x v="89"/>
            <x v="90"/>
            <x v="91"/>
            <x v="112"/>
            <x v="119"/>
            <x v="120"/>
          </reference>
        </references>
      </pivotArea>
    </format>
    <format dxfId="859">
      <pivotArea dataOnly="0" labelOnly="1" outline="0" fieldPosition="0">
        <references count="3">
          <reference field="4" count="1" selected="0">
            <x v="2"/>
          </reference>
          <reference field="5" count="2">
            <x v="102"/>
            <x v="116"/>
          </reference>
          <reference field="19" count="1" selected="0">
            <x v="0"/>
          </reference>
        </references>
      </pivotArea>
    </format>
    <format dxfId="858">
      <pivotArea dataOnly="0" labelOnly="1" outline="0" fieldPosition="0">
        <references count="3">
          <reference field="4" count="1" selected="0">
            <x v="2"/>
          </reference>
          <reference field="5" count="1">
            <x v="53"/>
          </reference>
          <reference field="19" count="1" selected="0">
            <x v="61"/>
          </reference>
        </references>
      </pivotArea>
    </format>
    <format dxfId="857">
      <pivotArea dataOnly="0" labelOnly="1" outline="0" fieldPosition="0">
        <references count="3">
          <reference field="4" count="1" selected="0">
            <x v="2"/>
          </reference>
          <reference field="5" count="1">
            <x v="66"/>
          </reference>
          <reference field="19" count="1" selected="0">
            <x v="63"/>
          </reference>
        </references>
      </pivotArea>
    </format>
    <format dxfId="856">
      <pivotArea dataOnly="0" labelOnly="1" outline="0" fieldPosition="0">
        <references count="3">
          <reference field="4" count="1" selected="0">
            <x v="2"/>
          </reference>
          <reference field="5" count="1">
            <x v="106"/>
          </reference>
          <reference field="19" count="1" selected="0">
            <x v="64"/>
          </reference>
        </references>
      </pivotArea>
    </format>
    <format dxfId="855">
      <pivotArea dataOnly="0" labelOnly="1" outline="0" fieldPosition="0">
        <references count="3">
          <reference field="4" count="1" selected="0">
            <x v="2"/>
          </reference>
          <reference field="5" count="1">
            <x v="5"/>
          </reference>
          <reference field="19" count="1" selected="0">
            <x v="65"/>
          </reference>
        </references>
      </pivotArea>
    </format>
    <format dxfId="854">
      <pivotArea dataOnly="0" labelOnly="1" outline="0" fieldPosition="0">
        <references count="3">
          <reference field="4" count="1" selected="0">
            <x v="2"/>
          </reference>
          <reference field="5" count="1">
            <x v="3"/>
          </reference>
          <reference field="19" count="1" selected="0">
            <x v="82"/>
          </reference>
        </references>
      </pivotArea>
    </format>
    <format dxfId="853">
      <pivotArea dataOnly="0" labelOnly="1" outline="0" fieldPosition="0">
        <references count="3">
          <reference field="4" count="1" selected="0">
            <x v="2"/>
          </reference>
          <reference field="5" count="1">
            <x v="7"/>
          </reference>
          <reference field="19" count="1" selected="0">
            <x v="83"/>
          </reference>
        </references>
      </pivotArea>
    </format>
    <format dxfId="852">
      <pivotArea dataOnly="0" labelOnly="1" outline="0" fieldPosition="0">
        <references count="3">
          <reference field="4" count="1" selected="0">
            <x v="2"/>
          </reference>
          <reference field="5" count="1">
            <x v="2"/>
          </reference>
          <reference field="19" count="1" selected="0">
            <x v="84"/>
          </reference>
        </references>
      </pivotArea>
    </format>
    <format dxfId="851">
      <pivotArea dataOnly="0" labelOnly="1" outline="0" fieldPosition="0">
        <references count="3">
          <reference field="4" count="1" selected="0">
            <x v="2"/>
          </reference>
          <reference field="5" count="1">
            <x v="0"/>
          </reference>
          <reference field="19" count="1" selected="0">
            <x v="85"/>
          </reference>
        </references>
      </pivotArea>
    </format>
    <format dxfId="850">
      <pivotArea dataOnly="0" labelOnly="1" outline="0" fieldPosition="0">
        <references count="3">
          <reference field="4" count="1" selected="0">
            <x v="2"/>
          </reference>
          <reference field="5" count="1">
            <x v="29"/>
          </reference>
          <reference field="19" count="1" selected="0">
            <x v="86"/>
          </reference>
        </references>
      </pivotArea>
    </format>
    <format dxfId="849">
      <pivotArea dataOnly="0" labelOnly="1" outline="0" fieldPosition="0">
        <references count="3">
          <reference field="4" count="1" selected="0">
            <x v="2"/>
          </reference>
          <reference field="5" count="1">
            <x v="82"/>
          </reference>
          <reference field="19" count="1" selected="0">
            <x v="87"/>
          </reference>
        </references>
      </pivotArea>
    </format>
    <format dxfId="848">
      <pivotArea dataOnly="0" labelOnly="1" outline="0" fieldPosition="0">
        <references count="3">
          <reference field="4" count="1" selected="0">
            <x v="2"/>
          </reference>
          <reference field="5" count="1">
            <x v="85"/>
          </reference>
          <reference field="19" count="1" selected="0">
            <x v="88"/>
          </reference>
        </references>
      </pivotArea>
    </format>
    <format dxfId="847">
      <pivotArea dataOnly="0" labelOnly="1" outline="0" fieldPosition="0">
        <references count="3">
          <reference field="4" count="1" selected="0">
            <x v="2"/>
          </reference>
          <reference field="5" count="1">
            <x v="101"/>
          </reference>
          <reference field="19" count="1" selected="0">
            <x v="89"/>
          </reference>
        </references>
      </pivotArea>
    </format>
    <format dxfId="846">
      <pivotArea dataOnly="0" labelOnly="1" outline="0" fieldPosition="0">
        <references count="3">
          <reference field="4" count="1" selected="0">
            <x v="2"/>
          </reference>
          <reference field="5" count="1">
            <x v="13"/>
          </reference>
          <reference field="19" count="1" selected="0">
            <x v="90"/>
          </reference>
        </references>
      </pivotArea>
    </format>
    <format dxfId="845">
      <pivotArea dataOnly="0" labelOnly="1" outline="0" fieldPosition="0">
        <references count="3">
          <reference field="4" count="1" selected="0">
            <x v="2"/>
          </reference>
          <reference field="5" count="1">
            <x v="62"/>
          </reference>
          <reference field="19" count="1" selected="0">
            <x v="91"/>
          </reference>
        </references>
      </pivotArea>
    </format>
    <format dxfId="844">
      <pivotArea dataOnly="0" labelOnly="1" outline="0" fieldPosition="0">
        <references count="3">
          <reference field="4" count="1" selected="0">
            <x v="2"/>
          </reference>
          <reference field="5" count="1">
            <x v="113"/>
          </reference>
          <reference field="19" count="1" selected="0">
            <x v="112"/>
          </reference>
        </references>
      </pivotArea>
    </format>
    <format dxfId="843">
      <pivotArea dataOnly="0" labelOnly="1" outline="0" fieldPosition="0">
        <references count="3">
          <reference field="4" count="1" selected="0">
            <x v="2"/>
          </reference>
          <reference field="5" count="1">
            <x v="121"/>
          </reference>
          <reference field="19" count="1" selected="0">
            <x v="119"/>
          </reference>
        </references>
      </pivotArea>
    </format>
    <format dxfId="842">
      <pivotArea dataOnly="0" labelOnly="1" outline="0" fieldPosition="0">
        <references count="3">
          <reference field="4" count="1" selected="0">
            <x v="2"/>
          </reference>
          <reference field="5" count="1">
            <x v="122"/>
          </reference>
          <reference field="19" count="1" selected="0">
            <x v="120"/>
          </reference>
        </references>
      </pivotArea>
    </format>
    <format dxfId="841">
      <pivotArea outline="0" collapsedLevelsAreSubtotals="1" fieldPosition="0">
        <references count="3">
          <reference field="4" count="1" selected="0">
            <x v="3"/>
          </reference>
          <reference field="5" count="7" selected="0">
            <x v="20"/>
            <x v="21"/>
            <x v="60"/>
            <x v="119"/>
            <x v="124"/>
            <x v="129"/>
            <x v="133"/>
          </reference>
          <reference field="19" count="7" selected="0">
            <x v="100"/>
            <x v="104"/>
            <x v="105"/>
            <x v="117"/>
            <x v="122"/>
            <x v="127"/>
            <x v="128"/>
          </reference>
        </references>
      </pivotArea>
    </format>
    <format dxfId="840">
      <pivotArea dataOnly="0" labelOnly="1" outline="0" fieldPosition="0">
        <references count="1">
          <reference field="4" count="1">
            <x v="3"/>
          </reference>
        </references>
      </pivotArea>
    </format>
    <format dxfId="839">
      <pivotArea dataOnly="0" labelOnly="1" outline="0" fieldPosition="0">
        <references count="2">
          <reference field="4" count="1" selected="0">
            <x v="3"/>
          </reference>
          <reference field="19" count="7">
            <x v="100"/>
            <x v="104"/>
            <x v="105"/>
            <x v="117"/>
            <x v="122"/>
            <x v="127"/>
            <x v="128"/>
          </reference>
        </references>
      </pivotArea>
    </format>
    <format dxfId="838">
      <pivotArea dataOnly="0" labelOnly="1" outline="0" fieldPosition="0">
        <references count="3">
          <reference field="4" count="1" selected="0">
            <x v="3"/>
          </reference>
          <reference field="5" count="1">
            <x v="60"/>
          </reference>
          <reference field="19" count="1" selected="0">
            <x v="100"/>
          </reference>
        </references>
      </pivotArea>
    </format>
    <format dxfId="837">
      <pivotArea dataOnly="0" labelOnly="1" outline="0" fieldPosition="0">
        <references count="3">
          <reference field="4" count="1" selected="0">
            <x v="3"/>
          </reference>
          <reference field="5" count="1">
            <x v="20"/>
          </reference>
          <reference field="19" count="1" selected="0">
            <x v="104"/>
          </reference>
        </references>
      </pivotArea>
    </format>
    <format dxfId="836">
      <pivotArea dataOnly="0" labelOnly="1" outline="0" fieldPosition="0">
        <references count="3">
          <reference field="4" count="1" selected="0">
            <x v="3"/>
          </reference>
          <reference field="5" count="1">
            <x v="21"/>
          </reference>
          <reference field="19" count="1" selected="0">
            <x v="105"/>
          </reference>
        </references>
      </pivotArea>
    </format>
    <format dxfId="835">
      <pivotArea dataOnly="0" labelOnly="1" outline="0" fieldPosition="0">
        <references count="3">
          <reference field="4" count="1" selected="0">
            <x v="3"/>
          </reference>
          <reference field="5" count="1">
            <x v="119"/>
          </reference>
          <reference field="19" count="1" selected="0">
            <x v="117"/>
          </reference>
        </references>
      </pivotArea>
    </format>
    <format dxfId="834">
      <pivotArea dataOnly="0" labelOnly="1" outline="0" fieldPosition="0">
        <references count="3">
          <reference field="4" count="1" selected="0">
            <x v="3"/>
          </reference>
          <reference field="5" count="1">
            <x v="124"/>
          </reference>
          <reference field="19" count="1" selected="0">
            <x v="122"/>
          </reference>
        </references>
      </pivotArea>
    </format>
    <format dxfId="833">
      <pivotArea dataOnly="0" labelOnly="1" outline="0" fieldPosition="0">
        <references count="3">
          <reference field="4" count="1" selected="0">
            <x v="3"/>
          </reference>
          <reference field="5" count="1">
            <x v="129"/>
          </reference>
          <reference field="19" count="1" selected="0">
            <x v="127"/>
          </reference>
        </references>
      </pivotArea>
    </format>
    <format dxfId="832">
      <pivotArea dataOnly="0" labelOnly="1" outline="0" fieldPosition="0">
        <references count="3">
          <reference field="4" count="1" selected="0">
            <x v="3"/>
          </reference>
          <reference field="5" count="1">
            <x v="133"/>
          </reference>
          <reference field="19" count="1" selected="0">
            <x v="128"/>
          </reference>
        </references>
      </pivotArea>
    </format>
    <format dxfId="831">
      <pivotArea outline="0" collapsedLevelsAreSubtotals="1" fieldPosition="0">
        <references count="3">
          <reference field="4" count="1" selected="0">
            <x v="4"/>
          </reference>
          <reference field="5" count="9" selected="0">
            <x v="25"/>
            <x v="34"/>
            <x v="44"/>
            <x v="45"/>
            <x v="49"/>
            <x v="107"/>
            <x v="109"/>
            <x v="118"/>
            <x v="120"/>
          </reference>
          <reference field="19" count="9" selected="0">
            <x v="48"/>
            <x v="74"/>
            <x v="76"/>
            <x v="77"/>
            <x v="78"/>
            <x v="106"/>
            <x v="108"/>
            <x v="116"/>
            <x v="118"/>
          </reference>
        </references>
      </pivotArea>
    </format>
    <format dxfId="830">
      <pivotArea dataOnly="0" labelOnly="1" outline="0" fieldPosition="0">
        <references count="1">
          <reference field="4" count="1">
            <x v="4"/>
          </reference>
        </references>
      </pivotArea>
    </format>
    <format dxfId="829">
      <pivotArea dataOnly="0" labelOnly="1" outline="0" fieldPosition="0">
        <references count="2">
          <reference field="4" count="1" selected="0">
            <x v="4"/>
          </reference>
          <reference field="19" count="9">
            <x v="48"/>
            <x v="74"/>
            <x v="76"/>
            <x v="77"/>
            <x v="78"/>
            <x v="106"/>
            <x v="108"/>
            <x v="116"/>
            <x v="118"/>
          </reference>
        </references>
      </pivotArea>
    </format>
    <format dxfId="828">
      <pivotArea dataOnly="0" labelOnly="1" outline="0" fieldPosition="0">
        <references count="3">
          <reference field="4" count="1" selected="0">
            <x v="4"/>
          </reference>
          <reference field="5" count="1">
            <x v="49"/>
          </reference>
          <reference field="19" count="1" selected="0">
            <x v="48"/>
          </reference>
        </references>
      </pivotArea>
    </format>
    <format dxfId="827">
      <pivotArea dataOnly="0" labelOnly="1" outline="0" fieldPosition="0">
        <references count="3">
          <reference field="4" count="1" selected="0">
            <x v="4"/>
          </reference>
          <reference field="5" count="1">
            <x v="25"/>
          </reference>
          <reference field="19" count="1" selected="0">
            <x v="74"/>
          </reference>
        </references>
      </pivotArea>
    </format>
    <format dxfId="826">
      <pivotArea dataOnly="0" labelOnly="1" outline="0" fieldPosition="0">
        <references count="3">
          <reference field="4" count="1" selected="0">
            <x v="4"/>
          </reference>
          <reference field="5" count="1">
            <x v="45"/>
          </reference>
          <reference field="19" count="1" selected="0">
            <x v="76"/>
          </reference>
        </references>
      </pivotArea>
    </format>
    <format dxfId="825">
      <pivotArea dataOnly="0" labelOnly="1" outline="0" fieldPosition="0">
        <references count="3">
          <reference field="4" count="1" selected="0">
            <x v="4"/>
          </reference>
          <reference field="5" count="1">
            <x v="44"/>
          </reference>
          <reference field="19" count="1" selected="0">
            <x v="77"/>
          </reference>
        </references>
      </pivotArea>
    </format>
    <format dxfId="824">
      <pivotArea dataOnly="0" labelOnly="1" outline="0" fieldPosition="0">
        <references count="3">
          <reference field="4" count="1" selected="0">
            <x v="4"/>
          </reference>
          <reference field="5" count="1">
            <x v="34"/>
          </reference>
          <reference field="19" count="1" selected="0">
            <x v="78"/>
          </reference>
        </references>
      </pivotArea>
    </format>
    <format dxfId="823">
      <pivotArea dataOnly="0" labelOnly="1" outline="0" fieldPosition="0">
        <references count="3">
          <reference field="4" count="1" selected="0">
            <x v="4"/>
          </reference>
          <reference field="5" count="1">
            <x v="107"/>
          </reference>
          <reference field="19" count="1" selected="0">
            <x v="106"/>
          </reference>
        </references>
      </pivotArea>
    </format>
    <format dxfId="822">
      <pivotArea dataOnly="0" labelOnly="1" outline="0" fieldPosition="0">
        <references count="3">
          <reference field="4" count="1" selected="0">
            <x v="4"/>
          </reference>
          <reference field="5" count="1">
            <x v="109"/>
          </reference>
          <reference field="19" count="1" selected="0">
            <x v="108"/>
          </reference>
        </references>
      </pivotArea>
    </format>
    <format dxfId="821">
      <pivotArea dataOnly="0" labelOnly="1" outline="0" fieldPosition="0">
        <references count="3">
          <reference field="4" count="1" selected="0">
            <x v="4"/>
          </reference>
          <reference field="5" count="1">
            <x v="118"/>
          </reference>
          <reference field="19" count="1" selected="0">
            <x v="116"/>
          </reference>
        </references>
      </pivotArea>
    </format>
    <format dxfId="820">
      <pivotArea dataOnly="0" labelOnly="1" outline="0" fieldPosition="0">
        <references count="3">
          <reference field="4" count="1" selected="0">
            <x v="4"/>
          </reference>
          <reference field="5" count="1">
            <x v="120"/>
          </reference>
          <reference field="19" count="1" selected="0">
            <x v="118"/>
          </reference>
        </references>
      </pivotArea>
    </format>
    <format dxfId="819">
      <pivotArea outline="0" collapsedLevelsAreSubtotals="1" fieldPosition="0">
        <references count="3">
          <reference field="4" count="1" selected="0">
            <x v="5"/>
          </reference>
          <reference field="5" count="3" selected="0">
            <x v="14"/>
            <x v="47"/>
            <x v="134"/>
          </reference>
          <reference field="19" count="3" selected="0">
            <x v="101"/>
            <x v="102"/>
            <x v="132"/>
          </reference>
        </references>
      </pivotArea>
    </format>
    <format dxfId="818">
      <pivotArea dataOnly="0" labelOnly="1" outline="0" fieldPosition="0">
        <references count="1">
          <reference field="4" count="1">
            <x v="5"/>
          </reference>
        </references>
      </pivotArea>
    </format>
    <format dxfId="817">
      <pivotArea dataOnly="0" labelOnly="1" outline="0" fieldPosition="0">
        <references count="2">
          <reference field="4" count="1" selected="0">
            <x v="5"/>
          </reference>
          <reference field="19" count="3">
            <x v="101"/>
            <x v="102"/>
            <x v="132"/>
          </reference>
        </references>
      </pivotArea>
    </format>
    <format dxfId="816">
      <pivotArea dataOnly="0" labelOnly="1" outline="0" fieldPosition="0">
        <references count="3">
          <reference field="4" count="1" selected="0">
            <x v="5"/>
          </reference>
          <reference field="5" count="1">
            <x v="47"/>
          </reference>
          <reference field="19" count="1" selected="0">
            <x v="101"/>
          </reference>
        </references>
      </pivotArea>
    </format>
    <format dxfId="815">
      <pivotArea dataOnly="0" labelOnly="1" outline="0" fieldPosition="0">
        <references count="3">
          <reference field="4" count="1" selected="0">
            <x v="5"/>
          </reference>
          <reference field="5" count="1">
            <x v="14"/>
          </reference>
          <reference field="19" count="1" selected="0">
            <x v="102"/>
          </reference>
        </references>
      </pivotArea>
    </format>
    <format dxfId="814">
      <pivotArea dataOnly="0" labelOnly="1" outline="0" fieldPosition="0">
        <references count="3">
          <reference field="4" count="1" selected="0">
            <x v="5"/>
          </reference>
          <reference field="5" count="1">
            <x v="134"/>
          </reference>
          <reference field="19" count="1" selected="0">
            <x v="132"/>
          </reference>
        </references>
      </pivotArea>
    </format>
    <format dxfId="813">
      <pivotArea outline="0" collapsedLevelsAreSubtotals="1" fieldPosition="0">
        <references count="3">
          <reference field="4" count="1" selected="0">
            <x v="6"/>
          </reference>
          <reference field="5" count="3" selected="0">
            <x v="23"/>
            <x v="48"/>
            <x v="67"/>
          </reference>
          <reference field="19" count="3" selected="0">
            <x v="56"/>
            <x v="57"/>
            <x v="58"/>
          </reference>
        </references>
      </pivotArea>
    </format>
    <format dxfId="812">
      <pivotArea dataOnly="0" labelOnly="1" outline="0" fieldPosition="0">
        <references count="1">
          <reference field="4" count="1">
            <x v="6"/>
          </reference>
        </references>
      </pivotArea>
    </format>
    <format dxfId="811">
      <pivotArea dataOnly="0" labelOnly="1" outline="0" fieldPosition="0">
        <references count="2">
          <reference field="4" count="1" selected="0">
            <x v="6"/>
          </reference>
          <reference field="19" count="3">
            <x v="56"/>
            <x v="57"/>
            <x v="58"/>
          </reference>
        </references>
      </pivotArea>
    </format>
    <format dxfId="810">
      <pivotArea dataOnly="0" labelOnly="1" outline="0" fieldPosition="0">
        <references count="3">
          <reference field="4" count="1" selected="0">
            <x v="6"/>
          </reference>
          <reference field="5" count="1">
            <x v="48"/>
          </reference>
          <reference field="19" count="1" selected="0">
            <x v="56"/>
          </reference>
        </references>
      </pivotArea>
    </format>
    <format dxfId="809">
      <pivotArea dataOnly="0" labelOnly="1" outline="0" fieldPosition="0">
        <references count="3">
          <reference field="4" count="1" selected="0">
            <x v="6"/>
          </reference>
          <reference field="5" count="1">
            <x v="23"/>
          </reference>
          <reference field="19" count="1" selected="0">
            <x v="57"/>
          </reference>
        </references>
      </pivotArea>
    </format>
    <format dxfId="808">
      <pivotArea dataOnly="0" labelOnly="1" outline="0" fieldPosition="0">
        <references count="3">
          <reference field="4" count="1" selected="0">
            <x v="6"/>
          </reference>
          <reference field="5" count="1">
            <x v="67"/>
          </reference>
          <reference field="19" count="1" selected="0">
            <x v="58"/>
          </reference>
        </references>
      </pivotArea>
    </format>
    <format dxfId="807">
      <pivotArea outline="0" collapsedLevelsAreSubtotals="1" fieldPosition="0">
        <references count="3">
          <reference field="4" count="1" selected="0">
            <x v="7"/>
          </reference>
          <reference field="5" count="2" selected="0">
            <x v="68"/>
            <x v="92"/>
          </reference>
          <reference field="19" count="2" selected="0">
            <x v="59"/>
            <x v="79"/>
          </reference>
        </references>
      </pivotArea>
    </format>
    <format dxfId="806">
      <pivotArea dataOnly="0" labelOnly="1" outline="0" fieldPosition="0">
        <references count="1">
          <reference field="4" count="1">
            <x v="7"/>
          </reference>
        </references>
      </pivotArea>
    </format>
    <format dxfId="805">
      <pivotArea dataOnly="0" labelOnly="1" outline="0" fieldPosition="0">
        <references count="2">
          <reference field="4" count="1" selected="0">
            <x v="7"/>
          </reference>
          <reference field="19" count="2">
            <x v="59"/>
            <x v="79"/>
          </reference>
        </references>
      </pivotArea>
    </format>
    <format dxfId="804">
      <pivotArea dataOnly="0" labelOnly="1" outline="0" fieldPosition="0">
        <references count="3">
          <reference field="4" count="1" selected="0">
            <x v="7"/>
          </reference>
          <reference field="5" count="1">
            <x v="92"/>
          </reference>
          <reference field="19" count="1" selected="0">
            <x v="59"/>
          </reference>
        </references>
      </pivotArea>
    </format>
    <format dxfId="803">
      <pivotArea dataOnly="0" labelOnly="1" outline="0" fieldPosition="0">
        <references count="3">
          <reference field="4" count="1" selected="0">
            <x v="7"/>
          </reference>
          <reference field="5" count="1">
            <x v="68"/>
          </reference>
          <reference field="19" count="1" selected="0">
            <x v="79"/>
          </reference>
        </references>
      </pivotArea>
    </format>
    <format dxfId="802">
      <pivotArea outline="0" collapsedLevelsAreSubtotals="1" fieldPosition="0">
        <references count="3">
          <reference field="4" count="1" selected="0">
            <x v="8"/>
          </reference>
          <reference field="5" count="15" selected="0">
            <x v="10"/>
            <x v="15"/>
            <x v="19"/>
            <x v="31"/>
            <x v="32"/>
            <x v="33"/>
            <x v="42"/>
            <x v="46"/>
            <x v="54"/>
            <x v="70"/>
            <x v="71"/>
            <x v="73"/>
            <x v="75"/>
            <x v="86"/>
            <x v="112"/>
          </reference>
          <reference field="19" count="15" selected="0">
            <x v="43"/>
            <x v="45"/>
            <x v="46"/>
            <x v="47"/>
            <x v="51"/>
            <x v="52"/>
            <x v="53"/>
            <x v="54"/>
            <x v="55"/>
            <x v="70"/>
            <x v="71"/>
            <x v="72"/>
            <x v="73"/>
            <x v="75"/>
            <x v="111"/>
          </reference>
        </references>
      </pivotArea>
    </format>
    <format dxfId="801">
      <pivotArea dataOnly="0" labelOnly="1" outline="0" fieldPosition="0">
        <references count="1">
          <reference field="4" count="1">
            <x v="8"/>
          </reference>
        </references>
      </pivotArea>
    </format>
    <format dxfId="800">
      <pivotArea dataOnly="0" labelOnly="1" outline="0" fieldPosition="0">
        <references count="2">
          <reference field="4" count="1" selected="0">
            <x v="8"/>
          </reference>
          <reference field="19" count="15">
            <x v="43"/>
            <x v="45"/>
            <x v="46"/>
            <x v="47"/>
            <x v="51"/>
            <x v="52"/>
            <x v="53"/>
            <x v="54"/>
            <x v="55"/>
            <x v="70"/>
            <x v="71"/>
            <x v="72"/>
            <x v="73"/>
            <x v="75"/>
            <x v="111"/>
          </reference>
        </references>
      </pivotArea>
    </format>
    <format dxfId="799">
      <pivotArea dataOnly="0" labelOnly="1" outline="0" fieldPosition="0">
        <references count="3">
          <reference field="4" count="1" selected="0">
            <x v="8"/>
          </reference>
          <reference field="5" count="1">
            <x v="54"/>
          </reference>
          <reference field="19" count="1" selected="0">
            <x v="43"/>
          </reference>
        </references>
      </pivotArea>
    </format>
    <format dxfId="798">
      <pivotArea dataOnly="0" labelOnly="1" outline="0" fieldPosition="0">
        <references count="3">
          <reference field="4" count="1" selected="0">
            <x v="8"/>
          </reference>
          <reference field="5" count="1">
            <x v="46"/>
          </reference>
          <reference field="19" count="1" selected="0">
            <x v="45"/>
          </reference>
        </references>
      </pivotArea>
    </format>
    <format dxfId="797">
      <pivotArea dataOnly="0" labelOnly="1" outline="0" fieldPosition="0">
        <references count="3">
          <reference field="4" count="1" selected="0">
            <x v="8"/>
          </reference>
          <reference field="5" count="1">
            <x v="71"/>
          </reference>
          <reference field="19" count="1" selected="0">
            <x v="46"/>
          </reference>
        </references>
      </pivotArea>
    </format>
    <format dxfId="796">
      <pivotArea dataOnly="0" labelOnly="1" outline="0" fieldPosition="0">
        <references count="3">
          <reference field="4" count="1" selected="0">
            <x v="8"/>
          </reference>
          <reference field="5" count="1">
            <x v="42"/>
          </reference>
          <reference field="19" count="1" selected="0">
            <x v="47"/>
          </reference>
        </references>
      </pivotArea>
    </format>
    <format dxfId="795">
      <pivotArea dataOnly="0" labelOnly="1" outline="0" fieldPosition="0">
        <references count="3">
          <reference field="4" count="1" selected="0">
            <x v="8"/>
          </reference>
          <reference field="5" count="1">
            <x v="32"/>
          </reference>
          <reference field="19" count="1" selected="0">
            <x v="51"/>
          </reference>
        </references>
      </pivotArea>
    </format>
    <format dxfId="794">
      <pivotArea dataOnly="0" labelOnly="1" outline="0" fieldPosition="0">
        <references count="3">
          <reference field="4" count="1" selected="0">
            <x v="8"/>
          </reference>
          <reference field="5" count="1">
            <x v="33"/>
          </reference>
          <reference field="19" count="1" selected="0">
            <x v="52"/>
          </reference>
        </references>
      </pivotArea>
    </format>
    <format dxfId="793">
      <pivotArea dataOnly="0" labelOnly="1" outline="0" fieldPosition="0">
        <references count="3">
          <reference field="4" count="1" selected="0">
            <x v="8"/>
          </reference>
          <reference field="5" count="1">
            <x v="31"/>
          </reference>
          <reference field="19" count="1" selected="0">
            <x v="53"/>
          </reference>
        </references>
      </pivotArea>
    </format>
    <format dxfId="792">
      <pivotArea dataOnly="0" labelOnly="1" outline="0" fieldPosition="0">
        <references count="3">
          <reference field="4" count="1" selected="0">
            <x v="8"/>
          </reference>
          <reference field="5" count="1">
            <x v="73"/>
          </reference>
          <reference field="19" count="1" selected="0">
            <x v="54"/>
          </reference>
        </references>
      </pivotArea>
    </format>
    <format dxfId="791">
      <pivotArea dataOnly="0" labelOnly="1" outline="0" fieldPosition="0">
        <references count="3">
          <reference field="4" count="1" selected="0">
            <x v="8"/>
          </reference>
          <reference field="5" count="1">
            <x v="86"/>
          </reference>
          <reference field="19" count="1" selected="0">
            <x v="55"/>
          </reference>
        </references>
      </pivotArea>
    </format>
    <format dxfId="790">
      <pivotArea dataOnly="0" labelOnly="1" outline="0" fieldPosition="0">
        <references count="3">
          <reference field="4" count="1" selected="0">
            <x v="8"/>
          </reference>
          <reference field="5" count="1">
            <x v="19"/>
          </reference>
          <reference field="19" count="1" selected="0">
            <x v="70"/>
          </reference>
        </references>
      </pivotArea>
    </format>
    <format dxfId="789">
      <pivotArea dataOnly="0" labelOnly="1" outline="0" fieldPosition="0">
        <references count="3">
          <reference field="4" count="1" selected="0">
            <x v="8"/>
          </reference>
          <reference field="5" count="1">
            <x v="15"/>
          </reference>
          <reference field="19" count="1" selected="0">
            <x v="71"/>
          </reference>
        </references>
      </pivotArea>
    </format>
    <format dxfId="788">
      <pivotArea dataOnly="0" labelOnly="1" outline="0" fieldPosition="0">
        <references count="3">
          <reference field="4" count="1" selected="0">
            <x v="8"/>
          </reference>
          <reference field="5" count="1">
            <x v="10"/>
          </reference>
          <reference field="19" count="1" selected="0">
            <x v="72"/>
          </reference>
        </references>
      </pivotArea>
    </format>
    <format dxfId="787">
      <pivotArea dataOnly="0" labelOnly="1" outline="0" fieldPosition="0">
        <references count="3">
          <reference field="4" count="1" selected="0">
            <x v="8"/>
          </reference>
          <reference field="5" count="1">
            <x v="75"/>
          </reference>
          <reference field="19" count="1" selected="0">
            <x v="73"/>
          </reference>
        </references>
      </pivotArea>
    </format>
    <format dxfId="786">
      <pivotArea dataOnly="0" labelOnly="1" outline="0" fieldPosition="0">
        <references count="3">
          <reference field="4" count="1" selected="0">
            <x v="8"/>
          </reference>
          <reference field="5" count="1">
            <x v="70"/>
          </reference>
          <reference field="19" count="1" selected="0">
            <x v="75"/>
          </reference>
        </references>
      </pivotArea>
    </format>
    <format dxfId="785">
      <pivotArea dataOnly="0" labelOnly="1" outline="0" fieldPosition="0">
        <references count="3">
          <reference field="4" count="1" selected="0">
            <x v="8"/>
          </reference>
          <reference field="5" count="1">
            <x v="112"/>
          </reference>
          <reference field="19" count="1" selected="0">
            <x v="111"/>
          </reference>
        </references>
      </pivotArea>
    </format>
    <format dxfId="784">
      <pivotArea outline="0" collapsedLevelsAreSubtotals="1" fieldPosition="0">
        <references count="3">
          <reference field="4" count="1" selected="0">
            <x v="9"/>
          </reference>
          <reference field="5" count="3" selected="0">
            <x v="56"/>
            <x v="125"/>
            <x v="126"/>
          </reference>
          <reference field="19" count="3" selected="0">
            <x v="99"/>
            <x v="123"/>
            <x v="124"/>
          </reference>
        </references>
      </pivotArea>
    </format>
    <format dxfId="783">
      <pivotArea dataOnly="0" labelOnly="1" outline="0" fieldPosition="0">
        <references count="1">
          <reference field="4" count="1">
            <x v="9"/>
          </reference>
        </references>
      </pivotArea>
    </format>
    <format dxfId="782">
      <pivotArea dataOnly="0" labelOnly="1" outline="0" fieldPosition="0">
        <references count="2">
          <reference field="4" count="1" selected="0">
            <x v="9"/>
          </reference>
          <reference field="19" count="3">
            <x v="99"/>
            <x v="123"/>
            <x v="124"/>
          </reference>
        </references>
      </pivotArea>
    </format>
    <format dxfId="781">
      <pivotArea dataOnly="0" labelOnly="1" outline="0" fieldPosition="0">
        <references count="3">
          <reference field="4" count="1" selected="0">
            <x v="9"/>
          </reference>
          <reference field="5" count="1">
            <x v="56"/>
          </reference>
          <reference field="19" count="1" selected="0">
            <x v="99"/>
          </reference>
        </references>
      </pivotArea>
    </format>
    <format dxfId="780">
      <pivotArea dataOnly="0" labelOnly="1" outline="0" fieldPosition="0">
        <references count="3">
          <reference field="4" count="1" selected="0">
            <x v="9"/>
          </reference>
          <reference field="5" count="1">
            <x v="125"/>
          </reference>
          <reference field="19" count="1" selected="0">
            <x v="123"/>
          </reference>
        </references>
      </pivotArea>
    </format>
    <format dxfId="779">
      <pivotArea dataOnly="0" labelOnly="1" outline="0" fieldPosition="0">
        <references count="3">
          <reference field="4" count="1" selected="0">
            <x v="9"/>
          </reference>
          <reference field="5" count="1">
            <x v="126"/>
          </reference>
          <reference field="19" count="1" selected="0">
            <x v="124"/>
          </reference>
        </references>
      </pivotArea>
    </format>
    <format dxfId="778">
      <pivotArea outline="0" collapsedLevelsAreSubtotals="1" fieldPosition="0">
        <references count="3">
          <reference field="4" count="1" selected="0">
            <x v="10"/>
          </reference>
          <reference field="5" count="24" selected="0">
            <x v="8"/>
            <x v="9"/>
            <x v="17"/>
            <x v="18"/>
            <x v="22"/>
            <x v="26"/>
            <x v="27"/>
            <x v="41"/>
            <x v="43"/>
            <x v="51"/>
            <x v="52"/>
            <x v="64"/>
            <x v="72"/>
            <x v="74"/>
            <x v="84"/>
            <x v="87"/>
            <x v="91"/>
            <x v="94"/>
            <x v="95"/>
            <x v="96"/>
            <x v="97"/>
            <x v="104"/>
            <x v="116"/>
            <x v="131"/>
          </reference>
          <reference field="19" count="23" selected="0">
            <x v="0"/>
            <x v="1"/>
            <x v="2"/>
            <x v="3"/>
            <x v="4"/>
            <x v="5"/>
            <x v="6"/>
            <x v="7"/>
            <x v="8"/>
            <x v="9"/>
            <x v="10"/>
            <x v="11"/>
            <x v="12"/>
            <x v="13"/>
            <x v="14"/>
            <x v="15"/>
            <x v="16"/>
            <x v="17"/>
            <x v="18"/>
            <x v="19"/>
            <x v="20"/>
            <x v="81"/>
            <x v="130"/>
          </reference>
        </references>
      </pivotArea>
    </format>
    <format dxfId="777">
      <pivotArea dataOnly="0" labelOnly="1" outline="0" fieldPosition="0">
        <references count="1">
          <reference field="4" count="1">
            <x v="10"/>
          </reference>
        </references>
      </pivotArea>
    </format>
    <format dxfId="776">
      <pivotArea dataOnly="0" labelOnly="1" outline="0" fieldPosition="0">
        <references count="2">
          <reference field="4" count="1" selected="0">
            <x v="10"/>
          </reference>
          <reference field="19" count="23">
            <x v="0"/>
            <x v="1"/>
            <x v="2"/>
            <x v="3"/>
            <x v="4"/>
            <x v="5"/>
            <x v="6"/>
            <x v="7"/>
            <x v="8"/>
            <x v="9"/>
            <x v="10"/>
            <x v="11"/>
            <x v="12"/>
            <x v="13"/>
            <x v="14"/>
            <x v="15"/>
            <x v="16"/>
            <x v="17"/>
            <x v="18"/>
            <x v="19"/>
            <x v="20"/>
            <x v="81"/>
            <x v="130"/>
          </reference>
        </references>
      </pivotArea>
    </format>
    <format dxfId="775">
      <pivotArea dataOnly="0" labelOnly="1" outline="0" fieldPosition="0">
        <references count="3">
          <reference field="4" count="1" selected="0">
            <x v="10"/>
          </reference>
          <reference field="5" count="2">
            <x v="84"/>
            <x v="116"/>
          </reference>
          <reference field="19" count="1" selected="0">
            <x v="0"/>
          </reference>
        </references>
      </pivotArea>
    </format>
    <format dxfId="774">
      <pivotArea dataOnly="0" labelOnly="1" outline="0" fieldPosition="0">
        <references count="3">
          <reference field="4" count="1" selected="0">
            <x v="10"/>
          </reference>
          <reference field="5" count="1">
            <x v="94"/>
          </reference>
          <reference field="19" count="1" selected="0">
            <x v="1"/>
          </reference>
        </references>
      </pivotArea>
    </format>
    <format dxfId="773">
      <pivotArea dataOnly="0" labelOnly="1" outline="0" fieldPosition="0">
        <references count="3">
          <reference field="4" count="1" selected="0">
            <x v="10"/>
          </reference>
          <reference field="5" count="1">
            <x v="72"/>
          </reference>
          <reference field="19" count="1" selected="0">
            <x v="2"/>
          </reference>
        </references>
      </pivotArea>
    </format>
    <format dxfId="772">
      <pivotArea dataOnly="0" labelOnly="1" outline="0" fieldPosition="0">
        <references count="3">
          <reference field="4" count="1" selected="0">
            <x v="10"/>
          </reference>
          <reference field="5" count="1">
            <x v="96"/>
          </reference>
          <reference field="19" count="1" selected="0">
            <x v="3"/>
          </reference>
        </references>
      </pivotArea>
    </format>
    <format dxfId="771">
      <pivotArea dataOnly="0" labelOnly="1" outline="0" fieldPosition="0">
        <references count="3">
          <reference field="4" count="1" selected="0">
            <x v="10"/>
          </reference>
          <reference field="5" count="1">
            <x v="95"/>
          </reference>
          <reference field="19" count="1" selected="0">
            <x v="4"/>
          </reference>
        </references>
      </pivotArea>
    </format>
    <format dxfId="770">
      <pivotArea dataOnly="0" labelOnly="1" outline="0" fieldPosition="0">
        <references count="3">
          <reference field="4" count="1" selected="0">
            <x v="10"/>
          </reference>
          <reference field="5" count="1">
            <x v="97"/>
          </reference>
          <reference field="19" count="1" selected="0">
            <x v="5"/>
          </reference>
        </references>
      </pivotArea>
    </format>
    <format dxfId="769">
      <pivotArea dataOnly="0" labelOnly="1" outline="0" fieldPosition="0">
        <references count="3">
          <reference field="4" count="1" selected="0">
            <x v="10"/>
          </reference>
          <reference field="5" count="1">
            <x v="87"/>
          </reference>
          <reference field="19" count="1" selected="0">
            <x v="6"/>
          </reference>
        </references>
      </pivotArea>
    </format>
    <format dxfId="768">
      <pivotArea dataOnly="0" labelOnly="1" outline="0" fieldPosition="0">
        <references count="3">
          <reference field="4" count="1" selected="0">
            <x v="10"/>
          </reference>
          <reference field="5" count="1">
            <x v="43"/>
          </reference>
          <reference field="19" count="1" selected="0">
            <x v="7"/>
          </reference>
        </references>
      </pivotArea>
    </format>
    <format dxfId="767">
      <pivotArea dataOnly="0" labelOnly="1" outline="0" fieldPosition="0">
        <references count="3">
          <reference field="4" count="1" selected="0">
            <x v="10"/>
          </reference>
          <reference field="5" count="1">
            <x v="91"/>
          </reference>
          <reference field="19" count="1" selected="0">
            <x v="8"/>
          </reference>
        </references>
      </pivotArea>
    </format>
    <format dxfId="766">
      <pivotArea dataOnly="0" labelOnly="1" outline="0" fieldPosition="0">
        <references count="3">
          <reference field="4" count="1" selected="0">
            <x v="10"/>
          </reference>
          <reference field="5" count="1">
            <x v="9"/>
          </reference>
          <reference field="19" count="1" selected="0">
            <x v="9"/>
          </reference>
        </references>
      </pivotArea>
    </format>
    <format dxfId="765">
      <pivotArea dataOnly="0" labelOnly="1" outline="0" fieldPosition="0">
        <references count="3">
          <reference field="4" count="1" selected="0">
            <x v="10"/>
          </reference>
          <reference field="5" count="1">
            <x v="8"/>
          </reference>
          <reference field="19" count="1" selected="0">
            <x v="10"/>
          </reference>
        </references>
      </pivotArea>
    </format>
    <format dxfId="764">
      <pivotArea dataOnly="0" labelOnly="1" outline="0" fieldPosition="0">
        <references count="3">
          <reference field="4" count="1" selected="0">
            <x v="10"/>
          </reference>
          <reference field="5" count="1">
            <x v="22"/>
          </reference>
          <reference field="19" count="1" selected="0">
            <x v="11"/>
          </reference>
        </references>
      </pivotArea>
    </format>
    <format dxfId="763">
      <pivotArea dataOnly="0" labelOnly="1" outline="0" fieldPosition="0">
        <references count="3">
          <reference field="4" count="1" selected="0">
            <x v="10"/>
          </reference>
          <reference field="5" count="1">
            <x v="27"/>
          </reference>
          <reference field="19" count="1" selected="0">
            <x v="12"/>
          </reference>
        </references>
      </pivotArea>
    </format>
    <format dxfId="762">
      <pivotArea dataOnly="0" labelOnly="1" outline="0" fieldPosition="0">
        <references count="3">
          <reference field="4" count="1" selected="0">
            <x v="10"/>
          </reference>
          <reference field="5" count="1">
            <x v="26"/>
          </reference>
          <reference field="19" count="1" selected="0">
            <x v="13"/>
          </reference>
        </references>
      </pivotArea>
    </format>
    <format dxfId="761">
      <pivotArea dataOnly="0" labelOnly="1" outline="0" fieldPosition="0">
        <references count="3">
          <reference field="4" count="1" selected="0">
            <x v="10"/>
          </reference>
          <reference field="5" count="1">
            <x v="41"/>
          </reference>
          <reference field="19" count="1" selected="0">
            <x v="14"/>
          </reference>
        </references>
      </pivotArea>
    </format>
    <format dxfId="760">
      <pivotArea dataOnly="0" labelOnly="1" outline="0" fieldPosition="0">
        <references count="3">
          <reference field="4" count="1" selected="0">
            <x v="10"/>
          </reference>
          <reference field="5" count="1">
            <x v="17"/>
          </reference>
          <reference field="19" count="1" selected="0">
            <x v="15"/>
          </reference>
        </references>
      </pivotArea>
    </format>
    <format dxfId="759">
      <pivotArea dataOnly="0" labelOnly="1" outline="0" fieldPosition="0">
        <references count="3">
          <reference field="4" count="1" selected="0">
            <x v="10"/>
          </reference>
          <reference field="5" count="1">
            <x v="18"/>
          </reference>
          <reference field="19" count="1" selected="0">
            <x v="16"/>
          </reference>
        </references>
      </pivotArea>
    </format>
    <format dxfId="758">
      <pivotArea dataOnly="0" labelOnly="1" outline="0" fieldPosition="0">
        <references count="3">
          <reference field="4" count="1" selected="0">
            <x v="10"/>
          </reference>
          <reference field="5" count="1">
            <x v="51"/>
          </reference>
          <reference field="19" count="1" selected="0">
            <x v="17"/>
          </reference>
        </references>
      </pivotArea>
    </format>
    <format dxfId="757">
      <pivotArea dataOnly="0" labelOnly="1" outline="0" fieldPosition="0">
        <references count="3">
          <reference field="4" count="1" selected="0">
            <x v="10"/>
          </reference>
          <reference field="5" count="1">
            <x v="52"/>
          </reference>
          <reference field="19" count="1" selected="0">
            <x v="18"/>
          </reference>
        </references>
      </pivotArea>
    </format>
    <format dxfId="756">
      <pivotArea dataOnly="0" labelOnly="1" outline="0" fieldPosition="0">
        <references count="3">
          <reference field="4" count="1" selected="0">
            <x v="10"/>
          </reference>
          <reference field="5" count="1">
            <x v="104"/>
          </reference>
          <reference field="19" count="1" selected="0">
            <x v="19"/>
          </reference>
        </references>
      </pivotArea>
    </format>
    <format dxfId="755">
      <pivotArea dataOnly="0" labelOnly="1" outline="0" fieldPosition="0">
        <references count="3">
          <reference field="4" count="1" selected="0">
            <x v="10"/>
          </reference>
          <reference field="5" count="1">
            <x v="64"/>
          </reference>
          <reference field="19" count="1" selected="0">
            <x v="20"/>
          </reference>
        </references>
      </pivotArea>
    </format>
    <format dxfId="754">
      <pivotArea dataOnly="0" labelOnly="1" outline="0" fieldPosition="0">
        <references count="3">
          <reference field="4" count="1" selected="0">
            <x v="10"/>
          </reference>
          <reference field="5" count="1">
            <x v="74"/>
          </reference>
          <reference field="19" count="1" selected="0">
            <x v="81"/>
          </reference>
        </references>
      </pivotArea>
    </format>
    <format dxfId="753">
      <pivotArea dataOnly="0" labelOnly="1" outline="0" fieldPosition="0">
        <references count="3">
          <reference field="4" count="1" selected="0">
            <x v="10"/>
          </reference>
          <reference field="5" count="1">
            <x v="131"/>
          </reference>
          <reference field="19" count="1" selected="0">
            <x v="130"/>
          </reference>
        </references>
      </pivotArea>
    </format>
    <format dxfId="752">
      <pivotArea outline="0" collapsedLevelsAreSubtotals="1" fieldPosition="0">
        <references count="3">
          <reference field="4" count="1" selected="0">
            <x v="11"/>
          </reference>
          <reference field="5" count="4" selected="0">
            <x v="58"/>
            <x v="59"/>
            <x v="127"/>
            <x v="128"/>
          </reference>
          <reference field="19" count="4" selected="0">
            <x v="97"/>
            <x v="98"/>
            <x v="125"/>
            <x v="126"/>
          </reference>
        </references>
      </pivotArea>
    </format>
    <format dxfId="751">
      <pivotArea dataOnly="0" labelOnly="1" outline="0" fieldPosition="0">
        <references count="1">
          <reference field="4" count="1">
            <x v="11"/>
          </reference>
        </references>
      </pivotArea>
    </format>
    <format dxfId="750">
      <pivotArea dataOnly="0" labelOnly="1" outline="0" fieldPosition="0">
        <references count="2">
          <reference field="4" count="1" selected="0">
            <x v="11"/>
          </reference>
          <reference field="19" count="4">
            <x v="97"/>
            <x v="98"/>
            <x v="125"/>
            <x v="126"/>
          </reference>
        </references>
      </pivotArea>
    </format>
    <format dxfId="749">
      <pivotArea dataOnly="0" labelOnly="1" outline="0" fieldPosition="0">
        <references count="3">
          <reference field="4" count="1" selected="0">
            <x v="11"/>
          </reference>
          <reference field="5" count="1">
            <x v="59"/>
          </reference>
          <reference field="19" count="1" selected="0">
            <x v="97"/>
          </reference>
        </references>
      </pivotArea>
    </format>
    <format dxfId="748">
      <pivotArea dataOnly="0" labelOnly="1" outline="0" fieldPosition="0">
        <references count="3">
          <reference field="4" count="1" selected="0">
            <x v="11"/>
          </reference>
          <reference field="5" count="1">
            <x v="58"/>
          </reference>
          <reference field="19" count="1" selected="0">
            <x v="98"/>
          </reference>
        </references>
      </pivotArea>
    </format>
    <format dxfId="747">
      <pivotArea dataOnly="0" labelOnly="1" outline="0" fieldPosition="0">
        <references count="3">
          <reference field="4" count="1" selected="0">
            <x v="11"/>
          </reference>
          <reference field="5" count="1">
            <x v="127"/>
          </reference>
          <reference field="19" count="1" selected="0">
            <x v="125"/>
          </reference>
        </references>
      </pivotArea>
    </format>
    <format dxfId="746">
      <pivotArea dataOnly="0" labelOnly="1" outline="0" fieldPosition="0">
        <references count="3">
          <reference field="4" count="1" selected="0">
            <x v="11"/>
          </reference>
          <reference field="5" count="1">
            <x v="128"/>
          </reference>
          <reference field="19" count="1" selected="0">
            <x v="126"/>
          </reference>
        </references>
      </pivotArea>
    </format>
    <format dxfId="745">
      <pivotArea outline="0" collapsedLevelsAreSubtotals="1" fieldPosition="0">
        <references count="3">
          <reference field="4" count="1" selected="0">
            <x v="12"/>
          </reference>
          <reference field="5" count="1" selected="0">
            <x v="63"/>
          </reference>
          <reference field="19" count="1" selected="0">
            <x v="103"/>
          </reference>
        </references>
      </pivotArea>
    </format>
    <format dxfId="744">
      <pivotArea dataOnly="0" labelOnly="1" outline="0" fieldPosition="0">
        <references count="1">
          <reference field="4" count="1">
            <x v="12"/>
          </reference>
        </references>
      </pivotArea>
    </format>
    <format dxfId="743">
      <pivotArea dataOnly="0" labelOnly="1" outline="0" fieldPosition="0">
        <references count="2">
          <reference field="4" count="1" selected="0">
            <x v="12"/>
          </reference>
          <reference field="19" count="1">
            <x v="103"/>
          </reference>
        </references>
      </pivotArea>
    </format>
    <format dxfId="742">
      <pivotArea dataOnly="0" labelOnly="1" outline="0" fieldPosition="0">
        <references count="3">
          <reference field="4" count="1" selected="0">
            <x v="12"/>
          </reference>
          <reference field="5" count="1">
            <x v="63"/>
          </reference>
          <reference field="19" count="1" selected="0">
            <x v="103"/>
          </reference>
        </references>
      </pivotArea>
    </format>
    <format dxfId="741">
      <pivotArea outline="0" collapsedLevelsAreSubtotals="1" fieldPosition="0">
        <references count="3">
          <reference field="4" count="1" selected="0">
            <x v="13"/>
          </reference>
          <reference field="5" count="2" selected="0">
            <x v="89"/>
            <x v="90"/>
          </reference>
          <reference field="19" count="2" selected="0">
            <x v="49"/>
            <x v="50"/>
          </reference>
        </references>
      </pivotArea>
    </format>
    <format dxfId="740">
      <pivotArea dataOnly="0" labelOnly="1" outline="0" fieldPosition="0">
        <references count="1">
          <reference field="4" count="1">
            <x v="13"/>
          </reference>
        </references>
      </pivotArea>
    </format>
    <format dxfId="739">
      <pivotArea dataOnly="0" labelOnly="1" outline="0" fieldPosition="0">
        <references count="2">
          <reference field="4" count="1" selected="0">
            <x v="13"/>
          </reference>
          <reference field="19" count="2">
            <x v="49"/>
            <x v="50"/>
          </reference>
        </references>
      </pivotArea>
    </format>
    <format dxfId="738">
      <pivotArea dataOnly="0" labelOnly="1" outline="0" fieldPosition="0">
        <references count="3">
          <reference field="4" count="1" selected="0">
            <x v="13"/>
          </reference>
          <reference field="5" count="1">
            <x v="89"/>
          </reference>
          <reference field="19" count="1" selected="0">
            <x v="49"/>
          </reference>
        </references>
      </pivotArea>
    </format>
    <format dxfId="737">
      <pivotArea dataOnly="0" labelOnly="1" outline="0" fieldPosition="0">
        <references count="3">
          <reference field="4" count="1" selected="0">
            <x v="13"/>
          </reference>
          <reference field="5" count="1">
            <x v="90"/>
          </reference>
          <reference field="19" count="1" selected="0">
            <x v="50"/>
          </reference>
        </references>
      </pivotArea>
    </format>
    <format dxfId="736">
      <pivotArea outline="0" collapsedLevelsAreSubtotals="1" fieldPosition="0">
        <references count="3">
          <reference field="4" count="1" selected="0">
            <x v="14"/>
          </reference>
          <reference field="5" count="22" selected="0">
            <x v="4"/>
            <x v="11"/>
            <x v="12"/>
            <x v="35"/>
            <x v="36"/>
            <x v="37"/>
            <x v="38"/>
            <x v="39"/>
            <x v="40"/>
            <x v="77"/>
            <x v="78"/>
            <x v="79"/>
            <x v="80"/>
            <x v="81"/>
            <x v="88"/>
            <x v="98"/>
            <x v="99"/>
            <x v="100"/>
            <x v="103"/>
            <x v="110"/>
            <x v="130"/>
            <x v="132"/>
          </reference>
          <reference field="19" count="22" selected="0">
            <x v="21"/>
            <x v="22"/>
            <x v="23"/>
            <x v="24"/>
            <x v="25"/>
            <x v="26"/>
            <x v="27"/>
            <x v="28"/>
            <x v="29"/>
            <x v="30"/>
            <x v="31"/>
            <x v="32"/>
            <x v="33"/>
            <x v="34"/>
            <x v="66"/>
            <x v="67"/>
            <x v="68"/>
            <x v="69"/>
            <x v="80"/>
            <x v="109"/>
            <x v="129"/>
            <x v="131"/>
          </reference>
        </references>
      </pivotArea>
    </format>
    <format dxfId="735">
      <pivotArea dataOnly="0" labelOnly="1" outline="0" fieldPosition="0">
        <references count="1">
          <reference field="4" count="1">
            <x v="14"/>
          </reference>
        </references>
      </pivotArea>
    </format>
    <format dxfId="734">
      <pivotArea dataOnly="0" labelOnly="1" outline="0" fieldPosition="0">
        <references count="2">
          <reference field="4" count="1" selected="0">
            <x v="14"/>
          </reference>
          <reference field="19" count="22">
            <x v="21"/>
            <x v="22"/>
            <x v="23"/>
            <x v="24"/>
            <x v="25"/>
            <x v="26"/>
            <x v="27"/>
            <x v="28"/>
            <x v="29"/>
            <x v="30"/>
            <x v="31"/>
            <x v="32"/>
            <x v="33"/>
            <x v="34"/>
            <x v="66"/>
            <x v="67"/>
            <x v="68"/>
            <x v="69"/>
            <x v="80"/>
            <x v="109"/>
            <x v="129"/>
            <x v="131"/>
          </reference>
        </references>
      </pivotArea>
    </format>
    <format dxfId="733">
      <pivotArea dataOnly="0" labelOnly="1" outline="0" fieldPosition="0">
        <references count="3">
          <reference field="4" count="1" selected="0">
            <x v="14"/>
          </reference>
          <reference field="5" count="1">
            <x v="79"/>
          </reference>
          <reference field="19" count="1" selected="0">
            <x v="21"/>
          </reference>
        </references>
      </pivotArea>
    </format>
    <format dxfId="732">
      <pivotArea dataOnly="0" labelOnly="1" outline="0" fieldPosition="0">
        <references count="3">
          <reference field="4" count="1" selected="0">
            <x v="14"/>
          </reference>
          <reference field="5" count="1">
            <x v="81"/>
          </reference>
          <reference field="19" count="1" selected="0">
            <x v="22"/>
          </reference>
        </references>
      </pivotArea>
    </format>
    <format dxfId="731">
      <pivotArea dataOnly="0" labelOnly="1" outline="0" fieldPosition="0">
        <references count="3">
          <reference field="4" count="1" selected="0">
            <x v="14"/>
          </reference>
          <reference field="5" count="1">
            <x v="35"/>
          </reference>
          <reference field="19" count="1" selected="0">
            <x v="23"/>
          </reference>
        </references>
      </pivotArea>
    </format>
    <format dxfId="730">
      <pivotArea dataOnly="0" labelOnly="1" outline="0" fieldPosition="0">
        <references count="3">
          <reference field="4" count="1" selected="0">
            <x v="14"/>
          </reference>
          <reference field="5" count="1">
            <x v="11"/>
          </reference>
          <reference field="19" count="1" selected="0">
            <x v="24"/>
          </reference>
        </references>
      </pivotArea>
    </format>
    <format dxfId="729">
      <pivotArea dataOnly="0" labelOnly="1" outline="0" fieldPosition="0">
        <references count="3">
          <reference field="4" count="1" selected="0">
            <x v="14"/>
          </reference>
          <reference field="5" count="1">
            <x v="38"/>
          </reference>
          <reference field="19" count="1" selected="0">
            <x v="25"/>
          </reference>
        </references>
      </pivotArea>
    </format>
    <format dxfId="728">
      <pivotArea dataOnly="0" labelOnly="1" outline="0" fieldPosition="0">
        <references count="3">
          <reference field="4" count="1" selected="0">
            <x v="14"/>
          </reference>
          <reference field="5" count="1">
            <x v="80"/>
          </reference>
          <reference field="19" count="1" selected="0">
            <x v="26"/>
          </reference>
        </references>
      </pivotArea>
    </format>
    <format dxfId="727">
      <pivotArea dataOnly="0" labelOnly="1" outline="0" fieldPosition="0">
        <references count="3">
          <reference field="4" count="1" selected="0">
            <x v="14"/>
          </reference>
          <reference field="5" count="1">
            <x v="37"/>
          </reference>
          <reference field="19" count="1" selected="0">
            <x v="27"/>
          </reference>
        </references>
      </pivotArea>
    </format>
    <format dxfId="726">
      <pivotArea dataOnly="0" labelOnly="1" outline="0" fieldPosition="0">
        <references count="3">
          <reference field="4" count="1" selected="0">
            <x v="14"/>
          </reference>
          <reference field="5" count="1">
            <x v="78"/>
          </reference>
          <reference field="19" count="1" selected="0">
            <x v="28"/>
          </reference>
        </references>
      </pivotArea>
    </format>
    <format dxfId="725">
      <pivotArea dataOnly="0" labelOnly="1" outline="0" fieldPosition="0">
        <references count="3">
          <reference field="4" count="1" selected="0">
            <x v="14"/>
          </reference>
          <reference field="5" count="1">
            <x v="100"/>
          </reference>
          <reference field="19" count="1" selected="0">
            <x v="29"/>
          </reference>
        </references>
      </pivotArea>
    </format>
    <format dxfId="724">
      <pivotArea dataOnly="0" labelOnly="1" outline="0" fieldPosition="0">
        <references count="3">
          <reference field="4" count="1" selected="0">
            <x v="14"/>
          </reference>
          <reference field="5" count="1">
            <x v="98"/>
          </reference>
          <reference field="19" count="1" selected="0">
            <x v="30"/>
          </reference>
        </references>
      </pivotArea>
    </format>
    <format dxfId="723">
      <pivotArea dataOnly="0" labelOnly="1" outline="0" fieldPosition="0">
        <references count="3">
          <reference field="4" count="1" selected="0">
            <x v="14"/>
          </reference>
          <reference field="5" count="1">
            <x v="99"/>
          </reference>
          <reference field="19" count="1" selected="0">
            <x v="31"/>
          </reference>
        </references>
      </pivotArea>
    </format>
    <format dxfId="722">
      <pivotArea dataOnly="0" labelOnly="1" outline="0" fieldPosition="0">
        <references count="3">
          <reference field="4" count="1" selected="0">
            <x v="14"/>
          </reference>
          <reference field="5" count="1">
            <x v="40"/>
          </reference>
          <reference field="19" count="1" selected="0">
            <x v="32"/>
          </reference>
        </references>
      </pivotArea>
    </format>
    <format dxfId="721">
      <pivotArea dataOnly="0" labelOnly="1" outline="0" fieldPosition="0">
        <references count="3">
          <reference field="4" count="1" selected="0">
            <x v="14"/>
          </reference>
          <reference field="5" count="1">
            <x v="39"/>
          </reference>
          <reference field="19" count="1" selected="0">
            <x v="33"/>
          </reference>
        </references>
      </pivotArea>
    </format>
    <format dxfId="720">
      <pivotArea dataOnly="0" labelOnly="1" outline="0" fieldPosition="0">
        <references count="3">
          <reference field="4" count="1" selected="0">
            <x v="14"/>
          </reference>
          <reference field="5" count="1">
            <x v="88"/>
          </reference>
          <reference field="19" count="1" selected="0">
            <x v="34"/>
          </reference>
        </references>
      </pivotArea>
    </format>
    <format dxfId="719">
      <pivotArea dataOnly="0" labelOnly="1" outline="0" fieldPosition="0">
        <references count="3">
          <reference field="4" count="1" selected="0">
            <x v="14"/>
          </reference>
          <reference field="5" count="1">
            <x v="4"/>
          </reference>
          <reference field="19" count="1" selected="0">
            <x v="66"/>
          </reference>
        </references>
      </pivotArea>
    </format>
    <format dxfId="718">
      <pivotArea dataOnly="0" labelOnly="1" outline="0" fieldPosition="0">
        <references count="3">
          <reference field="4" count="1" selected="0">
            <x v="14"/>
          </reference>
          <reference field="5" count="1">
            <x v="12"/>
          </reference>
          <reference field="19" count="1" selected="0">
            <x v="67"/>
          </reference>
        </references>
      </pivotArea>
    </format>
    <format dxfId="717">
      <pivotArea dataOnly="0" labelOnly="1" outline="0" fieldPosition="0">
        <references count="3">
          <reference field="4" count="1" selected="0">
            <x v="14"/>
          </reference>
          <reference field="5" count="1">
            <x v="103"/>
          </reference>
          <reference field="19" count="1" selected="0">
            <x v="68"/>
          </reference>
        </references>
      </pivotArea>
    </format>
    <format dxfId="716">
      <pivotArea dataOnly="0" labelOnly="1" outline="0" fieldPosition="0">
        <references count="3">
          <reference field="4" count="1" selected="0">
            <x v="14"/>
          </reference>
          <reference field="5" count="1">
            <x v="36"/>
          </reference>
          <reference field="19" count="1" selected="0">
            <x v="69"/>
          </reference>
        </references>
      </pivotArea>
    </format>
    <format dxfId="715">
      <pivotArea dataOnly="0" labelOnly="1" outline="0" fieldPosition="0">
        <references count="3">
          <reference field="4" count="1" selected="0">
            <x v="14"/>
          </reference>
          <reference field="5" count="1">
            <x v="77"/>
          </reference>
          <reference field="19" count="1" selected="0">
            <x v="80"/>
          </reference>
        </references>
      </pivotArea>
    </format>
    <format dxfId="714">
      <pivotArea dataOnly="0" labelOnly="1" outline="0" fieldPosition="0">
        <references count="3">
          <reference field="4" count="1" selected="0">
            <x v="14"/>
          </reference>
          <reference field="5" count="1">
            <x v="110"/>
          </reference>
          <reference field="19" count="1" selected="0">
            <x v="109"/>
          </reference>
        </references>
      </pivotArea>
    </format>
    <format dxfId="713">
      <pivotArea dataOnly="0" labelOnly="1" outline="0" fieldPosition="0">
        <references count="3">
          <reference field="4" count="1" selected="0">
            <x v="14"/>
          </reference>
          <reference field="5" count="1">
            <x v="130"/>
          </reference>
          <reference field="19" count="1" selected="0">
            <x v="129"/>
          </reference>
        </references>
      </pivotArea>
    </format>
    <format dxfId="712">
      <pivotArea dataOnly="0" labelOnly="1" outline="0" fieldPosition="0">
        <references count="3">
          <reference field="4" count="1" selected="0">
            <x v="14"/>
          </reference>
          <reference field="5" count="1">
            <x v="132"/>
          </reference>
          <reference field="19" count="1" selected="0">
            <x v="131"/>
          </reference>
        </references>
      </pivotArea>
    </format>
    <format dxfId="711">
      <pivotArea outline="0" collapsedLevelsAreSubtotals="1" fieldPosition="0">
        <references count="3">
          <reference field="4" count="1" selected="0">
            <x v="15"/>
          </reference>
          <reference field="5" count="1" selected="0">
            <x v="116"/>
          </reference>
          <reference field="19" count="1" selected="0">
            <x v="0"/>
          </reference>
        </references>
      </pivotArea>
    </format>
    <format dxfId="710">
      <pivotArea dataOnly="0" labelOnly="1" outline="0" fieldPosition="0">
        <references count="1">
          <reference field="4" count="1">
            <x v="15"/>
          </reference>
        </references>
      </pivotArea>
    </format>
    <format dxfId="709">
      <pivotArea dataOnly="0" labelOnly="1" outline="0" fieldPosition="0">
        <references count="2">
          <reference field="4" count="1" selected="0">
            <x v="15"/>
          </reference>
          <reference field="19" count="1">
            <x v="0"/>
          </reference>
        </references>
      </pivotArea>
    </format>
    <format dxfId="708">
      <pivotArea dataOnly="0" labelOnly="1" outline="0" fieldPosition="0">
        <references count="3">
          <reference field="4" count="1" selected="0">
            <x v="15"/>
          </reference>
          <reference field="5" count="1">
            <x v="116"/>
          </reference>
          <reference field="19" count="1" selected="0">
            <x v="0"/>
          </reference>
        </references>
      </pivotArea>
    </format>
    <format dxfId="707">
      <pivotArea grandRow="1" outline="0" collapsedLevelsAreSubtotals="1" fieldPosition="0"/>
    </format>
    <format dxfId="706">
      <pivotArea dataOnly="0" labelOnly="1" grandRow="1" outline="0" fieldPosition="0"/>
    </format>
    <format dxfId="705">
      <pivotArea type="all" dataOnly="0" outline="0" fieldPosition="0"/>
    </format>
    <format dxfId="704">
      <pivotArea dataOnly="0" labelOnly="1" outline="0" fieldPosition="0">
        <references count="1">
          <reference field="4" count="0"/>
        </references>
      </pivotArea>
    </format>
    <format dxfId="703">
      <pivotArea dataOnly="0" labelOnly="1" grandRow="1" outline="0" offset="A256" fieldPosition="0"/>
    </format>
    <format dxfId="702">
      <pivotArea field="5" type="button" dataOnly="0" labelOnly="1" outline="0" axis="axisRow" fieldPosition="2"/>
    </format>
    <format dxfId="701">
      <pivotArea dataOnly="0" labelOnly="1" grandRow="1" outline="0" offset="IV256" fieldPosition="0"/>
    </format>
    <format dxfId="700">
      <pivotArea dataOnly="0" labelOnly="1" outline="0" fieldPosition="0">
        <references count="3">
          <reference field="4" count="1" selected="0">
            <x v="0"/>
          </reference>
          <reference field="5" count="1">
            <x v="83"/>
          </reference>
          <reference field="19" count="1" selected="0">
            <x v="36"/>
          </reference>
        </references>
      </pivotArea>
    </format>
    <format dxfId="699">
      <pivotArea dataOnly="0" labelOnly="1" outline="0" fieldPosition="0">
        <references count="3">
          <reference field="4" count="1" selected="0">
            <x v="0"/>
          </reference>
          <reference field="5" count="1">
            <x v="30"/>
          </reference>
          <reference field="19" count="1" selected="0">
            <x v="37"/>
          </reference>
        </references>
      </pivotArea>
    </format>
    <format dxfId="698">
      <pivotArea dataOnly="0" labelOnly="1" outline="0" fieldPosition="0">
        <references count="3">
          <reference field="4" count="1" selected="0">
            <x v="0"/>
          </reference>
          <reference field="5" count="1">
            <x v="1"/>
          </reference>
          <reference field="19" count="1" selected="0">
            <x v="38"/>
          </reference>
        </references>
      </pivotArea>
    </format>
    <format dxfId="697">
      <pivotArea dataOnly="0" labelOnly="1" outline="0" fieldPosition="0">
        <references count="3">
          <reference field="4" count="1" selected="0">
            <x v="0"/>
          </reference>
          <reference field="5" count="1">
            <x v="16"/>
          </reference>
          <reference field="19" count="1" selected="0">
            <x v="39"/>
          </reference>
        </references>
      </pivotArea>
    </format>
    <format dxfId="696">
      <pivotArea dataOnly="0" labelOnly="1" outline="0" fieldPosition="0">
        <references count="3">
          <reference field="4" count="1" selected="0">
            <x v="0"/>
          </reference>
          <reference field="5" count="1">
            <x v="105"/>
          </reference>
          <reference field="19" count="1" selected="0">
            <x v="40"/>
          </reference>
        </references>
      </pivotArea>
    </format>
    <format dxfId="695">
      <pivotArea dataOnly="0" labelOnly="1" outline="0" fieldPosition="0">
        <references count="3">
          <reference field="4" count="1" selected="0">
            <x v="0"/>
          </reference>
          <reference field="5" count="1">
            <x v="65"/>
          </reference>
          <reference field="19" count="1" selected="0">
            <x v="41"/>
          </reference>
        </references>
      </pivotArea>
    </format>
    <format dxfId="694">
      <pivotArea dataOnly="0" labelOnly="1" outline="0" fieldPosition="0">
        <references count="3">
          <reference field="4" count="1" selected="0">
            <x v="0"/>
          </reference>
          <reference field="5" count="1">
            <x v="93"/>
          </reference>
          <reference field="19" count="1" selected="0">
            <x v="42"/>
          </reference>
        </references>
      </pivotArea>
    </format>
    <format dxfId="693">
      <pivotArea dataOnly="0" labelOnly="1" outline="0" fieldPosition="0">
        <references count="3">
          <reference field="4" count="1" selected="0">
            <x v="0"/>
          </reference>
          <reference field="5" count="1">
            <x v="76"/>
          </reference>
          <reference field="19" count="1" selected="0">
            <x v="92"/>
          </reference>
        </references>
      </pivotArea>
    </format>
    <format dxfId="692">
      <pivotArea dataOnly="0" labelOnly="1" outline="0" fieldPosition="0">
        <references count="3">
          <reference field="4" count="1" selected="0">
            <x v="0"/>
          </reference>
          <reference field="5" count="1">
            <x v="111"/>
          </reference>
          <reference field="19" count="1" selected="0">
            <x v="110"/>
          </reference>
        </references>
      </pivotArea>
    </format>
    <format dxfId="691">
      <pivotArea dataOnly="0" labelOnly="1" outline="0" fieldPosition="0">
        <references count="3">
          <reference field="4" count="1" selected="0">
            <x v="0"/>
          </reference>
          <reference field="5" count="1">
            <x v="114"/>
          </reference>
          <reference field="19" count="1" selected="0">
            <x v="113"/>
          </reference>
        </references>
      </pivotArea>
    </format>
    <format dxfId="690">
      <pivotArea dataOnly="0" labelOnly="1" outline="0" fieldPosition="0">
        <references count="3">
          <reference field="4" count="1" selected="0">
            <x v="1"/>
          </reference>
          <reference field="5" count="1">
            <x v="6"/>
          </reference>
          <reference field="19" count="1" selected="0">
            <x v="35"/>
          </reference>
        </references>
      </pivotArea>
    </format>
    <format dxfId="689">
      <pivotArea dataOnly="0" labelOnly="1" outline="0" fieldPosition="0">
        <references count="3">
          <reference field="4" count="1" selected="0">
            <x v="1"/>
          </reference>
          <reference field="5" count="1">
            <x v="28"/>
          </reference>
          <reference field="19" count="1" selected="0">
            <x v="93"/>
          </reference>
        </references>
      </pivotArea>
    </format>
    <format dxfId="688">
      <pivotArea dataOnly="0" labelOnly="1" outline="0" fieldPosition="0">
        <references count="3">
          <reference field="4" count="1" selected="0">
            <x v="1"/>
          </reference>
          <reference field="5" count="1">
            <x v="117"/>
          </reference>
          <reference field="19" count="1" selected="0">
            <x v="115"/>
          </reference>
        </references>
      </pivotArea>
    </format>
    <format dxfId="687">
      <pivotArea dataOnly="0" labelOnly="1" outline="0" fieldPosition="0">
        <references count="3">
          <reference field="4" count="1" selected="0">
            <x v="2"/>
          </reference>
          <reference field="5" count="2">
            <x v="102"/>
            <x v="116"/>
          </reference>
          <reference field="19" count="1" selected="0">
            <x v="0"/>
          </reference>
        </references>
      </pivotArea>
    </format>
    <format dxfId="686">
      <pivotArea dataOnly="0" labelOnly="1" outline="0" fieldPosition="0">
        <references count="3">
          <reference field="4" count="1" selected="0">
            <x v="2"/>
          </reference>
          <reference field="5" count="1">
            <x v="53"/>
          </reference>
          <reference field="19" count="1" selected="0">
            <x v="61"/>
          </reference>
        </references>
      </pivotArea>
    </format>
    <format dxfId="685">
      <pivotArea dataOnly="0" labelOnly="1" outline="0" fieldPosition="0">
        <references count="3">
          <reference field="4" count="1" selected="0">
            <x v="2"/>
          </reference>
          <reference field="5" count="1">
            <x v="66"/>
          </reference>
          <reference field="19" count="1" selected="0">
            <x v="63"/>
          </reference>
        </references>
      </pivotArea>
    </format>
    <format dxfId="684">
      <pivotArea dataOnly="0" labelOnly="1" outline="0" fieldPosition="0">
        <references count="3">
          <reference field="4" count="1" selected="0">
            <x v="2"/>
          </reference>
          <reference field="5" count="1">
            <x v="106"/>
          </reference>
          <reference field="19" count="1" selected="0">
            <x v="64"/>
          </reference>
        </references>
      </pivotArea>
    </format>
    <format dxfId="683">
      <pivotArea dataOnly="0" labelOnly="1" outline="0" fieldPosition="0">
        <references count="3">
          <reference field="4" count="1" selected="0">
            <x v="2"/>
          </reference>
          <reference field="5" count="1">
            <x v="5"/>
          </reference>
          <reference field="19" count="1" selected="0">
            <x v="65"/>
          </reference>
        </references>
      </pivotArea>
    </format>
    <format dxfId="682">
      <pivotArea dataOnly="0" labelOnly="1" outline="0" fieldPosition="0">
        <references count="3">
          <reference field="4" count="1" selected="0">
            <x v="2"/>
          </reference>
          <reference field="5" count="1">
            <x v="3"/>
          </reference>
          <reference field="19" count="1" selected="0">
            <x v="82"/>
          </reference>
        </references>
      </pivotArea>
    </format>
    <format dxfId="681">
      <pivotArea dataOnly="0" labelOnly="1" outline="0" fieldPosition="0">
        <references count="3">
          <reference field="4" count="1" selected="0">
            <x v="2"/>
          </reference>
          <reference field="5" count="1">
            <x v="7"/>
          </reference>
          <reference field="19" count="1" selected="0">
            <x v="83"/>
          </reference>
        </references>
      </pivotArea>
    </format>
    <format dxfId="680">
      <pivotArea dataOnly="0" labelOnly="1" outline="0" fieldPosition="0">
        <references count="3">
          <reference field="4" count="1" selected="0">
            <x v="2"/>
          </reference>
          <reference field="5" count="1">
            <x v="2"/>
          </reference>
          <reference field="19" count="1" selected="0">
            <x v="84"/>
          </reference>
        </references>
      </pivotArea>
    </format>
    <format dxfId="679">
      <pivotArea dataOnly="0" labelOnly="1" outline="0" fieldPosition="0">
        <references count="3">
          <reference field="4" count="1" selected="0">
            <x v="2"/>
          </reference>
          <reference field="5" count="1">
            <x v="0"/>
          </reference>
          <reference field="19" count="1" selected="0">
            <x v="85"/>
          </reference>
        </references>
      </pivotArea>
    </format>
    <format dxfId="678">
      <pivotArea dataOnly="0" labelOnly="1" outline="0" fieldPosition="0">
        <references count="3">
          <reference field="4" count="1" selected="0">
            <x v="2"/>
          </reference>
          <reference field="5" count="1">
            <x v="29"/>
          </reference>
          <reference field="19" count="1" selected="0">
            <x v="86"/>
          </reference>
        </references>
      </pivotArea>
    </format>
    <format dxfId="677">
      <pivotArea dataOnly="0" labelOnly="1" outline="0" fieldPosition="0">
        <references count="3">
          <reference field="4" count="1" selected="0">
            <x v="2"/>
          </reference>
          <reference field="5" count="1">
            <x v="82"/>
          </reference>
          <reference field="19" count="1" selected="0">
            <x v="87"/>
          </reference>
        </references>
      </pivotArea>
    </format>
    <format dxfId="676">
      <pivotArea dataOnly="0" labelOnly="1" outline="0" fieldPosition="0">
        <references count="3">
          <reference field="4" count="1" selected="0">
            <x v="2"/>
          </reference>
          <reference field="5" count="1">
            <x v="85"/>
          </reference>
          <reference field="19" count="1" selected="0">
            <x v="88"/>
          </reference>
        </references>
      </pivotArea>
    </format>
    <format dxfId="675">
      <pivotArea dataOnly="0" labelOnly="1" outline="0" fieldPosition="0">
        <references count="3">
          <reference field="4" count="1" selected="0">
            <x v="2"/>
          </reference>
          <reference field="5" count="1">
            <x v="101"/>
          </reference>
          <reference field="19" count="1" selected="0">
            <x v="89"/>
          </reference>
        </references>
      </pivotArea>
    </format>
    <format dxfId="674">
      <pivotArea dataOnly="0" labelOnly="1" outline="0" fieldPosition="0">
        <references count="3">
          <reference field="4" count="1" selected="0">
            <x v="2"/>
          </reference>
          <reference field="5" count="1">
            <x v="13"/>
          </reference>
          <reference field="19" count="1" selected="0">
            <x v="90"/>
          </reference>
        </references>
      </pivotArea>
    </format>
    <format dxfId="673">
      <pivotArea dataOnly="0" labelOnly="1" outline="0" fieldPosition="0">
        <references count="3">
          <reference field="4" count="1" selected="0">
            <x v="2"/>
          </reference>
          <reference field="5" count="1">
            <x v="62"/>
          </reference>
          <reference field="19" count="1" selected="0">
            <x v="91"/>
          </reference>
        </references>
      </pivotArea>
    </format>
    <format dxfId="672">
      <pivotArea dataOnly="0" labelOnly="1" outline="0" fieldPosition="0">
        <references count="3">
          <reference field="4" count="1" selected="0">
            <x v="2"/>
          </reference>
          <reference field="5" count="1">
            <x v="113"/>
          </reference>
          <reference field="19" count="1" selected="0">
            <x v="112"/>
          </reference>
        </references>
      </pivotArea>
    </format>
    <format dxfId="671">
      <pivotArea dataOnly="0" labelOnly="1" outline="0" fieldPosition="0">
        <references count="3">
          <reference field="4" count="1" selected="0">
            <x v="2"/>
          </reference>
          <reference field="5" count="1">
            <x v="121"/>
          </reference>
          <reference field="19" count="1" selected="0">
            <x v="119"/>
          </reference>
        </references>
      </pivotArea>
    </format>
    <format dxfId="670">
      <pivotArea dataOnly="0" labelOnly="1" outline="0" fieldPosition="0">
        <references count="3">
          <reference field="4" count="1" selected="0">
            <x v="2"/>
          </reference>
          <reference field="5" count="1">
            <x v="122"/>
          </reference>
          <reference field="19" count="1" selected="0">
            <x v="120"/>
          </reference>
        </references>
      </pivotArea>
    </format>
    <format dxfId="669">
      <pivotArea dataOnly="0" labelOnly="1" outline="0" fieldPosition="0">
        <references count="3">
          <reference field="4" count="1" selected="0">
            <x v="3"/>
          </reference>
          <reference field="5" count="1">
            <x v="60"/>
          </reference>
          <reference field="19" count="1" selected="0">
            <x v="100"/>
          </reference>
        </references>
      </pivotArea>
    </format>
    <format dxfId="668">
      <pivotArea dataOnly="0" labelOnly="1" outline="0" fieldPosition="0">
        <references count="3">
          <reference field="4" count="1" selected="0">
            <x v="3"/>
          </reference>
          <reference field="5" count="1">
            <x v="20"/>
          </reference>
          <reference field="19" count="1" selected="0">
            <x v="104"/>
          </reference>
        </references>
      </pivotArea>
    </format>
    <format dxfId="667">
      <pivotArea dataOnly="0" labelOnly="1" outline="0" fieldPosition="0">
        <references count="3">
          <reference field="4" count="1" selected="0">
            <x v="3"/>
          </reference>
          <reference field="5" count="1">
            <x v="21"/>
          </reference>
          <reference field="19" count="1" selected="0">
            <x v="105"/>
          </reference>
        </references>
      </pivotArea>
    </format>
    <format dxfId="666">
      <pivotArea dataOnly="0" labelOnly="1" outline="0" fieldPosition="0">
        <references count="3">
          <reference field="4" count="1" selected="0">
            <x v="3"/>
          </reference>
          <reference field="5" count="1">
            <x v="119"/>
          </reference>
          <reference field="19" count="1" selected="0">
            <x v="117"/>
          </reference>
        </references>
      </pivotArea>
    </format>
    <format dxfId="665">
      <pivotArea dataOnly="0" labelOnly="1" outline="0" fieldPosition="0">
        <references count="3">
          <reference field="4" count="1" selected="0">
            <x v="3"/>
          </reference>
          <reference field="5" count="1">
            <x v="124"/>
          </reference>
          <reference field="19" count="1" selected="0">
            <x v="122"/>
          </reference>
        </references>
      </pivotArea>
    </format>
    <format dxfId="664">
      <pivotArea dataOnly="0" labelOnly="1" outline="0" fieldPosition="0">
        <references count="3">
          <reference field="4" count="1" selected="0">
            <x v="3"/>
          </reference>
          <reference field="5" count="1">
            <x v="129"/>
          </reference>
          <reference field="19" count="1" selected="0">
            <x v="127"/>
          </reference>
        </references>
      </pivotArea>
    </format>
    <format dxfId="663">
      <pivotArea dataOnly="0" labelOnly="1" outline="0" fieldPosition="0">
        <references count="3">
          <reference field="4" count="1" selected="0">
            <x v="3"/>
          </reference>
          <reference field="5" count="1">
            <x v="133"/>
          </reference>
          <reference field="19" count="1" selected="0">
            <x v="128"/>
          </reference>
        </references>
      </pivotArea>
    </format>
    <format dxfId="662">
      <pivotArea dataOnly="0" labelOnly="1" outline="0" fieldPosition="0">
        <references count="3">
          <reference field="4" count="1" selected="0">
            <x v="4"/>
          </reference>
          <reference field="5" count="1">
            <x v="49"/>
          </reference>
          <reference field="19" count="1" selected="0">
            <x v="48"/>
          </reference>
        </references>
      </pivotArea>
    </format>
    <format dxfId="661">
      <pivotArea dataOnly="0" labelOnly="1" outline="0" fieldPosition="0">
        <references count="3">
          <reference field="4" count="1" selected="0">
            <x v="4"/>
          </reference>
          <reference field="5" count="1">
            <x v="25"/>
          </reference>
          <reference field="19" count="1" selected="0">
            <x v="74"/>
          </reference>
        </references>
      </pivotArea>
    </format>
    <format dxfId="660">
      <pivotArea dataOnly="0" labelOnly="1" outline="0" fieldPosition="0">
        <references count="3">
          <reference field="4" count="1" selected="0">
            <x v="4"/>
          </reference>
          <reference field="5" count="1">
            <x v="45"/>
          </reference>
          <reference field="19" count="1" selected="0">
            <x v="76"/>
          </reference>
        </references>
      </pivotArea>
    </format>
    <format dxfId="659">
      <pivotArea dataOnly="0" labelOnly="1" outline="0" fieldPosition="0">
        <references count="3">
          <reference field="4" count="1" selected="0">
            <x v="4"/>
          </reference>
          <reference field="5" count="1">
            <x v="44"/>
          </reference>
          <reference field="19" count="1" selected="0">
            <x v="77"/>
          </reference>
        </references>
      </pivotArea>
    </format>
    <format dxfId="658">
      <pivotArea dataOnly="0" labelOnly="1" outline="0" fieldPosition="0">
        <references count="3">
          <reference field="4" count="1" selected="0">
            <x v="4"/>
          </reference>
          <reference field="5" count="1">
            <x v="34"/>
          </reference>
          <reference field="19" count="1" selected="0">
            <x v="78"/>
          </reference>
        </references>
      </pivotArea>
    </format>
    <format dxfId="657">
      <pivotArea dataOnly="0" labelOnly="1" outline="0" fieldPosition="0">
        <references count="3">
          <reference field="4" count="1" selected="0">
            <x v="4"/>
          </reference>
          <reference field="5" count="1">
            <x v="107"/>
          </reference>
          <reference field="19" count="1" selected="0">
            <x v="106"/>
          </reference>
        </references>
      </pivotArea>
    </format>
    <format dxfId="656">
      <pivotArea dataOnly="0" labelOnly="1" outline="0" fieldPosition="0">
        <references count="3">
          <reference field="4" count="1" selected="0">
            <x v="4"/>
          </reference>
          <reference field="5" count="1">
            <x v="109"/>
          </reference>
          <reference field="19" count="1" selected="0">
            <x v="108"/>
          </reference>
        </references>
      </pivotArea>
    </format>
    <format dxfId="655">
      <pivotArea dataOnly="0" labelOnly="1" outline="0" fieldPosition="0">
        <references count="3">
          <reference field="4" count="1" selected="0">
            <x v="4"/>
          </reference>
          <reference field="5" count="1">
            <x v="118"/>
          </reference>
          <reference field="19" count="1" selected="0">
            <x v="116"/>
          </reference>
        </references>
      </pivotArea>
    </format>
    <format dxfId="654">
      <pivotArea dataOnly="0" labelOnly="1" outline="0" fieldPosition="0">
        <references count="3">
          <reference field="4" count="1" selected="0">
            <x v="4"/>
          </reference>
          <reference field="5" count="1">
            <x v="120"/>
          </reference>
          <reference field="19" count="1" selected="0">
            <x v="118"/>
          </reference>
        </references>
      </pivotArea>
    </format>
    <format dxfId="653">
      <pivotArea dataOnly="0" labelOnly="1" outline="0" fieldPosition="0">
        <references count="3">
          <reference field="4" count="1" selected="0">
            <x v="5"/>
          </reference>
          <reference field="5" count="1">
            <x v="47"/>
          </reference>
          <reference field="19" count="1" selected="0">
            <x v="101"/>
          </reference>
        </references>
      </pivotArea>
    </format>
    <format dxfId="652">
      <pivotArea dataOnly="0" labelOnly="1" outline="0" fieldPosition="0">
        <references count="3">
          <reference field="4" count="1" selected="0">
            <x v="5"/>
          </reference>
          <reference field="5" count="1">
            <x v="14"/>
          </reference>
          <reference field="19" count="1" selected="0">
            <x v="102"/>
          </reference>
        </references>
      </pivotArea>
    </format>
    <format dxfId="651">
      <pivotArea dataOnly="0" labelOnly="1" outline="0" fieldPosition="0">
        <references count="3">
          <reference field="4" count="1" selected="0">
            <x v="5"/>
          </reference>
          <reference field="5" count="1">
            <x v="134"/>
          </reference>
          <reference field="19" count="1" selected="0">
            <x v="132"/>
          </reference>
        </references>
      </pivotArea>
    </format>
    <format dxfId="650">
      <pivotArea dataOnly="0" labelOnly="1" outline="0" fieldPosition="0">
        <references count="3">
          <reference field="4" count="1" selected="0">
            <x v="6"/>
          </reference>
          <reference field="5" count="1">
            <x v="48"/>
          </reference>
          <reference field="19" count="1" selected="0">
            <x v="56"/>
          </reference>
        </references>
      </pivotArea>
    </format>
    <format dxfId="649">
      <pivotArea dataOnly="0" labelOnly="1" outline="0" fieldPosition="0">
        <references count="3">
          <reference field="4" count="1" selected="0">
            <x v="6"/>
          </reference>
          <reference field="5" count="1">
            <x v="23"/>
          </reference>
          <reference field="19" count="1" selected="0">
            <x v="57"/>
          </reference>
        </references>
      </pivotArea>
    </format>
    <format dxfId="648">
      <pivotArea dataOnly="0" labelOnly="1" outline="0" fieldPosition="0">
        <references count="3">
          <reference field="4" count="1" selected="0">
            <x v="6"/>
          </reference>
          <reference field="5" count="1">
            <x v="67"/>
          </reference>
          <reference field="19" count="1" selected="0">
            <x v="58"/>
          </reference>
        </references>
      </pivotArea>
    </format>
    <format dxfId="647">
      <pivotArea dataOnly="0" labelOnly="1" outline="0" fieldPosition="0">
        <references count="3">
          <reference field="4" count="1" selected="0">
            <x v="7"/>
          </reference>
          <reference field="5" count="1">
            <x v="92"/>
          </reference>
          <reference field="19" count="1" selected="0">
            <x v="59"/>
          </reference>
        </references>
      </pivotArea>
    </format>
    <format dxfId="646">
      <pivotArea dataOnly="0" labelOnly="1" outline="0" fieldPosition="0">
        <references count="3">
          <reference field="4" count="1" selected="0">
            <x v="7"/>
          </reference>
          <reference field="5" count="1">
            <x v="68"/>
          </reference>
          <reference field="19" count="1" selected="0">
            <x v="79"/>
          </reference>
        </references>
      </pivotArea>
    </format>
    <format dxfId="645">
      <pivotArea dataOnly="0" labelOnly="1" outline="0" fieldPosition="0">
        <references count="3">
          <reference field="4" count="1" selected="0">
            <x v="8"/>
          </reference>
          <reference field="5" count="1">
            <x v="54"/>
          </reference>
          <reference field="19" count="1" selected="0">
            <x v="43"/>
          </reference>
        </references>
      </pivotArea>
    </format>
    <format dxfId="644">
      <pivotArea dataOnly="0" labelOnly="1" outline="0" fieldPosition="0">
        <references count="3">
          <reference field="4" count="1" selected="0">
            <x v="8"/>
          </reference>
          <reference field="5" count="1">
            <x v="46"/>
          </reference>
          <reference field="19" count="1" selected="0">
            <x v="45"/>
          </reference>
        </references>
      </pivotArea>
    </format>
    <format dxfId="643">
      <pivotArea dataOnly="0" labelOnly="1" outline="0" fieldPosition="0">
        <references count="3">
          <reference field="4" count="1" selected="0">
            <x v="8"/>
          </reference>
          <reference field="5" count="1">
            <x v="71"/>
          </reference>
          <reference field="19" count="1" selected="0">
            <x v="46"/>
          </reference>
        </references>
      </pivotArea>
    </format>
    <format dxfId="642">
      <pivotArea dataOnly="0" labelOnly="1" outline="0" fieldPosition="0">
        <references count="3">
          <reference field="4" count="1" selected="0">
            <x v="8"/>
          </reference>
          <reference field="5" count="1">
            <x v="42"/>
          </reference>
          <reference field="19" count="1" selected="0">
            <x v="47"/>
          </reference>
        </references>
      </pivotArea>
    </format>
    <format dxfId="641">
      <pivotArea dataOnly="0" labelOnly="1" outline="0" fieldPosition="0">
        <references count="3">
          <reference field="4" count="1" selected="0">
            <x v="8"/>
          </reference>
          <reference field="5" count="1">
            <x v="32"/>
          </reference>
          <reference field="19" count="1" selected="0">
            <x v="51"/>
          </reference>
        </references>
      </pivotArea>
    </format>
    <format dxfId="640">
      <pivotArea dataOnly="0" labelOnly="1" outline="0" fieldPosition="0">
        <references count="3">
          <reference field="4" count="1" selected="0">
            <x v="8"/>
          </reference>
          <reference field="5" count="1">
            <x v="33"/>
          </reference>
          <reference field="19" count="1" selected="0">
            <x v="52"/>
          </reference>
        </references>
      </pivotArea>
    </format>
    <format dxfId="639">
      <pivotArea dataOnly="0" labelOnly="1" outline="0" fieldPosition="0">
        <references count="3">
          <reference field="4" count="1" selected="0">
            <x v="8"/>
          </reference>
          <reference field="5" count="1">
            <x v="31"/>
          </reference>
          <reference field="19" count="1" selected="0">
            <x v="53"/>
          </reference>
        </references>
      </pivotArea>
    </format>
    <format dxfId="638">
      <pivotArea dataOnly="0" labelOnly="1" outline="0" fieldPosition="0">
        <references count="3">
          <reference field="4" count="1" selected="0">
            <x v="8"/>
          </reference>
          <reference field="5" count="1">
            <x v="73"/>
          </reference>
          <reference field="19" count="1" selected="0">
            <x v="54"/>
          </reference>
        </references>
      </pivotArea>
    </format>
    <format dxfId="637">
      <pivotArea dataOnly="0" labelOnly="1" outline="0" fieldPosition="0">
        <references count="3">
          <reference field="4" count="1" selected="0">
            <x v="8"/>
          </reference>
          <reference field="5" count="1">
            <x v="86"/>
          </reference>
          <reference field="19" count="1" selected="0">
            <x v="55"/>
          </reference>
        </references>
      </pivotArea>
    </format>
    <format dxfId="636">
      <pivotArea dataOnly="0" labelOnly="1" outline="0" fieldPosition="0">
        <references count="3">
          <reference field="4" count="1" selected="0">
            <x v="8"/>
          </reference>
          <reference field="5" count="1">
            <x v="19"/>
          </reference>
          <reference field="19" count="1" selected="0">
            <x v="70"/>
          </reference>
        </references>
      </pivotArea>
    </format>
    <format dxfId="635">
      <pivotArea dataOnly="0" labelOnly="1" outline="0" fieldPosition="0">
        <references count="3">
          <reference field="4" count="1" selected="0">
            <x v="8"/>
          </reference>
          <reference field="5" count="1">
            <x v="15"/>
          </reference>
          <reference field="19" count="1" selected="0">
            <x v="71"/>
          </reference>
        </references>
      </pivotArea>
    </format>
    <format dxfId="634">
      <pivotArea dataOnly="0" labelOnly="1" outline="0" fieldPosition="0">
        <references count="3">
          <reference field="4" count="1" selected="0">
            <x v="8"/>
          </reference>
          <reference field="5" count="1">
            <x v="10"/>
          </reference>
          <reference field="19" count="1" selected="0">
            <x v="72"/>
          </reference>
        </references>
      </pivotArea>
    </format>
    <format dxfId="633">
      <pivotArea dataOnly="0" labelOnly="1" outline="0" fieldPosition="0">
        <references count="3">
          <reference field="4" count="1" selected="0">
            <x v="8"/>
          </reference>
          <reference field="5" count="1">
            <x v="75"/>
          </reference>
          <reference field="19" count="1" selected="0">
            <x v="73"/>
          </reference>
        </references>
      </pivotArea>
    </format>
    <format dxfId="632">
      <pivotArea dataOnly="0" labelOnly="1" outline="0" fieldPosition="0">
        <references count="3">
          <reference field="4" count="1" selected="0">
            <x v="8"/>
          </reference>
          <reference field="5" count="1">
            <x v="70"/>
          </reference>
          <reference field="19" count="1" selected="0">
            <x v="75"/>
          </reference>
        </references>
      </pivotArea>
    </format>
    <format dxfId="631">
      <pivotArea dataOnly="0" labelOnly="1" outline="0" fieldPosition="0">
        <references count="3">
          <reference field="4" count="1" selected="0">
            <x v="8"/>
          </reference>
          <reference field="5" count="1">
            <x v="112"/>
          </reference>
          <reference field="19" count="1" selected="0">
            <x v="111"/>
          </reference>
        </references>
      </pivotArea>
    </format>
    <format dxfId="630">
      <pivotArea dataOnly="0" labelOnly="1" outline="0" fieldPosition="0">
        <references count="3">
          <reference field="4" count="1" selected="0">
            <x v="9"/>
          </reference>
          <reference field="5" count="1">
            <x v="56"/>
          </reference>
          <reference field="19" count="1" selected="0">
            <x v="99"/>
          </reference>
        </references>
      </pivotArea>
    </format>
    <format dxfId="629">
      <pivotArea dataOnly="0" labelOnly="1" outline="0" fieldPosition="0">
        <references count="3">
          <reference field="4" count="1" selected="0">
            <x v="9"/>
          </reference>
          <reference field="5" count="1">
            <x v="125"/>
          </reference>
          <reference field="19" count="1" selected="0">
            <x v="123"/>
          </reference>
        </references>
      </pivotArea>
    </format>
    <format dxfId="628">
      <pivotArea dataOnly="0" labelOnly="1" outline="0" fieldPosition="0">
        <references count="3">
          <reference field="4" count="1" selected="0">
            <x v="9"/>
          </reference>
          <reference field="5" count="1">
            <x v="126"/>
          </reference>
          <reference field="19" count="1" selected="0">
            <x v="124"/>
          </reference>
        </references>
      </pivotArea>
    </format>
    <format dxfId="627">
      <pivotArea dataOnly="0" labelOnly="1" outline="0" fieldPosition="0">
        <references count="3">
          <reference field="4" count="1" selected="0">
            <x v="10"/>
          </reference>
          <reference field="5" count="2">
            <x v="84"/>
            <x v="116"/>
          </reference>
          <reference field="19" count="1" selected="0">
            <x v="0"/>
          </reference>
        </references>
      </pivotArea>
    </format>
    <format dxfId="626">
      <pivotArea dataOnly="0" labelOnly="1" outline="0" fieldPosition="0">
        <references count="3">
          <reference field="4" count="1" selected="0">
            <x v="10"/>
          </reference>
          <reference field="5" count="1">
            <x v="94"/>
          </reference>
          <reference field="19" count="1" selected="0">
            <x v="1"/>
          </reference>
        </references>
      </pivotArea>
    </format>
    <format dxfId="625">
      <pivotArea dataOnly="0" labelOnly="1" outline="0" fieldPosition="0">
        <references count="3">
          <reference field="4" count="1" selected="0">
            <x v="10"/>
          </reference>
          <reference field="5" count="1">
            <x v="72"/>
          </reference>
          <reference field="19" count="1" selected="0">
            <x v="2"/>
          </reference>
        </references>
      </pivotArea>
    </format>
    <format dxfId="624">
      <pivotArea dataOnly="0" labelOnly="1" outline="0" fieldPosition="0">
        <references count="3">
          <reference field="4" count="1" selected="0">
            <x v="10"/>
          </reference>
          <reference field="5" count="1">
            <x v="96"/>
          </reference>
          <reference field="19" count="1" selected="0">
            <x v="3"/>
          </reference>
        </references>
      </pivotArea>
    </format>
    <format dxfId="623">
      <pivotArea dataOnly="0" labelOnly="1" outline="0" fieldPosition="0">
        <references count="3">
          <reference field="4" count="1" selected="0">
            <x v="10"/>
          </reference>
          <reference field="5" count="1">
            <x v="95"/>
          </reference>
          <reference field="19" count="1" selected="0">
            <x v="4"/>
          </reference>
        </references>
      </pivotArea>
    </format>
    <format dxfId="622">
      <pivotArea dataOnly="0" labelOnly="1" outline="0" fieldPosition="0">
        <references count="3">
          <reference field="4" count="1" selected="0">
            <x v="10"/>
          </reference>
          <reference field="5" count="1">
            <x v="97"/>
          </reference>
          <reference field="19" count="1" selected="0">
            <x v="5"/>
          </reference>
        </references>
      </pivotArea>
    </format>
    <format dxfId="621">
      <pivotArea dataOnly="0" labelOnly="1" outline="0" fieldPosition="0">
        <references count="3">
          <reference field="4" count="1" selected="0">
            <x v="10"/>
          </reference>
          <reference field="5" count="1">
            <x v="87"/>
          </reference>
          <reference field="19" count="1" selected="0">
            <x v="6"/>
          </reference>
        </references>
      </pivotArea>
    </format>
    <format dxfId="620">
      <pivotArea dataOnly="0" labelOnly="1" outline="0" fieldPosition="0">
        <references count="3">
          <reference field="4" count="1" selected="0">
            <x v="10"/>
          </reference>
          <reference field="5" count="1">
            <x v="43"/>
          </reference>
          <reference field="19" count="1" selected="0">
            <x v="7"/>
          </reference>
        </references>
      </pivotArea>
    </format>
    <format dxfId="619">
      <pivotArea dataOnly="0" labelOnly="1" outline="0" fieldPosition="0">
        <references count="3">
          <reference field="4" count="1" selected="0">
            <x v="10"/>
          </reference>
          <reference field="5" count="1">
            <x v="91"/>
          </reference>
          <reference field="19" count="1" selected="0">
            <x v="8"/>
          </reference>
        </references>
      </pivotArea>
    </format>
    <format dxfId="618">
      <pivotArea dataOnly="0" labelOnly="1" outline="0" fieldPosition="0">
        <references count="3">
          <reference field="4" count="1" selected="0">
            <x v="10"/>
          </reference>
          <reference field="5" count="1">
            <x v="9"/>
          </reference>
          <reference field="19" count="1" selected="0">
            <x v="9"/>
          </reference>
        </references>
      </pivotArea>
    </format>
    <format dxfId="617">
      <pivotArea dataOnly="0" labelOnly="1" outline="0" fieldPosition="0">
        <references count="3">
          <reference field="4" count="1" selected="0">
            <x v="10"/>
          </reference>
          <reference field="5" count="1">
            <x v="8"/>
          </reference>
          <reference field="19" count="1" selected="0">
            <x v="10"/>
          </reference>
        </references>
      </pivotArea>
    </format>
    <format dxfId="616">
      <pivotArea dataOnly="0" labelOnly="1" outline="0" fieldPosition="0">
        <references count="3">
          <reference field="4" count="1" selected="0">
            <x v="10"/>
          </reference>
          <reference field="5" count="1">
            <x v="22"/>
          </reference>
          <reference field="19" count="1" selected="0">
            <x v="11"/>
          </reference>
        </references>
      </pivotArea>
    </format>
    <format dxfId="615">
      <pivotArea dataOnly="0" labelOnly="1" outline="0" fieldPosition="0">
        <references count="3">
          <reference field="4" count="1" selected="0">
            <x v="10"/>
          </reference>
          <reference field="5" count="1">
            <x v="27"/>
          </reference>
          <reference field="19" count="1" selected="0">
            <x v="12"/>
          </reference>
        </references>
      </pivotArea>
    </format>
    <format dxfId="614">
      <pivotArea dataOnly="0" labelOnly="1" outline="0" fieldPosition="0">
        <references count="3">
          <reference field="4" count="1" selected="0">
            <x v="10"/>
          </reference>
          <reference field="5" count="1">
            <x v="26"/>
          </reference>
          <reference field="19" count="1" selected="0">
            <x v="13"/>
          </reference>
        </references>
      </pivotArea>
    </format>
    <format dxfId="613">
      <pivotArea dataOnly="0" labelOnly="1" outline="0" fieldPosition="0">
        <references count="3">
          <reference field="4" count="1" selected="0">
            <x v="10"/>
          </reference>
          <reference field="5" count="1">
            <x v="41"/>
          </reference>
          <reference field="19" count="1" selected="0">
            <x v="14"/>
          </reference>
        </references>
      </pivotArea>
    </format>
    <format dxfId="612">
      <pivotArea dataOnly="0" labelOnly="1" outline="0" fieldPosition="0">
        <references count="3">
          <reference field="4" count="1" selected="0">
            <x v="10"/>
          </reference>
          <reference field="5" count="1">
            <x v="17"/>
          </reference>
          <reference field="19" count="1" selected="0">
            <x v="15"/>
          </reference>
        </references>
      </pivotArea>
    </format>
    <format dxfId="611">
      <pivotArea dataOnly="0" labelOnly="1" outline="0" fieldPosition="0">
        <references count="3">
          <reference field="4" count="1" selected="0">
            <x v="10"/>
          </reference>
          <reference field="5" count="1">
            <x v="18"/>
          </reference>
          <reference field="19" count="1" selected="0">
            <x v="16"/>
          </reference>
        </references>
      </pivotArea>
    </format>
    <format dxfId="610">
      <pivotArea dataOnly="0" labelOnly="1" outline="0" fieldPosition="0">
        <references count="3">
          <reference field="4" count="1" selected="0">
            <x v="10"/>
          </reference>
          <reference field="5" count="1">
            <x v="51"/>
          </reference>
          <reference field="19" count="1" selected="0">
            <x v="17"/>
          </reference>
        </references>
      </pivotArea>
    </format>
    <format dxfId="609">
      <pivotArea dataOnly="0" labelOnly="1" outline="0" fieldPosition="0">
        <references count="3">
          <reference field="4" count="1" selected="0">
            <x v="10"/>
          </reference>
          <reference field="5" count="1">
            <x v="52"/>
          </reference>
          <reference field="19" count="1" selected="0">
            <x v="18"/>
          </reference>
        </references>
      </pivotArea>
    </format>
    <format dxfId="608">
      <pivotArea dataOnly="0" labelOnly="1" outline="0" fieldPosition="0">
        <references count="3">
          <reference field="4" count="1" selected="0">
            <x v="10"/>
          </reference>
          <reference field="5" count="1">
            <x v="104"/>
          </reference>
          <reference field="19" count="1" selected="0">
            <x v="19"/>
          </reference>
        </references>
      </pivotArea>
    </format>
    <format dxfId="607">
      <pivotArea dataOnly="0" labelOnly="1" outline="0" fieldPosition="0">
        <references count="3">
          <reference field="4" count="1" selected="0">
            <x v="10"/>
          </reference>
          <reference field="5" count="1">
            <x v="64"/>
          </reference>
          <reference field="19" count="1" selected="0">
            <x v="20"/>
          </reference>
        </references>
      </pivotArea>
    </format>
    <format dxfId="606">
      <pivotArea dataOnly="0" labelOnly="1" outline="0" fieldPosition="0">
        <references count="3">
          <reference field="4" count="1" selected="0">
            <x v="10"/>
          </reference>
          <reference field="5" count="1">
            <x v="74"/>
          </reference>
          <reference field="19" count="1" selected="0">
            <x v="81"/>
          </reference>
        </references>
      </pivotArea>
    </format>
    <format dxfId="605">
      <pivotArea dataOnly="0" labelOnly="1" outline="0" fieldPosition="0">
        <references count="3">
          <reference field="4" count="1" selected="0">
            <x v="10"/>
          </reference>
          <reference field="5" count="1">
            <x v="131"/>
          </reference>
          <reference field="19" count="1" selected="0">
            <x v="130"/>
          </reference>
        </references>
      </pivotArea>
    </format>
    <format dxfId="604">
      <pivotArea dataOnly="0" labelOnly="1" outline="0" fieldPosition="0">
        <references count="3">
          <reference field="4" count="1" selected="0">
            <x v="11"/>
          </reference>
          <reference field="5" count="1">
            <x v="59"/>
          </reference>
          <reference field="19" count="1" selected="0">
            <x v="97"/>
          </reference>
        </references>
      </pivotArea>
    </format>
    <format dxfId="603">
      <pivotArea dataOnly="0" labelOnly="1" outline="0" fieldPosition="0">
        <references count="3">
          <reference field="4" count="1" selected="0">
            <x v="11"/>
          </reference>
          <reference field="5" count="1">
            <x v="58"/>
          </reference>
          <reference field="19" count="1" selected="0">
            <x v="98"/>
          </reference>
        </references>
      </pivotArea>
    </format>
    <format dxfId="602">
      <pivotArea dataOnly="0" labelOnly="1" outline="0" fieldPosition="0">
        <references count="3">
          <reference field="4" count="1" selected="0">
            <x v="11"/>
          </reference>
          <reference field="5" count="1">
            <x v="127"/>
          </reference>
          <reference field="19" count="1" selected="0">
            <x v="125"/>
          </reference>
        </references>
      </pivotArea>
    </format>
    <format dxfId="601">
      <pivotArea dataOnly="0" labelOnly="1" outline="0" fieldPosition="0">
        <references count="3">
          <reference field="4" count="1" selected="0">
            <x v="11"/>
          </reference>
          <reference field="5" count="1">
            <x v="128"/>
          </reference>
          <reference field="19" count="1" selected="0">
            <x v="126"/>
          </reference>
        </references>
      </pivotArea>
    </format>
    <format dxfId="600">
      <pivotArea dataOnly="0" labelOnly="1" outline="0" fieldPosition="0">
        <references count="3">
          <reference field="4" count="1" selected="0">
            <x v="12"/>
          </reference>
          <reference field="5" count="1">
            <x v="63"/>
          </reference>
          <reference field="19" count="1" selected="0">
            <x v="103"/>
          </reference>
        </references>
      </pivotArea>
    </format>
    <format dxfId="599">
      <pivotArea dataOnly="0" labelOnly="1" outline="0" fieldPosition="0">
        <references count="3">
          <reference field="4" count="1" selected="0">
            <x v="13"/>
          </reference>
          <reference field="5" count="1">
            <x v="89"/>
          </reference>
          <reference field="19" count="1" selected="0">
            <x v="49"/>
          </reference>
        </references>
      </pivotArea>
    </format>
    <format dxfId="598">
      <pivotArea dataOnly="0" labelOnly="1" outline="0" fieldPosition="0">
        <references count="3">
          <reference field="4" count="1" selected="0">
            <x v="13"/>
          </reference>
          <reference field="5" count="1">
            <x v="90"/>
          </reference>
          <reference field="19" count="1" selected="0">
            <x v="50"/>
          </reference>
        </references>
      </pivotArea>
    </format>
    <format dxfId="597">
      <pivotArea dataOnly="0" labelOnly="1" outline="0" fieldPosition="0">
        <references count="3">
          <reference field="4" count="1" selected="0">
            <x v="14"/>
          </reference>
          <reference field="5" count="1">
            <x v="79"/>
          </reference>
          <reference field="19" count="1" selected="0">
            <x v="21"/>
          </reference>
        </references>
      </pivotArea>
    </format>
    <format dxfId="596">
      <pivotArea dataOnly="0" labelOnly="1" outline="0" fieldPosition="0">
        <references count="3">
          <reference field="4" count="1" selected="0">
            <x v="14"/>
          </reference>
          <reference field="5" count="1">
            <x v="81"/>
          </reference>
          <reference field="19" count="1" selected="0">
            <x v="22"/>
          </reference>
        </references>
      </pivotArea>
    </format>
    <format dxfId="595">
      <pivotArea dataOnly="0" labelOnly="1" outline="0" fieldPosition="0">
        <references count="3">
          <reference field="4" count="1" selected="0">
            <x v="14"/>
          </reference>
          <reference field="5" count="1">
            <x v="35"/>
          </reference>
          <reference field="19" count="1" selected="0">
            <x v="23"/>
          </reference>
        </references>
      </pivotArea>
    </format>
    <format dxfId="594">
      <pivotArea dataOnly="0" labelOnly="1" outline="0" fieldPosition="0">
        <references count="3">
          <reference field="4" count="1" selected="0">
            <x v="14"/>
          </reference>
          <reference field="5" count="1">
            <x v="11"/>
          </reference>
          <reference field="19" count="1" selected="0">
            <x v="24"/>
          </reference>
        </references>
      </pivotArea>
    </format>
    <format dxfId="593">
      <pivotArea dataOnly="0" labelOnly="1" outline="0" fieldPosition="0">
        <references count="3">
          <reference field="4" count="1" selected="0">
            <x v="14"/>
          </reference>
          <reference field="5" count="1">
            <x v="38"/>
          </reference>
          <reference field="19" count="1" selected="0">
            <x v="25"/>
          </reference>
        </references>
      </pivotArea>
    </format>
    <format dxfId="592">
      <pivotArea dataOnly="0" labelOnly="1" outline="0" fieldPosition="0">
        <references count="3">
          <reference field="4" count="1" selected="0">
            <x v="14"/>
          </reference>
          <reference field="5" count="1">
            <x v="80"/>
          </reference>
          <reference field="19" count="1" selected="0">
            <x v="26"/>
          </reference>
        </references>
      </pivotArea>
    </format>
    <format dxfId="591">
      <pivotArea dataOnly="0" labelOnly="1" outline="0" fieldPosition="0">
        <references count="3">
          <reference field="4" count="1" selected="0">
            <x v="14"/>
          </reference>
          <reference field="5" count="1">
            <x v="37"/>
          </reference>
          <reference field="19" count="1" selected="0">
            <x v="27"/>
          </reference>
        </references>
      </pivotArea>
    </format>
    <format dxfId="590">
      <pivotArea dataOnly="0" labelOnly="1" outline="0" fieldPosition="0">
        <references count="3">
          <reference field="4" count="1" selected="0">
            <x v="14"/>
          </reference>
          <reference field="5" count="1">
            <x v="78"/>
          </reference>
          <reference field="19" count="1" selected="0">
            <x v="28"/>
          </reference>
        </references>
      </pivotArea>
    </format>
    <format dxfId="589">
      <pivotArea dataOnly="0" labelOnly="1" outline="0" fieldPosition="0">
        <references count="3">
          <reference field="4" count="1" selected="0">
            <x v="14"/>
          </reference>
          <reference field="5" count="1">
            <x v="100"/>
          </reference>
          <reference field="19" count="1" selected="0">
            <x v="29"/>
          </reference>
        </references>
      </pivotArea>
    </format>
    <format dxfId="588">
      <pivotArea dataOnly="0" labelOnly="1" outline="0" fieldPosition="0">
        <references count="3">
          <reference field="4" count="1" selected="0">
            <x v="14"/>
          </reference>
          <reference field="5" count="1">
            <x v="98"/>
          </reference>
          <reference field="19" count="1" selected="0">
            <x v="30"/>
          </reference>
        </references>
      </pivotArea>
    </format>
    <format dxfId="587">
      <pivotArea dataOnly="0" labelOnly="1" outline="0" fieldPosition="0">
        <references count="3">
          <reference field="4" count="1" selected="0">
            <x v="14"/>
          </reference>
          <reference field="5" count="1">
            <x v="99"/>
          </reference>
          <reference field="19" count="1" selected="0">
            <x v="31"/>
          </reference>
        </references>
      </pivotArea>
    </format>
    <format dxfId="586">
      <pivotArea dataOnly="0" labelOnly="1" outline="0" fieldPosition="0">
        <references count="3">
          <reference field="4" count="1" selected="0">
            <x v="14"/>
          </reference>
          <reference field="5" count="1">
            <x v="40"/>
          </reference>
          <reference field="19" count="1" selected="0">
            <x v="32"/>
          </reference>
        </references>
      </pivotArea>
    </format>
    <format dxfId="585">
      <pivotArea dataOnly="0" labelOnly="1" outline="0" fieldPosition="0">
        <references count="3">
          <reference field="4" count="1" selected="0">
            <x v="14"/>
          </reference>
          <reference field="5" count="1">
            <x v="39"/>
          </reference>
          <reference field="19" count="1" selected="0">
            <x v="33"/>
          </reference>
        </references>
      </pivotArea>
    </format>
    <format dxfId="584">
      <pivotArea dataOnly="0" labelOnly="1" outline="0" fieldPosition="0">
        <references count="3">
          <reference field="4" count="1" selected="0">
            <x v="14"/>
          </reference>
          <reference field="5" count="1">
            <x v="88"/>
          </reference>
          <reference field="19" count="1" selected="0">
            <x v="34"/>
          </reference>
        </references>
      </pivotArea>
    </format>
    <format dxfId="583">
      <pivotArea dataOnly="0" labelOnly="1" outline="0" fieldPosition="0">
        <references count="3">
          <reference field="4" count="1" selected="0">
            <x v="14"/>
          </reference>
          <reference field="5" count="1">
            <x v="4"/>
          </reference>
          <reference field="19" count="1" selected="0">
            <x v="66"/>
          </reference>
        </references>
      </pivotArea>
    </format>
    <format dxfId="582">
      <pivotArea dataOnly="0" labelOnly="1" outline="0" fieldPosition="0">
        <references count="3">
          <reference field="4" count="1" selected="0">
            <x v="14"/>
          </reference>
          <reference field="5" count="1">
            <x v="12"/>
          </reference>
          <reference field="19" count="1" selected="0">
            <x v="67"/>
          </reference>
        </references>
      </pivotArea>
    </format>
    <format dxfId="581">
      <pivotArea dataOnly="0" labelOnly="1" outline="0" fieldPosition="0">
        <references count="3">
          <reference field="4" count="1" selected="0">
            <x v="14"/>
          </reference>
          <reference field="5" count="1">
            <x v="103"/>
          </reference>
          <reference field="19" count="1" selected="0">
            <x v="68"/>
          </reference>
        </references>
      </pivotArea>
    </format>
    <format dxfId="580">
      <pivotArea dataOnly="0" labelOnly="1" outline="0" fieldPosition="0">
        <references count="3">
          <reference field="4" count="1" selected="0">
            <x v="14"/>
          </reference>
          <reference field="5" count="1">
            <x v="36"/>
          </reference>
          <reference field="19" count="1" selected="0">
            <x v="69"/>
          </reference>
        </references>
      </pivotArea>
    </format>
    <format dxfId="579">
      <pivotArea dataOnly="0" labelOnly="1" outline="0" fieldPosition="0">
        <references count="3">
          <reference field="4" count="1" selected="0">
            <x v="14"/>
          </reference>
          <reference field="5" count="1">
            <x v="77"/>
          </reference>
          <reference field="19" count="1" selected="0">
            <x v="80"/>
          </reference>
        </references>
      </pivotArea>
    </format>
    <format dxfId="578">
      <pivotArea dataOnly="0" labelOnly="1" outline="0" fieldPosition="0">
        <references count="3">
          <reference field="4" count="1" selected="0">
            <x v="14"/>
          </reference>
          <reference field="5" count="1">
            <x v="110"/>
          </reference>
          <reference field="19" count="1" selected="0">
            <x v="109"/>
          </reference>
        </references>
      </pivotArea>
    </format>
    <format dxfId="577">
      <pivotArea dataOnly="0" labelOnly="1" outline="0" fieldPosition="0">
        <references count="3">
          <reference field="4" count="1" selected="0">
            <x v="14"/>
          </reference>
          <reference field="5" count="1">
            <x v="130"/>
          </reference>
          <reference field="19" count="1" selected="0">
            <x v="129"/>
          </reference>
        </references>
      </pivotArea>
    </format>
    <format dxfId="576">
      <pivotArea dataOnly="0" labelOnly="1" outline="0" fieldPosition="0">
        <references count="3">
          <reference field="4" count="1" selected="0">
            <x v="14"/>
          </reference>
          <reference field="5" count="1">
            <x v="132"/>
          </reference>
          <reference field="19" count="1" selected="0">
            <x v="131"/>
          </reference>
        </references>
      </pivotArea>
    </format>
    <format dxfId="575">
      <pivotArea dataOnly="0" labelOnly="1" outline="0" fieldPosition="0">
        <references count="3">
          <reference field="4" count="1" selected="0">
            <x v="15"/>
          </reference>
          <reference field="5" count="1">
            <x v="116"/>
          </reference>
          <reference field="1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18" firstHeaderRow="0" firstDataRow="1" firstDataCol="1"/>
  <pivotFields count="14">
    <pivotField showAll="0"/>
    <pivotField axis="axisRow" showAll="0">
      <items count="6">
        <item m="1" x="3"/>
        <item m="1" x="1"/>
        <item m="1" x="4"/>
        <item m="1" x="2"/>
        <item x="0"/>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2">
    <i>
      <x v="4"/>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353">
      <pivotArea outline="0" collapsedLevelsAreSubtotals="1" fieldPosition="0"/>
    </format>
    <format dxfId="35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24"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3">
  <location ref="AU4:AV14" firstHeaderRow="1" firstDataRow="1" firstDataCol="1"/>
  <pivotFields count="46">
    <pivotField numFmtId="169" multipleItemSelectionAllowed="1" showAll="0"/>
    <pivotField showAll="0" defaultSubtotal="0"/>
    <pivotField showAll="0"/>
    <pivotField showAll="0"/>
    <pivotField showAll="0"/>
    <pivotField showAll="0"/>
    <pivotField showAll="0" defaultSubtotal="0"/>
    <pivotField dataField="1" showAll="0"/>
    <pivotField showAll="0"/>
    <pivotField showAll="0" defaultSubtota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
    <i>
      <x/>
    </i>
    <i i="1">
      <x v="1"/>
    </i>
    <i i="2">
      <x v="2"/>
    </i>
    <i i="3">
      <x v="3"/>
    </i>
    <i i="4">
      <x v="4"/>
    </i>
    <i i="5">
      <x v="5"/>
    </i>
    <i i="6">
      <x v="6"/>
    </i>
    <i i="7">
      <x v="7"/>
    </i>
    <i i="8">
      <x v="8"/>
    </i>
    <i i="9">
      <x v="9"/>
    </i>
  </rowItems>
  <colItems count="1">
    <i/>
  </colItems>
  <dataFields count="10">
    <dataField name=" Cash for NFI (# of HHs covered)" fld="7" baseField="0" baseItem="1"/>
    <dataField name=" NFI Core Kit" fld="10" baseField="0" baseItem="1"/>
    <dataField name=" Sanitary Kit" fld="11" baseField="0" baseItem="1"/>
    <dataField name=" Mosquito net" fld="12" baseField="0" baseItem="1"/>
    <dataField name=" Tarpaulin" fld="13" baseField="0" baseItem="1"/>
    <dataField name=" Blanket" fld="14" baseField="0" baseItem="1"/>
    <dataField name=" Kitchen Set" fld="15" baseField="0" baseItem="1"/>
    <dataField name=" Plastic Bucket" fld="17" baseField="0" baseItem="1"/>
    <dataField name=" Plastic Mat" fld="18" baseField="0" baseItem="1"/>
    <dataField name=" Solar lamps" fld="24" baseField="0" baseItem="1"/>
  </dataFields>
  <chartFormats count="11">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3"/>
          </reference>
        </references>
      </pivotArea>
    </chartFormat>
    <chartFormat chart="4" format="4" series="1">
      <pivotArea type="data" outline="0" fieldPosition="0">
        <references count="1">
          <reference field="4294967294" count="1" selected="0">
            <x v="4"/>
          </reference>
        </references>
      </pivotArea>
    </chartFormat>
    <chartFormat chart="4" format="5" series="1">
      <pivotArea type="data" outline="0" fieldPosition="0">
        <references count="1">
          <reference field="4294967294" count="1" selected="0">
            <x v="5"/>
          </reference>
        </references>
      </pivotArea>
    </chartFormat>
    <chartFormat chart="4" format="6" series="1">
      <pivotArea type="data" outline="0" fieldPosition="0">
        <references count="1">
          <reference field="4294967294" count="1" selected="0">
            <x v="6"/>
          </reference>
        </references>
      </pivotArea>
    </chartFormat>
    <chartFormat chart="4" format="7" series="1">
      <pivotArea type="data" outline="0" fieldPosition="0">
        <references count="1">
          <reference field="4294967294" count="1" selected="0">
            <x v="7"/>
          </reference>
        </references>
      </pivotArea>
    </chartFormat>
    <chartFormat chart="4" format="8" series="1">
      <pivotArea type="data" outline="0" fieldPosition="0">
        <references count="1">
          <reference field="4294967294" count="1" selected="0">
            <x v="8"/>
          </reference>
        </references>
      </pivotArea>
    </chartFormat>
    <chartFormat chart="4" format="9" series="1">
      <pivotArea type="data" outline="0" fieldPosition="0">
        <references count="1">
          <reference field="4294967294" count="1" selected="0">
            <x v="9"/>
          </reference>
        </references>
      </pivotArea>
    </chartFormat>
    <chartFormat chart="7"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 cacheId="2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rowHeaderCaption="Agency">
  <location ref="AX4:AY17" firstHeaderRow="1" firstDataRow="1" firstDataCol="1" rowPageCount="1" colPageCount="1"/>
  <pivotFields count="46">
    <pivotField axis="axisPage" numFmtId="169" multipleItemSelectionAllowed="1" showAll="0">
      <items count="13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4"/>
        <item h="1" x="45"/>
        <item h="1" x="43"/>
        <item h="1" x="42"/>
        <item h="1" x="47"/>
        <item h="1" x="46"/>
        <item h="1" x="49"/>
        <item h="1" x="51"/>
        <item h="1" x="52"/>
        <item h="1" x="53"/>
        <item h="1" x="54"/>
        <item h="1" x="55"/>
        <item h="1" x="56"/>
        <item h="1" x="58"/>
        <item h="1" x="60"/>
        <item h="1" x="57"/>
        <item h="1" x="59"/>
        <item h="1" x="61"/>
        <item h="1" x="65"/>
        <item x="66"/>
        <item x="67"/>
        <item x="68"/>
        <item x="69"/>
        <item x="71"/>
        <item x="72"/>
        <item x="70"/>
        <item h="1" x="64"/>
        <item h="1" x="63"/>
        <item h="1" x="62"/>
        <item h="1" x="50"/>
        <item h="1" x="48"/>
        <item x="73"/>
        <item x="74"/>
        <item x="75"/>
        <item x="76"/>
        <item x="77"/>
        <item x="78"/>
        <item x="79"/>
        <item x="80"/>
        <item x="81"/>
        <item x="82"/>
        <item x="83"/>
        <item x="84"/>
        <item x="85"/>
        <item x="86"/>
        <item x="87"/>
        <item x="88"/>
        <item x="89"/>
        <item x="90"/>
        <item x="91"/>
        <item x="92"/>
        <item x="93"/>
        <item x="94"/>
        <item x="95"/>
        <item x="96"/>
        <item x="104"/>
        <item x="97"/>
        <item x="103"/>
        <item x="106"/>
        <item x="107"/>
        <item x="109"/>
        <item x="108"/>
        <item x="102"/>
        <item x="112"/>
        <item x="110"/>
        <item x="111"/>
        <item x="105"/>
        <item x="113"/>
        <item x="98"/>
        <item x="99"/>
        <item x="100"/>
        <item x="101"/>
        <item x="114"/>
        <item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t="default"/>
      </items>
    </pivotField>
    <pivotField showAll="0" defaultSubtotal="0"/>
    <pivotField axis="axisRow" dataField="1" showAll="0">
      <items count="18">
        <item x="3"/>
        <item x="4"/>
        <item x="2"/>
        <item x="1"/>
        <item x="0"/>
        <item x="5"/>
        <item x="10"/>
        <item x="7"/>
        <item x="8"/>
        <item x="6"/>
        <item x="9"/>
        <item x="11"/>
        <item x="12"/>
        <item x="13"/>
        <item x="14"/>
        <item x="15"/>
        <item x="16"/>
        <item t="default"/>
      </items>
    </pivotField>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3">
    <i>
      <x/>
    </i>
    <i>
      <x v="1"/>
    </i>
    <i>
      <x v="2"/>
    </i>
    <i>
      <x v="4"/>
    </i>
    <i>
      <x v="5"/>
    </i>
    <i>
      <x v="7"/>
    </i>
    <i>
      <x v="11"/>
    </i>
    <i>
      <x v="12"/>
    </i>
    <i>
      <x v="13"/>
    </i>
    <i>
      <x v="14"/>
    </i>
    <i>
      <x v="15"/>
    </i>
    <i>
      <x v="16"/>
    </i>
    <i t="grand">
      <x/>
    </i>
  </rowItems>
  <colItems count="1">
    <i/>
  </colItems>
  <pageFields count="1">
    <pageField fld="0" hier="-1"/>
  </pageFields>
  <dataFields count="1">
    <dataField name="# distributions" fld="2" subtotal="count" baseField="0" baseItem="0"/>
  </dataFields>
  <formats count="19">
    <format dxfId="333">
      <pivotArea outline="0" collapsedLevelsAreSubtotals="1" fieldPosition="0"/>
    </format>
    <format dxfId="332">
      <pivotArea dataOnly="0" labelOnly="1" fieldPosition="0">
        <references count="1">
          <reference field="2" count="3">
            <x v="0"/>
            <x v="1"/>
            <x v="2"/>
          </reference>
        </references>
      </pivotArea>
    </format>
    <format dxfId="331">
      <pivotArea field="0" type="button" dataOnly="0" labelOnly="1" outline="0" axis="axisPage" fieldPosition="0"/>
    </format>
    <format dxfId="330">
      <pivotArea field="2" type="button" dataOnly="0" labelOnly="1" outline="0" axis="axisRow" fieldPosition="0"/>
    </format>
    <format dxfId="329">
      <pivotArea dataOnly="0" labelOnly="1" outline="0" fieldPosition="0">
        <references count="1">
          <reference field="4294967294" count="1">
            <x v="0"/>
          </reference>
        </references>
      </pivotArea>
    </format>
    <format dxfId="328">
      <pivotArea field="2" type="button" dataOnly="0" labelOnly="1" outline="0" axis="axisRow" fieldPosition="0"/>
    </format>
    <format dxfId="327">
      <pivotArea dataOnly="0" labelOnly="1" outline="0" fieldPosition="0">
        <references count="1">
          <reference field="4294967294" count="1">
            <x v="0"/>
          </reference>
        </references>
      </pivotArea>
    </format>
    <format dxfId="326">
      <pivotArea dataOnly="0" labelOnly="1" outline="0" fieldPosition="0">
        <references count="1">
          <reference field="4294967294" count="1">
            <x v="0"/>
          </reference>
        </references>
      </pivotArea>
    </format>
    <format dxfId="325">
      <pivotArea type="all" dataOnly="0" outline="0" fieldPosition="0"/>
    </format>
    <format dxfId="324">
      <pivotArea outline="0" collapsedLevelsAreSubtotals="1" fieldPosition="0"/>
    </format>
    <format dxfId="323">
      <pivotArea dataOnly="0" labelOnly="1" outline="0" fieldPosition="0">
        <references count="1">
          <reference field="4294967294" count="1">
            <x v="0"/>
          </reference>
        </references>
      </pivotArea>
    </format>
    <format dxfId="322">
      <pivotArea field="2" grandRow="1" outline="0" collapsedLevelsAreSubtotals="1" axis="axisRow" fieldPosition="0">
        <references count="1">
          <reference field="4294967294" count="1" selected="0">
            <x v="0"/>
          </reference>
        </references>
      </pivotArea>
    </format>
    <format dxfId="321">
      <pivotArea dataOnly="0" labelOnly="1" grandRow="1" outline="0" fieldPosition="0"/>
    </format>
    <format dxfId="320">
      <pivotArea field="2" type="button" dataOnly="0" labelOnly="1" outline="0" axis="axisRow" fieldPosition="0"/>
    </format>
    <format dxfId="319">
      <pivotArea dataOnly="0" labelOnly="1" fieldPosition="0">
        <references count="1">
          <reference field="2" count="3">
            <x v="0"/>
            <x v="1"/>
            <x v="2"/>
          </reference>
        </references>
      </pivotArea>
    </format>
    <format dxfId="318">
      <pivotArea outline="0" collapsedLevelsAreSubtotals="1" fieldPosition="0"/>
    </format>
    <format dxfId="317">
      <pivotArea dataOnly="0" labelOnly="1" fieldPosition="0">
        <references count="1">
          <reference field="2" count="3">
            <x v="0"/>
            <x v="1"/>
            <x v="2"/>
          </reference>
        </references>
      </pivotArea>
    </format>
    <format dxfId="316">
      <pivotArea grandRow="1" outline="0" collapsedLevelsAreSubtotals="1" fieldPosition="0"/>
    </format>
    <format dxfId="315">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 cacheId="0" dataPosition="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G63:M67" firstHeaderRow="0" firstDataRow="1" firstDataCol="1" rowPageCount="2" colPageCount="1"/>
  <pivotFields count="48">
    <pivotField showAll="0"/>
    <pivotField showAll="0"/>
    <pivotField axis="axisRow" showAll="0">
      <items count="17">
        <item x="8"/>
        <item x="11"/>
        <item x="5"/>
        <item x="2"/>
        <item x="6"/>
        <item x="9"/>
        <item x="4"/>
        <item x="10"/>
        <item x="12"/>
        <item x="7"/>
        <item x="1"/>
        <item x="0"/>
        <item x="13"/>
        <item x="3"/>
        <item m="1" x="15"/>
        <item x="1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3">
        <item x="1"/>
        <item h="1" m="1" x="15"/>
        <item m="1" x="20"/>
        <item m="1" x="10"/>
        <item m="1" x="5"/>
        <item m="1" x="38"/>
        <item m="1" x="36"/>
        <item m="1" x="33"/>
        <item m="1" x="28"/>
        <item m="1" x="23"/>
        <item m="1" x="29"/>
        <item m="1" x="24"/>
        <item m="1" x="22"/>
        <item m="1" x="18"/>
        <item m="1" x="14"/>
        <item m="1" x="11"/>
        <item m="1" x="6"/>
        <item m="1" x="39"/>
        <item m="1" x="34"/>
        <item m="1" x="25"/>
        <item m="1" x="30"/>
        <item m="1" x="19"/>
        <item m="1" x="12"/>
        <item m="1" x="8"/>
        <item m="1" x="41"/>
        <item m="1" x="37"/>
        <item m="1" x="35"/>
        <item m="1" x="31"/>
        <item m="1" x="26"/>
        <item m="1" x="17"/>
        <item m="1" x="13"/>
        <item m="1" x="9"/>
        <item m="1" x="40"/>
        <item m="1" x="27"/>
        <item m="1" x="16"/>
        <item m="1" x="32"/>
        <item m="1" x="21"/>
        <item h="1" x="0"/>
        <item x="2"/>
        <item h="1" x="4"/>
        <item h="1" x="3"/>
        <item h="1" m="1" x="7"/>
        <item t="default"/>
      </items>
    </pivotField>
    <pivotField axis="axisPage" multipleItemSelectionAllowed="1" showAll="0">
      <items count="5">
        <item h="1" x="2"/>
        <item h="1" x="1"/>
        <item x="0"/>
        <item h="1" m="1" x="3"/>
        <item t="default"/>
      </items>
    </pivotField>
    <pivotField showAll="0"/>
    <pivotField showAll="0"/>
    <pivotField showAll="0"/>
  </pivotFields>
  <rowFields count="1">
    <field x="2"/>
  </rowFields>
  <rowItems count="4">
    <i>
      <x v="10"/>
    </i>
    <i>
      <x v="11"/>
    </i>
    <i>
      <x v="15"/>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2" baseItem="10"/>
    <dataField name="Tarpaulin " fld="11" baseField="2" baseItem="10"/>
    <dataField name="Blanket " fld="12" baseField="2" baseItem="10"/>
    <dataField name="Kitchen Set " fld="13" baseField="2" baseItem="10"/>
    <dataField name="Plastic Bucket " fld="15" baseField="2" baseItem="10"/>
    <dataField name="Plastic Mat " fld="16" baseField="2" baseItem="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5" cacheId="24"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
  <location ref="C68:H69" firstHeaderRow="0" firstDataRow="1" firstDataCol="0"/>
  <pivotFields count="46">
    <pivotField showAll="0"/>
    <pivotField showAll="0" defaultSubtotal="0"/>
    <pivotField showAll="0" defaultSubtotal="0"/>
    <pivotField showAll="0"/>
    <pivotField showAll="0"/>
    <pivotField showAl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dataFields count="6">
    <dataField name="Mosquito  net" fld="12" baseField="2" baseItem="4"/>
    <dataField name="Tarpaulin " fld="13" baseField="2" baseItem="4"/>
    <dataField name="Blanket " fld="14" baseField="2" baseItem="4"/>
    <dataField name="Kitchen Set " fld="15" baseField="2" baseItem="4"/>
    <dataField name="Plastic Bucket " fld="17" baseField="2" baseItem="4"/>
    <dataField name="Plastic Mat " fld="18" baseField="2"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4" cacheId="2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U18:AV40" firstHeaderRow="1" firstDataRow="1" firstDataCol="1" rowPageCount="1" colPageCount="1"/>
  <pivotFields count="46">
    <pivotField numFmtId="169" showAll="0"/>
    <pivotField axis="axisPage" multipleItemSelectionAllowed="1" showAll="0" defaultSubtotal="0">
      <items count="22">
        <item x="0"/>
        <item x="12"/>
        <item x="9"/>
        <item x="10"/>
        <item x="11"/>
        <item x="1"/>
        <item x="13"/>
        <item x="2"/>
        <item x="14"/>
        <item x="3"/>
        <item x="4"/>
        <item x="5"/>
        <item x="6"/>
        <item x="7"/>
        <item x="8"/>
        <item x="15"/>
        <item x="16"/>
        <item x="17"/>
        <item x="18"/>
        <item x="19"/>
        <item x="20"/>
        <item x="21"/>
      </items>
    </pivotField>
    <pivotField showAll="0"/>
    <pivotField showAll="0"/>
    <pivotField showAll="0"/>
    <pivotField axis="axisRow" dataField="1" showAll="0">
      <items count="22">
        <item x="5"/>
        <item x="7"/>
        <item x="6"/>
        <item x="10"/>
        <item x="9"/>
        <item x="2"/>
        <item x="1"/>
        <item x="11"/>
        <item x="4"/>
        <item x="8"/>
        <item x="12"/>
        <item x="0"/>
        <item x="15"/>
        <item x="16"/>
        <item x="3"/>
        <item x="14"/>
        <item x="13"/>
        <item x="17"/>
        <item x="18"/>
        <item x="19"/>
        <item x="20"/>
        <item t="default"/>
      </items>
    </pivotField>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2">
    <i>
      <x/>
    </i>
    <i>
      <x v="1"/>
    </i>
    <i>
      <x v="2"/>
    </i>
    <i>
      <x v="3"/>
    </i>
    <i>
      <x v="4"/>
    </i>
    <i>
      <x v="5"/>
    </i>
    <i>
      <x v="6"/>
    </i>
    <i>
      <x v="7"/>
    </i>
    <i>
      <x v="8"/>
    </i>
    <i>
      <x v="9"/>
    </i>
    <i>
      <x v="10"/>
    </i>
    <i>
      <x v="11"/>
    </i>
    <i>
      <x v="12"/>
    </i>
    <i>
      <x v="13"/>
    </i>
    <i>
      <x v="14"/>
    </i>
    <i>
      <x v="15"/>
    </i>
    <i>
      <x v="16"/>
    </i>
    <i>
      <x v="17"/>
    </i>
    <i>
      <x v="18"/>
    </i>
    <i>
      <x v="19"/>
    </i>
    <i>
      <x v="20"/>
    </i>
    <i t="grand">
      <x/>
    </i>
  </rowItems>
  <colItems count="1">
    <i/>
  </colItems>
  <pageFields count="1">
    <pageField fld="1" hier="-1"/>
  </pageFields>
  <dataFields count="1">
    <dataField name="Count of Township"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ampList" displayName="CampList" ref="B4:AF307" tableType="xml" totalsRowShown="0" headerRowDxfId="1258" dataDxfId="1257" headerRowCellStyle="Normal_Sheet11">
  <autoFilter ref="B4:AF307">
    <filterColumn colId="0">
      <filters>
        <filter val="Open"/>
      </filters>
    </filterColumn>
  </autoFilter>
  <sortState ref="B5:AF305">
    <sortCondition sortBy="cellColor" ref="S4:S306" dxfId="1256"/>
  </sortState>
  <tableColumns count="31">
    <tableColumn id="24" uniqueName="Status" name="Status" dataDxfId="1255" dataCellStyle="Normal_Sheet3_1">
      <xmlColumnPr mapId="11" xpath="/dataroot/Camp_x005f_x0020_List/Status" xmlDataType="string"/>
    </tableColumn>
    <tableColumn id="2" uniqueName="State" name="State" dataDxfId="1254">
      <xmlColumnPr mapId="11" xpath="/dataroot/Camp_x005f_x0020_List/State" xmlDataType="string"/>
    </tableColumn>
    <tableColumn id="12" uniqueName="S_Pcode" name="S_Pcode" dataDxfId="1253">
      <xmlColumnPr mapId="11" xpath="/dataroot/Camp_x005f_x0020_List/S_Pcode" xmlDataType="string"/>
    </tableColumn>
    <tableColumn id="23" uniqueName="District" name="District" dataDxfId="1252">
      <xmlColumnPr mapId="11" xpath="/dataroot/Camp_x005f_x0020_List/District" xmlDataType="string"/>
    </tableColumn>
    <tableColumn id="19" uniqueName="D_Pcode" name="D_Pcode" dataDxfId="1251">
      <xmlColumnPr mapId="11" xpath="/dataroot/Camp_x005f_x0020_List/D_Pcode" xmlDataType="string"/>
    </tableColumn>
    <tableColumn id="3" uniqueName="Township" name="Township" dataDxfId="1250">
      <xmlColumnPr mapId="11" xpath="/dataroot/Camp_x005f_x0020_List/Township" xmlDataType="string"/>
    </tableColumn>
    <tableColumn id="13" uniqueName="T_Pcode" name="T_Pcode" dataDxfId="1249">
      <xmlColumnPr mapId="11" xpath="/dataroot/Camp_x005f_x0020_List/T_Pcode" xmlDataType="string"/>
    </tableColumn>
    <tableColumn id="14" uniqueName="VillageTracKTown" name="VillageTracKTown" dataDxfId="1248">
      <xmlColumnPr mapId="11" xpath="/dataroot/Camp_x005f_x0020_List/VillageTracKTown" xmlDataType="string"/>
    </tableColumn>
    <tableColumn id="15" uniqueName="VTT_Pcode" name="VTT_Pcode" dataDxfId="1247">
      <xmlColumnPr mapId="11" xpath="/dataroot/Camp_x005f_x0020_List/VTT_Pcode" xmlDataType="string"/>
    </tableColumn>
    <tableColumn id="16" uniqueName="VillageWard_Name" name="VillageWard_Name" dataDxfId="1246">
      <xmlColumnPr mapId="11" xpath="/dataroot/Camp_x005f_x0020_List/VillageWard_Name" xmlDataType="string"/>
    </tableColumn>
    <tableColumn id="17" uniqueName="VW_Pcode" name="VW_Pcode" dataDxfId="1245">
      <xmlColumnPr mapId="11" xpath="/dataroot/Camp_x005f_x0020_List/VW_Pcode" xmlDataType="string"/>
    </tableColumn>
    <tableColumn id="4" uniqueName="Camp" name="Camp" dataDxfId="1244">
      <xmlColumnPr mapId="11" xpath="/dataroot/Camp_x005f_x0020_List/Camp" xmlDataType="string"/>
    </tableColumn>
    <tableColumn id="5" uniqueName="CP_Pcode" name="CP_Pcode" dataDxfId="1243">
      <xmlColumnPr mapId="11" xpath="/dataroot/Camp_x005f_x0020_List/CP_Pcode" xmlDataType="string"/>
    </tableColumn>
    <tableColumn id="6" uniqueName="Longitude" name="Longitude" dataDxfId="1242">
      <xmlColumnPr mapId="11" xpath="/dataroot/Camp_x005f_x0020_List/Longitude" xmlDataType="double"/>
    </tableColumn>
    <tableColumn id="7" uniqueName="Latitude" name="Latitude" dataDxfId="1241">
      <xmlColumnPr mapId="11" xpath="/dataroot/Camp_x005f_x0020_List/Latitude" xmlDataType="double"/>
    </tableColumn>
    <tableColumn id="25" uniqueName="Altitude" name="Altitude" dataDxfId="1240">
      <xmlColumnPr mapId="11" xpath="/dataroot/Camp_x005f_x0020_List/Altitude" xmlDataType="double"/>
    </tableColumn>
    <tableColumn id="8" uniqueName="HH" name="HH" dataDxfId="1239">
      <xmlColumnPr mapId="11" xpath="/dataroot/Camp_x005f_x0020_List/HH" xmlDataType="double"/>
    </tableColumn>
    <tableColumn id="9" uniqueName="Total" name="Total" dataDxfId="1238">
      <xmlColumnPr mapId="11" xpath="/dataroot/Camp_x005f_x0020_List/Total" xmlDataType="double"/>
    </tableColumn>
    <tableColumn id="11" uniqueName="Avg" name="Avg" dataDxfId="1237">
      <calculatedColumnFormula>IF(CampList[[#This Row],[HH]]&gt;0,CampList[[#This Row],[Total]]/CampList[[#This Row],[HH]],"NA")</calculatedColumnFormula>
      <xmlColumnPr mapId="11" xpath="/dataroot/Camp_x005f_x0020_List/Avg" xmlDataType="string"/>
    </tableColumn>
    <tableColumn id="28" uniqueName="Accessibility" name="Accessibility" dataDxfId="1236">
      <xmlColumnPr mapId="11" xpath="/dataroot/Camp_x005f_x0020_List/Accessibility" xmlDataType="string"/>
    </tableColumn>
    <tableColumn id="1" uniqueName="Affected Population" name="Affected Population" dataDxfId="1235">
      <xmlColumnPr mapId="11" xpath="/dataroot/Camp_x005f_x0020_List/Affected_x005f_x0020_Population" xmlDataType="string"/>
    </tableColumn>
    <tableColumn id="29" uniqueName="Type of Accomodation" name="Type of Accomodation" dataDxfId="1234">
      <xmlColumnPr mapId="11" xpath="/dataroot/Camp_x005f_x0020_List/Type_x005f_x0020_of_x005f_x0020_Accomodation" xmlDataType="string"/>
    </tableColumn>
    <tableColumn id="30" uniqueName="Type of Location" name="Type of Location" dataDxfId="1233">
      <xmlColumnPr mapId="11" xpath="/dataroot/Camp_x005f_x0020_List/Type_x005f_x0020_of_x005f_x0020_Location" xmlDataType="string"/>
    </tableColumn>
    <tableColumn id="31" uniqueName="Opening Date" name="Opening Date" dataDxfId="1232">
      <xmlColumnPr mapId="11" xpath="/dataroot/Camp_x005f_x0020_List/Opening_x005f_x0020_Date" xmlDataType="dateTime"/>
    </tableColumn>
    <tableColumn id="26" uniqueName="Responsible Agency" name="Responsible Agency" dataDxfId="1231">
      <xmlColumnPr mapId="11" xpath="/dataroot/Camp_x005f_x0020_List/Responsible_x005f_x0020_Agency" xmlDataType="string"/>
    </tableColumn>
    <tableColumn id="18" uniqueName="Source" name="Source" dataDxfId="1230">
      <xmlColumnPr mapId="11" xpath="/dataroot/Camp_x005f_x0020_List/Source" xmlDataType="string"/>
    </tableColumn>
    <tableColumn id="10" uniqueName="Update Date" name="Update Date" dataDxfId="1229">
      <xmlColumnPr mapId="11" xpath="/dataroot/Camp_x005f_x0020_List/Update_x005f_x0020_Date" xmlDataType="dateTime"/>
    </tableColumn>
    <tableColumn id="21" uniqueName="Comment" name="Comment" dataDxfId="1228">
      <xmlColumnPr mapId="11" xpath="/dataroot/Camp_x005f_x0020_List/Comment" xmlDataType="string"/>
    </tableColumn>
    <tableColumn id="35" uniqueName="Nearest_Town" name="Nearest_Town" dataDxfId="1227">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226"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225">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201" totalsRowShown="0">
  <autoFilter ref="A1:C201"/>
  <sortState ref="A2:C166">
    <sortCondition ref="A1:A166"/>
  </sortState>
  <tableColumns count="3">
    <tableColumn id="1" name="CP_Pcode" dataDxfId="1224"/>
    <tableColumn id="2" name="Nearest Town" dataDxfId="1223"/>
    <tableColumn id="3" name="distance" dataDxfId="1222"/>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J1:J4" totalsRowShown="0" headerRowDxfId="1221" dataDxfId="1220">
  <autoFilter ref="J1:J4"/>
  <tableColumns count="1">
    <tableColumn id="1" name="State" dataDxfId="1219"/>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L1:L24" totalsRowShown="0" headerRowDxfId="1218" dataDxfId="1217">
  <autoFilter ref="L1:L24"/>
  <tableColumns count="1">
    <tableColumn id="1" name="Kachin" dataDxfId="1216"/>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N1:N7" totalsRowShown="0" headerRowDxfId="1215" dataDxfId="1214">
  <autoFilter ref="N1:N7"/>
  <tableColumns count="1">
    <tableColumn id="1" name="Shan_North" dataDxfId="1213"/>
  </tableColumns>
  <tableStyleInfo name="TableStyleMedium2" showFirstColumn="0" showLastColumn="0" showRowStripes="1" showColumnStripes="0"/>
</table>
</file>

<file path=xl/tables/table6.xml><?xml version="1.0" encoding="utf-8"?>
<table xmlns="http://schemas.openxmlformats.org/spreadsheetml/2006/main" id="7" name="Table58" displayName="Table58" ref="T2:AG26" totalsRowCount="1" headerRowDxfId="1178" dataDxfId="1176" totalsRowDxfId="1174" headerRowBorderDxfId="1177" tableBorderDxfId="1175" totalsRowBorderDxfId="1173" dataCellStyle="Percent">
  <autoFilter ref="T2:AG25"/>
  <tableColumns count="14">
    <tableColumn id="1" name="Pcode" dataDxfId="1172" totalsRowDxfId="1171"/>
    <tableColumn id="2" name="Township" totalsRowLabel="Kachin/Shan" dataDxfId="1170" totalsRowDxfId="1169"/>
    <tableColumn id="3" name="Long." totalsRowLabel="96.00" dataDxfId="1168" totalsRowDxfId="1167"/>
    <tableColumn id="4" name="Lat." totalsRowLabel="27.00" dataDxfId="1166" totalsRowDxfId="1165"/>
    <tableColumn id="5" name="HS" totalsRowFunction="sum" dataDxfId="1164" totalsRowDxfId="1163">
      <calculatedColumnFormula>#REF!</calculatedColumnFormula>
    </tableColumn>
    <tableColumn id="6" name="Pop" totalsRowFunction="sum" dataDxfId="1162" totalsRowDxfId="1161" dataCellStyle="Comma"/>
    <tableColumn id="7" name="N_cps" totalsRowFunction="custom" dataDxfId="1160" totalsRowDxfId="1159">
      <calculatedColumnFormula>CONCATENATE(AG2," cp",IF(AG2&gt;1,"s",""))</calculatedColumnFormula>
      <totalsRowFormula>CONCATENATE(Table58[[#Totals],[Column1]]," camps")</totalsRowFormula>
    </tableColumn>
    <tableColumn id="8" name="Coverage" totalsRowFunction="custom" dataDxfId="1158" totalsRowDxfId="1157" dataCellStyle="Percent">
      <calculatedColumnFormula>#REF!</calculatedColumnFormula>
      <totalsRowFormula>SUMPRODUCT(Table58[Pop]*Table58[Coverage])/Table58[[#Totals],[Pop]]</totalsRowFormula>
    </tableColumn>
    <tableColumn id="9" name="Hygiene" totalsRowFunction="custom" dataDxfId="1156" totalsRowDxfId="1155" dataCellStyle="Percent">
      <totalsRowFormula>SUMPRODUCT(Table58[Pop]*Table58[Hygiene])/Table58[[#Totals],[Pop]]</totalsRowFormula>
    </tableColumn>
    <tableColumn id="10" name="Core" totalsRowFunction="custom" dataDxfId="1154" totalsRowDxfId="1153" dataCellStyle="Percent">
      <totalsRowFormula>SUMPRODUCT(Table58[Pop]*Table58[Core])/Table58[[#Totals],[Pop]]</totalsRowFormula>
    </tableColumn>
    <tableColumn id="11" name="Sanitary" totalsRowFunction="custom" dataDxfId="1152" totalsRowDxfId="1151" dataCellStyle="Percent">
      <totalsRowFormula>SUMPRODUCT(Table58[Pop]*Table58[Sanitary])/Table58[[#Totals],[Pop]]</totalsRowFormula>
    </tableColumn>
    <tableColumn id="12" name="Y" totalsRowFunction="custom" dataDxfId="1150" totalsRowDxfId="1149">
      <calculatedColumnFormula>$S$3-ROUND((W3-$S$1)*$S$5,0)</calculatedColumnFormula>
      <totalsRowFormula>1000-ROUND((W26-23.5)*$S$5,0)</totalsRowFormula>
    </tableColumn>
    <tableColumn id="13" name="X" totalsRowFunction="custom" dataDxfId="1148" totalsRowDxfId="1147">
      <calculatedColumnFormula>ROUND((V3-$S$2)*$S$5,0)+$S$4</calculatedColumnFormula>
      <totalsRowFormula>ROUND((V26-96.5)*$S$5,0)+100</totalsRowFormula>
    </tableColumn>
    <tableColumn id="14" name="Column1" totalsRowFunction="sum" dataDxfId="1146" totalsRowDxfId="1145" dataCellStyle="Comma">
      <calculatedColumnFormula>#REF!</calculatedColumnFormula>
    </tableColumn>
  </tableColumns>
  <tableStyleInfo name="TableStyleMedium10" showFirstColumn="0" showLastColumn="0" showRowStripes="1" showColumnStripes="0"/>
</table>
</file>

<file path=xl/tables/table7.xml><?xml version="1.0" encoding="utf-8"?>
<table xmlns="http://schemas.openxmlformats.org/spreadsheetml/2006/main" id="8" name="Shelter_Draw" displayName="Shelter_Draw" ref="CD16:CG32" totalsRowShown="0" headerRowDxfId="559" dataDxfId="557" headerRowBorderDxfId="558" tableBorderDxfId="556" totalsRowBorderDxfId="555">
  <autoFilter ref="CD16:CG32"/>
  <tableColumns count="4">
    <tableColumn id="1" name="Township" dataDxfId="554">
      <calculatedColumnFormula>B10</calculatedColumnFormula>
    </tableColumn>
    <tableColumn id="2" name="V1" dataDxfId="553">
      <calculatedColumnFormula>C10-Shelter_Draw[[#This Row],[V2]]-Shelter_Draw[[#This Row],[V3]]</calculatedColumnFormula>
    </tableColumn>
    <tableColumn id="3" name="V2" dataDxfId="552">
      <calculatedColumnFormula>H10</calculatedColumnFormula>
    </tableColumn>
    <tableColumn id="4" name="V3" dataDxfId="551">
      <calculatedColumnFormula>G10-H10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4" name="Table4" displayName="Table4" ref="B9:H30" totalsRowShown="0" headerRowDxfId="550" dataDxfId="549" tableBorderDxfId="548">
  <tableColumns count="7">
    <tableColumn id="1" name="Township" dataDxfId="547"/>
    <tableColumn id="2" name="# HHs" dataDxfId="546"/>
    <tableColumn id="3" name="# Individuals" dataDxfId="545"/>
    <tableColumn id="4" name="# Shelters needed" dataDxfId="544"/>
    <tableColumn id="5" name="# Shelters planned" dataDxfId="543"/>
    <tableColumn id="6" name="# Shelter gap*" dataDxfId="542"/>
    <tableColumn id="7" name="Current Coverage" dataDxfId="541">
      <calculatedColumnFormula>IF(AND(E10=0,F10=0),"",IF((IFERROR(F10/E10,0))=0,"no coverage",F10/E10))</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11" name="Table312" displayName="Table312" ref="B4:BN39" headerRowCount="0" totalsRowShown="0" headerRowDxfId="540" dataDxfId="538" headerRowBorderDxfId="539" tableBorderDxfId="537">
  <tableColumns count="65">
    <tableColumn id="1" name="Column1" headerRowDxfId="536" dataDxfId="535"/>
    <tableColumn id="2" name="Column2" headerRowDxfId="534" dataDxfId="533"/>
    <tableColumn id="3" name="Column3" headerRowDxfId="532" dataDxfId="531"/>
    <tableColumn id="4" name="Column4" headerRowDxfId="530" dataDxfId="529"/>
    <tableColumn id="5" name="Column5" headerRowDxfId="528" dataDxfId="527"/>
    <tableColumn id="6" name="Column6" headerRowDxfId="526" dataDxfId="525"/>
    <tableColumn id="7" name="Column7" headerRowDxfId="524" dataDxfId="523"/>
    <tableColumn id="8" name="Column8" headerRowDxfId="522" dataDxfId="521"/>
    <tableColumn id="9" name="Column9" headerRowDxfId="520" dataDxfId="519"/>
    <tableColumn id="10" name="Column10" headerRowDxfId="518" dataDxfId="517"/>
    <tableColumn id="11" name="Column11" headerRowDxfId="516" dataDxfId="515"/>
    <tableColumn id="65" name="Column65" headerRowDxfId="514" dataDxfId="513"/>
    <tableColumn id="64" name="Column64" headerRowDxfId="512" dataDxfId="511"/>
    <tableColumn id="63" name="Column63" headerRowDxfId="510" dataDxfId="509"/>
    <tableColumn id="59" name="Column62" headerRowDxfId="508" dataDxfId="507"/>
    <tableColumn id="58" name="Column61" headerRowDxfId="506" dataDxfId="505"/>
    <tableColumn id="57" name="Column60" headerRowDxfId="504" dataDxfId="503"/>
    <tableColumn id="12" name="Column12" headerRowDxfId="502" dataDxfId="501"/>
    <tableColumn id="13" name="Column13" headerRowDxfId="500" dataDxfId="499"/>
    <tableColumn id="14" name="Column14" headerRowDxfId="498" dataDxfId="497"/>
    <tableColumn id="15" name="Column15" headerRowDxfId="496" dataDxfId="495"/>
    <tableColumn id="16" name="Column16" headerRowDxfId="494" dataDxfId="493"/>
    <tableColumn id="17" name="Column17" headerRowDxfId="492" dataDxfId="491"/>
    <tableColumn id="18" name="Column18" headerRowDxfId="490" dataDxfId="489"/>
    <tableColumn id="19" name="Column19" headerRowDxfId="488" dataDxfId="487"/>
    <tableColumn id="20" name="Column20" headerRowDxfId="486" dataDxfId="485"/>
    <tableColumn id="21" name="Column21" headerRowDxfId="484" dataDxfId="483"/>
    <tableColumn id="22" name="Column22" headerRowDxfId="482" dataDxfId="481"/>
    <tableColumn id="23" name="Column23" headerRowDxfId="480" dataDxfId="479"/>
    <tableColumn id="24" name="Column24" headerRowDxfId="478" dataDxfId="477"/>
    <tableColumn id="25" name="Column25" headerRowDxfId="476" dataDxfId="475"/>
    <tableColumn id="26" name="Column26" headerRowDxfId="474" dataDxfId="473"/>
    <tableColumn id="27" name="Column27" headerRowDxfId="472" dataDxfId="471"/>
    <tableColumn id="28" name="Column28" headerRowDxfId="470" dataDxfId="469"/>
    <tableColumn id="29" name="Column29" headerRowDxfId="468" dataDxfId="467"/>
    <tableColumn id="30" name="Column30" headerRowDxfId="466" dataDxfId="465"/>
    <tableColumn id="31" name="Column31" headerRowDxfId="464" dataDxfId="463"/>
    <tableColumn id="32" name="Column32" headerRowDxfId="462" dataDxfId="461"/>
    <tableColumn id="60" name="Column57" headerRowDxfId="460" dataDxfId="459"/>
    <tableColumn id="61" name="Column58" headerRowDxfId="458" dataDxfId="457"/>
    <tableColumn id="62" name="Column59" headerRowDxfId="456" dataDxfId="455"/>
    <tableColumn id="33" name="Column33" headerRowDxfId="454" dataDxfId="453"/>
    <tableColumn id="34" name="Column34" headerRowDxfId="452" dataDxfId="451"/>
    <tableColumn id="35" name="Column35" headerRowDxfId="450" dataDxfId="449"/>
    <tableColumn id="36" name="Column36" headerRowDxfId="448" dataDxfId="447"/>
    <tableColumn id="37" name="Column37" headerRowDxfId="446" dataDxfId="445"/>
    <tableColumn id="38" name="Column38" headerRowDxfId="444" dataDxfId="443"/>
    <tableColumn id="51" name="Column51" headerRowDxfId="442" dataDxfId="441"/>
    <tableColumn id="52" name="Column52" headerRowDxfId="440" dataDxfId="439"/>
    <tableColumn id="53" name="Column53" headerRowDxfId="438" dataDxfId="437"/>
    <tableColumn id="54" name="Column54" headerRowDxfId="436" dataDxfId="435"/>
    <tableColumn id="55" name="Column55" headerRowDxfId="434" dataDxfId="433"/>
    <tableColumn id="56" name="Column56" headerRowDxfId="432" dataDxfId="431"/>
    <tableColumn id="39" name="Column39" headerRowDxfId="430" dataDxfId="429"/>
    <tableColumn id="40" name="Column40" headerRowDxfId="428" dataDxfId="427"/>
    <tableColumn id="41" name="Column41" headerRowDxfId="426" dataDxfId="425"/>
    <tableColumn id="42" name="Column42" headerRowDxfId="424" dataDxfId="423"/>
    <tableColumn id="43" name="Column43" headerRowDxfId="422" dataDxfId="421"/>
    <tableColumn id="44" name="Column44" headerRowDxfId="420" dataDxfId="419"/>
    <tableColumn id="45" name="Column45" headerRowDxfId="418" dataDxfId="417"/>
    <tableColumn id="46" name="Column46" headerRowDxfId="416" dataDxfId="415"/>
    <tableColumn id="47" name="Column47" headerRowDxfId="414" dataDxfId="413"/>
    <tableColumn id="48" name="Column48" headerRowDxfId="412" dataDxfId="411"/>
    <tableColumn id="49" name="Column49" headerRowDxfId="410" dataDxfId="409"/>
    <tableColumn id="50" name="Column50" headerRowDxfId="408" dataDxfId="407"/>
  </tableColumns>
  <tableStyleInfo name="TableStyleLight2" showFirstColumn="0" showLastColumn="0" showRowStripes="1" showColumnStripes="0"/>
</table>
</file>

<file path=xl/tables/table10.xml><?xml version="1.0" encoding="utf-8"?>
<table xmlns="http://schemas.openxmlformats.org/spreadsheetml/2006/main" id="2" name="Table_NFI" displayName="Table_NFI" ref="B5:AU366" tableType="xml" totalsRowShown="0" headerRowDxfId="404" dataDxfId="402" headerRowBorderDxfId="403" tableBorderDxfId="401" totalsRowBorderDxfId="400">
  <autoFilter ref="B5:AU366"/>
  <sortState ref="B6:AT180">
    <sortCondition ref="B5:B180"/>
  </sortState>
  <tableColumns count="46">
    <tableColumn id="1" uniqueName="Distribution Date" name="Distribution Date" dataDxfId="399">
      <xmlColumnPr mapId="8" xpath="/dataroot/NFI_x005f_x0020_Tracking/Distribution_x005f_x0020_Date" xmlDataType="dateTime"/>
    </tableColumn>
    <tableColumn id="29" uniqueName="29" name="Distribution Month/Year (Auto-calculated)" dataDxfId="398">
      <calculatedColumnFormula>MONTH(Table_NFI[[#This Row],[Distribution Date]]) &amp; "/" &amp; YEAR(Table_NFI[[#This Row],[Distribution Date]])</calculatedColumnFormula>
    </tableColumn>
    <tableColumn id="2" uniqueName="Organization" name="Agency" dataDxfId="397">
      <xmlColumnPr mapId="8" xpath="/dataroot/NFI_x005f_x0020_Tracking/Organization" xmlDataType="string"/>
    </tableColumn>
    <tableColumn id="3" uniqueName="Implementing Partner" name="Implementing Partner" dataDxfId="396">
      <xmlColumnPr mapId="8" xpath="/dataroot/NFI_x005f_x0020_Tracking/Implementing_x005f_x0020_Partner" xmlDataType="string"/>
    </tableColumn>
    <tableColumn id="4" uniqueName="State" name="State" dataDxfId="395">
      <xmlColumnPr mapId="8" xpath="/dataroot/NFI_x005f_x0020_Tracking/State" xmlDataType="string"/>
    </tableColumn>
    <tableColumn id="5" uniqueName="Township" name="Township" dataDxfId="394">
      <xmlColumnPr mapId="8" xpath="/dataroot/NFI_x005f_x0020_Tracking/Township" xmlDataType="string"/>
    </tableColumn>
    <tableColumn id="6" uniqueName="Camp Name" name="Location" dataDxfId="393">
      <xmlColumnPr mapId="8" xpath="/dataroot/NFI_x005f_x0020_Tracking/Camp_x005f_x0020_Name" xmlDataType="string"/>
    </tableColumn>
    <tableColumn id="44" uniqueName="44" name="Cash for NFI (# of HHs covered)" dataDxfId="392"/>
    <tableColumn id="7" uniqueName="Hygiene Kit" name="Hygiene Kit" dataDxfId="391">
      <xmlColumnPr mapId="8" xpath="/dataroot/NFI_x005f_x0020_Tracking/Hygiene_x005f_x0020_Kit" xmlDataType="string"/>
    </tableColumn>
    <tableColumn id="15" uniqueName="15" name="Dignity Kit" dataDxfId="390"/>
    <tableColumn id="8" uniqueName="NFI Core Kit" name="NFI Core Kit" dataDxfId="389">
      <xmlColumnPr mapId="8" xpath="/dataroot/NFI_x005f_x0020_Tracking/NFI_x005f_x0020_Core_x005f_x0020_Kit" xmlDataType="string"/>
    </tableColumn>
    <tableColumn id="9" uniqueName="Sanitary Kit" name="Sanitary Kit" dataDxfId="388">
      <xmlColumnPr mapId="8" xpath="/dataroot/NFI_x005f_x0020_Tracking/Sanitary_x005f_x0020_Kit" xmlDataType="string"/>
    </tableColumn>
    <tableColumn id="10" uniqueName="Mosquito net" name="Mosquito net" dataDxfId="387">
      <xmlColumnPr mapId="8" xpath="/dataroot/NFI_x005f_x0020_Tracking/Mosquito_x005f_x0020_net" xmlDataType="double"/>
    </tableColumn>
    <tableColumn id="11" uniqueName="Tarpaulin" name="Tarpaulin" dataDxfId="386">
      <xmlColumnPr mapId="8" xpath="/dataroot/NFI_x005f_x0020_Tracking/Tarpaulin" xmlDataType="double"/>
    </tableColumn>
    <tableColumn id="12" uniqueName="Blanket" name="Blanket" dataDxfId="385">
      <xmlColumnPr mapId="8" xpath="/dataroot/NFI_x005f_x0020_Tracking/Blanket" xmlDataType="double"/>
    </tableColumn>
    <tableColumn id="13" uniqueName="Kitchen Set" name="Kitchen Set" dataDxfId="384">
      <xmlColumnPr mapId="8" xpath="/dataroot/NFI_x005f_x0020_Tracking/Kitchen_x005f_x0020_Set" xmlDataType="double"/>
    </tableColumn>
    <tableColumn id="14" uniqueName="Clothes Kit" name="Clothes Kit" dataDxfId="383">
      <xmlColumnPr mapId="8" xpath="/dataroot/NFI_x005f_x0020_Tracking/Clothes_x005f_x0020_Kit" xmlDataType="double"/>
    </tableColumn>
    <tableColumn id="26" uniqueName="Plastic Bucket" name="Plastic Bucket" dataDxfId="382">
      <xmlColumnPr mapId="8" xpath="/dataroot/NFI_x005f_x0020_Tracking/Plastic_x005f_x0020_Bucket" xmlDataType="double"/>
    </tableColumn>
    <tableColumn id="25" uniqueName="Plastic Mat" name="Plastic Mat" dataDxfId="381">
      <xmlColumnPr mapId="8" xpath="/dataroot/NFI_x005f_x0020_Tracking/Plastic_x005f_x0020_Mat" xmlDataType="double"/>
    </tableColumn>
    <tableColumn id="47" uniqueName="Winter Clothes Adult" name="Winter Clothes Adult" dataDxfId="380">
      <xmlColumnPr mapId="8" xpath="/dataroot/NFI_x005f_x0020_Tracking/Winter_x005f_x0020_Clothes_x005f_x0020_Adult" xmlDataType="string"/>
    </tableColumn>
    <tableColumn id="46" uniqueName="Winter Clothes Children" name="Winter Clothes Children" dataDxfId="379">
      <xmlColumnPr mapId="8" xpath="/dataroot/NFI_x005f_x0020_Tracking/Winter_x005f_x0020_Clothes_x005f_x0020_Children" xmlDataType="string"/>
    </tableColumn>
    <tableColumn id="45" uniqueName="Winter Items Other" name="Winter Items Other" dataDxfId="378">
      <xmlColumnPr mapId="8" xpath="/dataroot/NFI_x005f_x0020_Tracking/Winter_x005f_x0020_Items_x005f_x0020_Other" xmlDataType="string"/>
    </tableColumn>
    <tableColumn id="32" uniqueName="Winter Blanket" name="Winter Blanket" dataDxfId="377">
      <xmlColumnPr mapId="8" xpath="/dataroot/NFI_x005f_x0020_Tracking/Winter_x005f_x0020_Blanket" xmlDataType="string"/>
    </tableColumn>
    <tableColumn id="38" uniqueName="38" name="Jerry Can" dataDxfId="376"/>
    <tableColumn id="23" uniqueName="23" name="Solar lamps" dataDxfId="375"/>
    <tableColumn id="41" uniqueName="41" name="Shelter Tool kit" dataDxfId="374"/>
    <tableColumn id="40" uniqueName="40" name="Tent" dataDxfId="373"/>
    <tableColumn id="16" uniqueName="NFI Core Kit_LS" name="NFI Core Kit_LS" dataDxfId="372">
      <calculatedColumnFormula>IF(NFI_Expiration=1,IF(#REF!&lt;VLOOKUP(L$5,NFI,5,0),1,0)*Table_NFI[[#This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371">
      <calculatedColumnFormula>IF(NFI_Expiration=1,IF(#REF!&lt;VLOOKUP(M$5,NFI,5,0),1,0)*Table_NFI[[#This Row],[Sanitary Kit]],Table_NFI[Sanitary Kit])</calculatedColumnFormula>
      <xmlColumnPr mapId="8" xpath="/dataroot/NFI_x005f_x0020_Tracking/Sanitary_x005f_x0020_Kit_LS" xmlDataType="string"/>
    </tableColumn>
    <tableColumn id="18" uniqueName="Mosquito net_LS" name="Mosquito net_LS" dataDxfId="370">
      <calculatedColumnFormula>IF(NFI_Expiration=1,IF(#REF!&lt;VLOOKUP(N$5,NFI,5,0),1,0)*Table_NFI[[#This Row],[Mosquito net]],Table_NFI[Mosquito net])</calculatedColumnFormula>
      <xmlColumnPr mapId="8" xpath="/dataroot/NFI_x005f_x0020_Tracking/Mosquito_x005f_x0020_net_LS" xmlDataType="string"/>
    </tableColumn>
    <tableColumn id="19" uniqueName="Tarpaulin_LS" name="Tarpaulin_LS" dataDxfId="369">
      <calculatedColumnFormula>IF(NFI_Expiration=1,IF(#REF!&lt;VLOOKUP(O$5,NFI,5,0),1,0)*Table_NFI[[#This Row],[Tarpaulin]],Table_NFI[[#This Row],[Tarpaulin]])</calculatedColumnFormula>
      <xmlColumnPr mapId="8" xpath="/dataroot/NFI_x005f_x0020_Tracking/Tarpaulin_LS" xmlDataType="string"/>
    </tableColumn>
    <tableColumn id="20" uniqueName="Blanket_LS" name="Blanket_LS" dataDxfId="368">
      <calculatedColumnFormula>IF(NFI_Expiration=1,IF(#REF!&lt;VLOOKUP(P$5,NFI,5,0),1,0)*Table_NFI[[#This Row],[Blanket]],Table_NFI[[#This Row],[Blanket]])</calculatedColumnFormula>
      <xmlColumnPr mapId="8" xpath="/dataroot/NFI_x005f_x0020_Tracking/Blanket_LS" xmlDataType="string"/>
    </tableColumn>
    <tableColumn id="21" uniqueName="Kitchen Set_LS" name="Kitchen Set_LS" dataDxfId="367">
      <calculatedColumnFormula>IF(NFI_Expiration=1,IF(#REF!&lt;VLOOKUP(Q$5,NFI,5,0),1,0)*Table_NFI[[#This Row],[Kitchen Set]],Table_NFI[Kitchen Set])</calculatedColumnFormula>
      <xmlColumnPr mapId="8" xpath="/dataroot/NFI_x005f_x0020_Tracking/Kitchen_x005f_x0020_Set_LS" xmlDataType="string"/>
    </tableColumn>
    <tableColumn id="22" uniqueName="Clothes Kit_LS" name="Clothes Kit_LS" dataDxfId="366">
      <calculatedColumnFormula>IF(NFI_Expiration=1,IF(#REF!&lt;VLOOKUP(R$5,NFI,5,0),1,0)*Table_NFI[[#This Row],[Clothes Kit]],Table_NFI[Clothes Kit])</calculatedColumnFormula>
      <xmlColumnPr mapId="8" xpath="/dataroot/NFI_x005f_x0020_Tracking/Clothes_x005f_x0020_Kit_LS" xmlDataType="string"/>
    </tableColumn>
    <tableColumn id="28" uniqueName="Plastic Bucket _LS" name="Plastic Bucket _LS" dataDxfId="365">
      <calculatedColumnFormula>IF(NFI_Expiration=1,IF(#REF!&lt;VLOOKUP(S$5,NFI,5,0),1,0)*Table_NFI[[#This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364">
      <calculatedColumnFormula>IF(NFI_Expiration=1,IF(#REF!&lt;VLOOKUP(T$5,NFI,5,0),1,0)*Table_NFI[[#This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363">
      <calculatedColumnFormula>IF(NFI_Expiration=1,IF(#REF!&lt;VLOOKUP(U$5,NFI,5,0),1,0)*Table_NFI[[#This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362">
      <xmlColumnPr mapId="8" xpath="/dataroot/NFI_x005f_x0020_Tracking/Winter_x005f_x0020_Clothes_x005f_x0020_Children_LS" xmlDataType="string"/>
    </tableColumn>
    <tableColumn id="48" uniqueName="Winter Items Other_LS" name="Winter Items Other_LS" dataDxfId="361">
      <xmlColumnPr mapId="8" xpath="/dataroot/NFI_x005f_x0020_Tracking/Winter_x005f_x0020_Items_x005f_x0020_Other_LS" xmlDataType="string"/>
    </tableColumn>
    <tableColumn id="33" uniqueName="Winter Blanket_LS" name="Winter Blanket_LS" dataDxfId="360">
      <xmlColumnPr mapId="8" xpath="/dataroot/NFI_x005f_x0020_Tracking/Winter_x005f_x0020_Blanket_LS" xmlDataType="string"/>
    </tableColumn>
    <tableColumn id="36" uniqueName="Winter" name="Winter" dataDxfId="359">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358"/>
    <tableColumn id="42" uniqueName="42" name="Shelter Tool kit_LS" dataDxfId="357"/>
    <tableColumn id="43" uniqueName="43" name="Tent_LS" dataDxfId="356"/>
    <tableColumn id="24" uniqueName="Pcode" name="Pcode" dataDxfId="355">
      <calculatedColumnFormula>IFERROR(VLOOKUP(Table_NFI[[#This Row],[Location]],CL,2,0),"")</calculatedColumnFormula>
      <xmlColumnPr mapId="8" xpath="/dataroot/NFI_x005f_x0020_Tracking/Pcode" xmlDataType="string"/>
    </tableColumn>
    <tableColumn id="37" uniqueName="Comment" name="Comment" dataDxfId="354">
      <xmlColumnPr mapId="8" xpath="/dataroot/NFI_x005f_x0020_Tracking/Comment" xmlDataType="string"/>
    </tableColumn>
  </tableColumns>
  <tableStyleInfo name="TableStyleMedium9" showFirstColumn="0" showLastColumn="0" showRowStripes="1" showColumnStripes="0"/>
</table>
</file>

<file path=xl/tables/table11.xml><?xml version="1.0" encoding="utf-8"?>
<table xmlns="http://schemas.openxmlformats.org/spreadsheetml/2006/main" id="10" name="Table10" displayName="Table10" ref="A1:N168" totalsRowShown="0" headerRowDxfId="351" headerRowBorderDxfId="350" tableBorderDxfId="349" totalsRowBorderDxfId="348">
  <autoFilter ref="A1:N168"/>
  <tableColumns count="14">
    <tableColumn id="5" name="Pcode" dataDxfId="347"/>
    <tableColumn id="2" name="Priority" dataDxfId="346">
      <calculatedColumnFormula>OFFSET(#REF!,MATCH(Table10[[#This Row],[Pcode]],CampList[CP_Pcode],0)-1,0,1,1)</calculatedColumnFormula>
    </tableColumn>
    <tableColumn id="1" name="Camp" dataDxfId="345">
      <calculatedColumnFormula>OFFSET(CampList[Camp],MATCH(Table10[[#This Row],[Pcode]],CampList[CP_Pcode],0)-1,0,1,1)</calculatedColumnFormula>
    </tableColumn>
    <tableColumn id="4" name="Township" dataDxfId="344">
      <calculatedColumnFormula>OFFSET(CampList[Township],MATCH(Table10[[#This Row],[Pcode]],CampList[CP_Pcode],0)-1,0,1,1)</calculatedColumnFormula>
    </tableColumn>
    <tableColumn id="6" name="HH" dataDxfId="343">
      <calculatedColumnFormula>OFFSET(CampList[HH],MATCH(Table10[[#This Row],[Pcode]],CampList[CP_Pcode],0)-1,0,1,1)</calculatedColumnFormula>
    </tableColumn>
    <tableColumn id="7" name="Ind" dataDxfId="342">
      <calculatedColumnFormula>OFFSET(CampList[Total],MATCH(Table10[[#This Row],[Pcode]],CampList[CP_Pcode],0)-1,0,1,1)</calculatedColumnFormula>
    </tableColumn>
    <tableColumn id="8" name="Winter Clothes Adult " dataDxfId="341">
      <calculatedColumnFormula>SUMIF('NFI Distributions'!AU$53:AU$1048576,Table10[[#This Row],[Pcode]],'NFI Distributions'!AM$53:AM$1048576)</calculatedColumnFormula>
    </tableColumn>
    <tableColumn id="9" name="Winter Clothes Children " dataDxfId="340">
      <calculatedColumnFormula>SUMIF('NFI Distributions'!AU$53:AU$1048576,Table10[[#This Row],[Pcode]],'NFI Distributions'!AN$53:AN$1048576)</calculatedColumnFormula>
    </tableColumn>
    <tableColumn id="10" name="Winter Items Other " dataDxfId="339">
      <calculatedColumnFormula>SUMIF('NFI Distributions'!AU$53:AU$1048576,Table10[[#This Row],[Pcode]],'NFI Distributions'!AO$53:AO$1048576)</calculatedColumnFormula>
    </tableColumn>
    <tableColumn id="11" name="WC_Adult_Gap" dataDxfId="338">
      <calculatedColumnFormula>MAX(Table10[[#This Row],[HH]]*VLOOKUP("Winter Clothes Adult",NFI,6)-Table10[[#This Row],[Winter Clothes Adult ]],0)</calculatedColumnFormula>
    </tableColumn>
    <tableColumn id="12" name="WC_Child_Gap" dataDxfId="337">
      <calculatedColumnFormula>MAX(Table10[[#This Row],[HH]]*VLOOKUP("Winter Clothes Children ",NFI,6)-Table10[[#This Row],[Winter Clothes Children ]],0)</calculatedColumnFormula>
    </tableColumn>
    <tableColumn id="13" name="WI_Other_Gap" dataDxfId="336">
      <calculatedColumnFormula>MAX(Table10[[#This Row],[HH]]*VLOOKUP("Winter Items Other ",NFI,6)-Table10[[#This Row],[Winter Items Other ]],0)</calculatedColumnFormula>
    </tableColumn>
    <tableColumn id="3" name="Planned Distribution" dataDxfId="335">
      <calculatedColumnFormula>IF(OR(Table10[[#This Row],[Winter Clothes Adult ]]&lt;&gt;0,Table10[[#This Row],[Winter Clothes Children ]]&lt;&gt;0,Table10[[#This Row],[Winter Items Other ]]&lt;&gt;0),"No","")</calculatedColumnFormula>
    </tableColumn>
    <tableColumn id="14" name="Check1" dataDxfId="334">
      <calculatedColumnFormula>COUNTIF(A:A,Table10[[#This Row],[Pcode]])-1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ctrlProp" Target="../ctrlProps/ctrlProp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vmlDrawing" Target="../drawings/vmlDrawing2.v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image" Target="../media/image6.emf"/><Relationship Id="rId11" Type="http://schemas.openxmlformats.org/officeDocument/2006/relationships/table" Target="../tables/table6.xml"/><Relationship Id="rId5" Type="http://schemas.openxmlformats.org/officeDocument/2006/relationships/control" Target="../activeX/activeX1.xml"/><Relationship Id="rId10" Type="http://schemas.openxmlformats.org/officeDocument/2006/relationships/ctrlProp" Target="../ctrlProps/ctrlProp5.xml"/><Relationship Id="rId4" Type="http://schemas.openxmlformats.org/officeDocument/2006/relationships/vmlDrawing" Target="../drawings/vmlDrawing4.vml"/><Relationship Id="rId9"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0.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4" Type="http://schemas.openxmlformats.org/officeDocument/2006/relationships/pivotTable" Target="../pivotTables/pivotTable16.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22.xml"/><Relationship Id="rId7" Type="http://schemas.openxmlformats.org/officeDocument/2006/relationships/drawing" Target="../drawings/drawing12.xml"/><Relationship Id="rId2" Type="http://schemas.openxmlformats.org/officeDocument/2006/relationships/pivotTable" Target="../pivotTables/pivotTable21.xml"/><Relationship Id="rId1" Type="http://schemas.openxmlformats.org/officeDocument/2006/relationships/pivotTable" Target="../pivotTables/pivotTable20.xml"/><Relationship Id="rId6" Type="http://schemas.openxmlformats.org/officeDocument/2006/relationships/printerSettings" Target="../printerSettings/printerSettings15.bin"/><Relationship Id="rId5" Type="http://schemas.openxmlformats.org/officeDocument/2006/relationships/pivotTable" Target="../pivotTables/pivotTable24.xml"/><Relationship Id="rId4" Type="http://schemas.openxmlformats.org/officeDocument/2006/relationships/pivotTable" Target="../pivotTables/pivot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I311"/>
  <sheetViews>
    <sheetView showGridLines="0" showZeros="0" tabSelected="1" zoomScaleNormal="100" workbookViewId="0">
      <pane xSplit="2" ySplit="4" topLeftCell="C5" activePane="bottomRight" state="frozen"/>
      <selection pane="topRight" activeCell="C1" sqref="C1"/>
      <selection pane="bottomLeft" activeCell="A5" sqref="A5"/>
      <selection pane="bottomRight" activeCell="G33" sqref="G33"/>
    </sheetView>
  </sheetViews>
  <sheetFormatPr defaultColWidth="8.85546875" defaultRowHeight="15.6" customHeight="1" x14ac:dyDescent="0.25"/>
  <cols>
    <col min="1" max="1" width="1.28515625" style="174" customWidth="1"/>
    <col min="2" max="2" width="10.140625" style="239" customWidth="1"/>
    <col min="3" max="3" width="11.85546875" style="239" customWidth="1"/>
    <col min="4" max="4" width="9.28515625" style="587" customWidth="1"/>
    <col min="5" max="5" width="11" style="587" customWidth="1"/>
    <col min="6" max="6" width="13.28515625" style="587" bestFit="1" customWidth="1"/>
    <col min="7" max="7" width="14.140625" style="587" bestFit="1" customWidth="1"/>
    <col min="8" max="8" width="13" style="587" bestFit="1" customWidth="1"/>
    <col min="9" max="9" width="60.7109375" style="587" bestFit="1" customWidth="1"/>
    <col min="10" max="10" width="15.28515625" style="587" bestFit="1" customWidth="1"/>
    <col min="11" max="11" width="34.85546875" style="587" bestFit="1" customWidth="1"/>
    <col min="12" max="12" width="17.85546875" style="587" bestFit="1" customWidth="1"/>
    <col min="13" max="13" width="35.7109375" style="587" customWidth="1"/>
    <col min="14" max="14" width="15.7109375" style="587" bestFit="1" customWidth="1"/>
    <col min="15" max="15" width="14.42578125" style="588" bestFit="1" customWidth="1"/>
    <col min="16" max="17" width="12.85546875" style="588" bestFit="1" customWidth="1"/>
    <col min="18" max="18" width="8.7109375" style="185" customWidth="1"/>
    <col min="19" max="19" width="8" style="589" customWidth="1"/>
    <col min="20" max="20" width="7.85546875" style="590" customWidth="1"/>
    <col min="21" max="21" width="11.7109375" style="185" customWidth="1"/>
    <col min="22" max="22" width="14" style="185" customWidth="1"/>
    <col min="23" max="23" width="23.28515625" style="185" customWidth="1"/>
    <col min="24" max="24" width="11" style="185" customWidth="1"/>
    <col min="25" max="25" width="15.140625" style="591" customWidth="1"/>
    <col min="26" max="26" width="18.140625" style="592" customWidth="1"/>
    <col min="27" max="27" width="6.5703125" style="587" customWidth="1"/>
    <col min="28" max="28" width="12.42578125" style="588" customWidth="1"/>
    <col min="29" max="29" width="37.7109375" style="593" customWidth="1"/>
    <col min="30" max="30" width="16.7109375" style="185" customWidth="1"/>
    <col min="31" max="31" width="12.5703125" style="594" customWidth="1"/>
    <col min="32" max="32" width="23.28515625" style="588" customWidth="1"/>
    <col min="33" max="33" width="9.140625" style="174"/>
    <col min="34" max="34" width="9.140625" style="173"/>
    <col min="35" max="35" width="8.85546875" style="173"/>
    <col min="36" max="44" width="8.85546875" style="174"/>
    <col min="45" max="46" width="9.140625" style="174" customWidth="1"/>
    <col min="47" max="16384" width="8.85546875" style="174"/>
  </cols>
  <sheetData>
    <row r="1" spans="2:35" ht="8.4499999999999993" customHeight="1" x14ac:dyDescent="0.25"/>
    <row r="2" spans="2:35" s="173" customFormat="1" ht="15.6" customHeight="1" x14ac:dyDescent="0.25">
      <c r="B2" s="572" t="s">
        <v>1288</v>
      </c>
      <c r="C2" s="573"/>
      <c r="D2" s="573"/>
      <c r="E2" s="573"/>
      <c r="F2" s="573"/>
      <c r="G2" s="573"/>
      <c r="H2" s="573"/>
      <c r="I2" s="573" t="s">
        <v>1382</v>
      </c>
      <c r="J2" s="573"/>
      <c r="K2" s="529"/>
      <c r="L2" s="573"/>
      <c r="M2" s="754" t="s">
        <v>1386</v>
      </c>
      <c r="N2" s="573"/>
      <c r="O2" s="574"/>
      <c r="P2" s="574"/>
      <c r="Q2" s="574"/>
      <c r="R2" s="529"/>
      <c r="S2" s="529"/>
      <c r="T2" s="575"/>
      <c r="U2" s="576"/>
      <c r="V2" s="576"/>
      <c r="W2" s="576"/>
      <c r="X2" s="576"/>
      <c r="Y2" s="577"/>
      <c r="Z2" s="578"/>
      <c r="AA2" s="573"/>
      <c r="AB2" s="574"/>
      <c r="AC2" s="595"/>
      <c r="AD2" s="596"/>
      <c r="AE2" s="597"/>
      <c r="AF2" s="598"/>
    </row>
    <row r="3" spans="2:35" s="173" customFormat="1" ht="45" customHeight="1" x14ac:dyDescent="0.25">
      <c r="B3" s="752">
        <f>Definition!B23</f>
        <v>43404</v>
      </c>
      <c r="C3" s="753"/>
      <c r="D3" s="753"/>
      <c r="E3" s="579"/>
      <c r="F3" s="579"/>
      <c r="G3" s="579"/>
      <c r="H3" s="579"/>
      <c r="I3" s="580" t="s">
        <v>1557</v>
      </c>
      <c r="J3" s="579"/>
      <c r="K3" s="581"/>
      <c r="L3" s="579"/>
      <c r="M3" s="755"/>
      <c r="N3" s="580"/>
      <c r="O3" s="582"/>
      <c r="P3" s="582"/>
      <c r="Q3" s="582"/>
      <c r="R3" s="530"/>
      <c r="S3" s="530"/>
      <c r="T3" s="583"/>
      <c r="U3" s="584"/>
      <c r="V3" s="584"/>
      <c r="W3" s="584"/>
      <c r="X3" s="584"/>
      <c r="Y3" s="585"/>
      <c r="Z3" s="586"/>
      <c r="AA3" s="579"/>
      <c r="AB3" s="582"/>
      <c r="AC3" s="599"/>
      <c r="AD3" s="600"/>
      <c r="AE3" s="601"/>
      <c r="AF3" s="602"/>
    </row>
    <row r="4" spans="2:35" s="608" customFormat="1" ht="15.75" customHeight="1" x14ac:dyDescent="0.25">
      <c r="B4" s="189" t="s">
        <v>458</v>
      </c>
      <c r="C4" s="189" t="s">
        <v>392</v>
      </c>
      <c r="D4" s="603" t="s">
        <v>827</v>
      </c>
      <c r="E4" s="189" t="s">
        <v>477</v>
      </c>
      <c r="F4" s="603" t="s">
        <v>828</v>
      </c>
      <c r="G4" s="189" t="s">
        <v>0</v>
      </c>
      <c r="H4" s="603" t="s">
        <v>829</v>
      </c>
      <c r="I4" s="189" t="s">
        <v>830</v>
      </c>
      <c r="J4" s="603" t="s">
        <v>831</v>
      </c>
      <c r="K4" s="189" t="s">
        <v>476</v>
      </c>
      <c r="L4" s="603" t="s">
        <v>832</v>
      </c>
      <c r="M4" s="189" t="s">
        <v>507</v>
      </c>
      <c r="N4" s="189" t="s">
        <v>833</v>
      </c>
      <c r="O4" s="189" t="s">
        <v>1</v>
      </c>
      <c r="P4" s="324" t="s">
        <v>1083</v>
      </c>
      <c r="Q4" s="604" t="s">
        <v>780</v>
      </c>
      <c r="R4" s="324" t="s">
        <v>2</v>
      </c>
      <c r="S4" s="195" t="s">
        <v>3</v>
      </c>
      <c r="T4" s="200" t="s">
        <v>451</v>
      </c>
      <c r="U4" s="189" t="s">
        <v>457</v>
      </c>
      <c r="V4" s="324" t="s">
        <v>1035</v>
      </c>
      <c r="W4" s="189" t="s">
        <v>398</v>
      </c>
      <c r="X4" s="324" t="s">
        <v>781</v>
      </c>
      <c r="Y4" s="609" t="s">
        <v>782</v>
      </c>
      <c r="Z4" s="324" t="s">
        <v>834</v>
      </c>
      <c r="AA4" s="302" t="s">
        <v>452</v>
      </c>
      <c r="AB4" s="201" t="s">
        <v>461</v>
      </c>
      <c r="AC4" s="202" t="s">
        <v>456</v>
      </c>
      <c r="AD4" s="189" t="s">
        <v>992</v>
      </c>
      <c r="AE4" s="531" t="s">
        <v>993</v>
      </c>
      <c r="AF4" s="531" t="s">
        <v>1014</v>
      </c>
      <c r="AH4" s="324"/>
      <c r="AI4" s="324"/>
    </row>
    <row r="5" spans="2:35" ht="15.75" customHeight="1" x14ac:dyDescent="0.25">
      <c r="B5" s="203" t="s">
        <v>1740</v>
      </c>
      <c r="C5" s="197" t="s">
        <v>378</v>
      </c>
      <c r="D5" s="197" t="s">
        <v>478</v>
      </c>
      <c r="E5" s="197" t="s">
        <v>237</v>
      </c>
      <c r="F5" s="197" t="s">
        <v>484</v>
      </c>
      <c r="G5" s="197" t="s">
        <v>237</v>
      </c>
      <c r="H5" s="197" t="s">
        <v>488</v>
      </c>
      <c r="I5" s="197" t="s">
        <v>611</v>
      </c>
      <c r="J5" s="197" t="s">
        <v>612</v>
      </c>
      <c r="K5" s="197" t="s">
        <v>616</v>
      </c>
      <c r="L5" s="197" t="s">
        <v>617</v>
      </c>
      <c r="M5" s="197" t="s">
        <v>238</v>
      </c>
      <c r="N5" s="197" t="s">
        <v>236</v>
      </c>
      <c r="O5" s="204">
        <v>97.386718999999999</v>
      </c>
      <c r="P5" s="204">
        <v>25.415482000000001</v>
      </c>
      <c r="Q5" s="205">
        <v>0</v>
      </c>
      <c r="R5" s="274">
        <v>75</v>
      </c>
      <c r="S5" s="274">
        <v>415</v>
      </c>
      <c r="T5" s="207">
        <f>IF(CampList[[#This Row],[HH]]&gt;0,CampList[[#This Row],[Total]]/CampList[[#This Row],[HH]],"NA")</f>
        <v>5.5333333333333332</v>
      </c>
      <c r="U5" s="199" t="s">
        <v>464</v>
      </c>
      <c r="V5" s="199" t="s">
        <v>994</v>
      </c>
      <c r="W5" s="199" t="s">
        <v>507</v>
      </c>
      <c r="X5" s="199" t="s">
        <v>742</v>
      </c>
      <c r="Y5" s="312">
        <v>40695</v>
      </c>
      <c r="Z5" s="208" t="s">
        <v>424</v>
      </c>
      <c r="AA5" s="197" t="s">
        <v>774</v>
      </c>
      <c r="AB5" s="210">
        <v>43405</v>
      </c>
      <c r="AC5" s="211" t="s">
        <v>1783</v>
      </c>
      <c r="AD5" s="199" t="str">
        <f ca="1">IFERROR(OFFSET(DistanceToCamp[Nearest Town],MATCH(CampList[[#This Row],[CP_Pcode]],DistanceToCamp[CP_Pcode],0)-1,0,1,1),"")</f>
        <v>Myitkyina Town</v>
      </c>
      <c r="AE5" s="212">
        <f ca="1">IFERROR(OFFSET(DistanceToCamp[distance],MATCH(CampList[[#This Row],[CP_Pcode]],DistanceToCamp[CP_Pcode],0)-1,0,1,1),"")</f>
        <v>3.1341427522963001</v>
      </c>
      <c r="AF5" s="213">
        <f ca="1">IFERROR(INT(CampList[[#This Row],[Distance]]/5)+1,"")</f>
        <v>1</v>
      </c>
      <c r="AG5" s="213"/>
    </row>
    <row r="6" spans="2:35" ht="15.75" customHeight="1" x14ac:dyDescent="0.25">
      <c r="B6" s="203" t="s">
        <v>1740</v>
      </c>
      <c r="C6" s="197" t="s">
        <v>378</v>
      </c>
      <c r="D6" s="197" t="s">
        <v>478</v>
      </c>
      <c r="E6" s="197" t="s">
        <v>237</v>
      </c>
      <c r="F6" s="197" t="s">
        <v>484</v>
      </c>
      <c r="G6" s="197" t="s">
        <v>237</v>
      </c>
      <c r="H6" s="197" t="s">
        <v>488</v>
      </c>
      <c r="I6" s="197" t="s">
        <v>611</v>
      </c>
      <c r="J6" s="197" t="s">
        <v>612</v>
      </c>
      <c r="K6" s="197" t="s">
        <v>620</v>
      </c>
      <c r="L6" s="197"/>
      <c r="M6" s="197" t="s">
        <v>268</v>
      </c>
      <c r="N6" s="197" t="s">
        <v>267</v>
      </c>
      <c r="O6" s="204">
        <v>97.394547000000003</v>
      </c>
      <c r="P6" s="204">
        <v>25.422194000000001</v>
      </c>
      <c r="Q6" s="205">
        <v>0</v>
      </c>
      <c r="R6" s="274">
        <v>68</v>
      </c>
      <c r="S6" s="274">
        <v>298</v>
      </c>
      <c r="T6" s="207">
        <f>IF(CampList[[#This Row],[HH]]&gt;0,CampList[[#This Row],[Total]]/CampList[[#This Row],[HH]],"NA")</f>
        <v>4.382352941176471</v>
      </c>
      <c r="U6" s="199" t="s">
        <v>464</v>
      </c>
      <c r="V6" s="199" t="s">
        <v>994</v>
      </c>
      <c r="W6" s="199" t="s">
        <v>507</v>
      </c>
      <c r="X6" s="199" t="s">
        <v>742</v>
      </c>
      <c r="Y6" s="312">
        <v>40695</v>
      </c>
      <c r="Z6" s="208" t="s">
        <v>424</v>
      </c>
      <c r="AA6" s="197" t="s">
        <v>774</v>
      </c>
      <c r="AB6" s="210">
        <v>43405</v>
      </c>
      <c r="AC6" s="211" t="s">
        <v>1859</v>
      </c>
      <c r="AD6" s="199" t="str">
        <f ca="1">IFERROR(OFFSET(DistanceToCamp[Nearest Town],MATCH(CampList[[#This Row],[CP_Pcode]],DistanceToCamp[CP_Pcode],0)-1,0,1,1),"")</f>
        <v>Myitkyina Town</v>
      </c>
      <c r="AE6" s="212">
        <f ca="1">IFERROR(OFFSET(DistanceToCamp[distance],MATCH(CampList[[#This Row],[CP_Pcode]],DistanceToCamp[CP_Pcode],0)-1,0,1,1),"")</f>
        <v>3.8820329084732199</v>
      </c>
      <c r="AF6" s="213">
        <f ca="1">IFERROR(INT(CampList[[#This Row],[Distance]]/5)+1,"")</f>
        <v>1</v>
      </c>
    </row>
    <row r="7" spans="2:35" ht="15.75" customHeight="1" x14ac:dyDescent="0.25">
      <c r="B7" s="203" t="s">
        <v>1740</v>
      </c>
      <c r="C7" s="197" t="s">
        <v>378</v>
      </c>
      <c r="D7" s="197" t="s">
        <v>478</v>
      </c>
      <c r="E7" s="197" t="s">
        <v>237</v>
      </c>
      <c r="F7" s="197" t="s">
        <v>484</v>
      </c>
      <c r="G7" s="197" t="s">
        <v>237</v>
      </c>
      <c r="H7" s="197" t="s">
        <v>488</v>
      </c>
      <c r="I7" s="197" t="s">
        <v>611</v>
      </c>
      <c r="J7" s="197" t="s">
        <v>612</v>
      </c>
      <c r="K7" s="197" t="s">
        <v>616</v>
      </c>
      <c r="L7" s="197" t="s">
        <v>617</v>
      </c>
      <c r="M7" s="197" t="s">
        <v>250</v>
      </c>
      <c r="N7" s="197" t="s">
        <v>249</v>
      </c>
      <c r="O7" s="204">
        <v>97.377662999999998</v>
      </c>
      <c r="P7" s="204">
        <v>25.404752999999999</v>
      </c>
      <c r="Q7" s="205">
        <v>0</v>
      </c>
      <c r="R7" s="751">
        <v>32</v>
      </c>
      <c r="S7" s="274">
        <v>174</v>
      </c>
      <c r="T7" s="207">
        <f>IF(CampList[[#This Row],[HH]]&gt;0,CampList[[#This Row],[Total]]/CampList[[#This Row],[HH]],"NA")</f>
        <v>5.4375</v>
      </c>
      <c r="U7" s="199" t="s">
        <v>464</v>
      </c>
      <c r="V7" s="199" t="s">
        <v>994</v>
      </c>
      <c r="W7" s="199" t="s">
        <v>507</v>
      </c>
      <c r="X7" s="199" t="s">
        <v>742</v>
      </c>
      <c r="Y7" s="312">
        <v>40725</v>
      </c>
      <c r="Z7" s="208" t="s">
        <v>424</v>
      </c>
      <c r="AA7" s="197" t="s">
        <v>774</v>
      </c>
      <c r="AB7" s="210">
        <v>43405</v>
      </c>
      <c r="AC7" s="211" t="s">
        <v>1860</v>
      </c>
      <c r="AD7" s="199" t="str">
        <f ca="1">IFERROR(OFFSET(DistanceToCamp[Nearest Town],MATCH(CampList[[#This Row],[CP_Pcode]],DistanceToCamp[CP_Pcode],0)-1,0,1,1),"")</f>
        <v>Myitkyina Town</v>
      </c>
      <c r="AE7" s="212">
        <f ca="1">IFERROR(OFFSET(DistanceToCamp[distance],MATCH(CampList[[#This Row],[CP_Pcode]],DistanceToCamp[CP_Pcode],0)-1,0,1,1),"")</f>
        <v>2.30454782591254</v>
      </c>
      <c r="AF7" s="213">
        <f ca="1">IFERROR(INT(CampList[[#This Row],[Distance]]/5)+1,"")</f>
        <v>1</v>
      </c>
    </row>
    <row r="8" spans="2:35" ht="15.75" customHeight="1" x14ac:dyDescent="0.25">
      <c r="B8" s="203" t="s">
        <v>1740</v>
      </c>
      <c r="C8" s="197" t="s">
        <v>378</v>
      </c>
      <c r="D8" s="197" t="s">
        <v>478</v>
      </c>
      <c r="E8" s="197" t="s">
        <v>237</v>
      </c>
      <c r="F8" s="197" t="s">
        <v>484</v>
      </c>
      <c r="G8" s="197" t="s">
        <v>237</v>
      </c>
      <c r="H8" s="197" t="s">
        <v>488</v>
      </c>
      <c r="I8" s="197" t="s">
        <v>611</v>
      </c>
      <c r="J8" s="197" t="s">
        <v>612</v>
      </c>
      <c r="K8" s="197" t="s">
        <v>616</v>
      </c>
      <c r="L8" s="197" t="s">
        <v>617</v>
      </c>
      <c r="M8" s="197" t="s">
        <v>248</v>
      </c>
      <c r="N8" s="197" t="s">
        <v>247</v>
      </c>
      <c r="O8" s="204">
        <v>97.389778000000007</v>
      </c>
      <c r="P8" s="204">
        <v>25.417733999999999</v>
      </c>
      <c r="Q8" s="205">
        <v>0</v>
      </c>
      <c r="R8" s="274">
        <v>16</v>
      </c>
      <c r="S8" s="274">
        <v>77</v>
      </c>
      <c r="T8" s="207">
        <f>IF(CampList[[#This Row],[HH]]&gt;0,CampList[[#This Row],[Total]]/CampList[[#This Row],[HH]],"NA")</f>
        <v>4.8125</v>
      </c>
      <c r="U8" s="199" t="s">
        <v>464</v>
      </c>
      <c r="V8" s="199" t="s">
        <v>994</v>
      </c>
      <c r="W8" s="199" t="s">
        <v>1571</v>
      </c>
      <c r="X8" s="199" t="s">
        <v>742</v>
      </c>
      <c r="Y8" s="312">
        <v>40756</v>
      </c>
      <c r="Z8" s="208" t="s">
        <v>1314</v>
      </c>
      <c r="AA8" s="197" t="s">
        <v>774</v>
      </c>
      <c r="AB8" s="210">
        <v>43405</v>
      </c>
      <c r="AC8" s="211" t="s">
        <v>1936</v>
      </c>
      <c r="AD8" s="199" t="str">
        <f ca="1">IFERROR(OFFSET(DistanceToCamp[Nearest Town],MATCH(CampList[[#This Row],[CP_Pcode]],DistanceToCamp[CP_Pcode],0)-1,0,1,1),"")</f>
        <v>Myitkyina Town</v>
      </c>
      <c r="AE8" s="212">
        <f ca="1">IFERROR(OFFSET(DistanceToCamp[distance],MATCH(CampList[[#This Row],[CP_Pcode]],DistanceToCamp[CP_Pcode],0)-1,0,1,1),"")</f>
        <v>3.3637010801853577</v>
      </c>
      <c r="AF8" s="213">
        <f ca="1">IFERROR(INT(CampList[[#This Row],[Distance]]/5)+1,"")</f>
        <v>1</v>
      </c>
    </row>
    <row r="9" spans="2:35" ht="15.75" customHeight="1" x14ac:dyDescent="0.25">
      <c r="B9" s="203" t="s">
        <v>1740</v>
      </c>
      <c r="C9" s="197" t="s">
        <v>378</v>
      </c>
      <c r="D9" s="197" t="s">
        <v>478</v>
      </c>
      <c r="E9" s="197" t="s">
        <v>237</v>
      </c>
      <c r="F9" s="197" t="s">
        <v>484</v>
      </c>
      <c r="G9" s="197" t="s">
        <v>237</v>
      </c>
      <c r="H9" s="197" t="s">
        <v>488</v>
      </c>
      <c r="I9" s="197" t="s">
        <v>611</v>
      </c>
      <c r="J9" s="197" t="s">
        <v>612</v>
      </c>
      <c r="K9" s="197" t="s">
        <v>616</v>
      </c>
      <c r="L9" s="197" t="s">
        <v>617</v>
      </c>
      <c r="M9" s="197" t="s">
        <v>274</v>
      </c>
      <c r="N9" s="197" t="s">
        <v>273</v>
      </c>
      <c r="O9" s="204">
        <v>97.382192000000003</v>
      </c>
      <c r="P9" s="204">
        <v>25.404015000000001</v>
      </c>
      <c r="Q9" s="205">
        <v>0</v>
      </c>
      <c r="R9" s="274">
        <v>46</v>
      </c>
      <c r="S9" s="274">
        <v>242</v>
      </c>
      <c r="T9" s="207">
        <f>IF(CampList[[#This Row],[HH]]&gt;0,CampList[[#This Row],[Total]]/CampList[[#This Row],[HH]],"NA")</f>
        <v>5.2608695652173916</v>
      </c>
      <c r="U9" s="199" t="s">
        <v>464</v>
      </c>
      <c r="V9" s="199" t="s">
        <v>994</v>
      </c>
      <c r="W9" s="199" t="s">
        <v>507</v>
      </c>
      <c r="X9" s="199" t="s">
        <v>742</v>
      </c>
      <c r="Y9" s="312">
        <v>40817</v>
      </c>
      <c r="Z9" s="208" t="s">
        <v>424</v>
      </c>
      <c r="AA9" s="197" t="s">
        <v>774</v>
      </c>
      <c r="AB9" s="210">
        <v>43405</v>
      </c>
      <c r="AC9" s="211" t="s">
        <v>1861</v>
      </c>
      <c r="AD9" s="199" t="str">
        <f ca="1">IFERROR(OFFSET(DistanceToCamp[Nearest Town],MATCH(CampList[[#This Row],[CP_Pcode]],DistanceToCamp[CP_Pcode],0)-1,0,1,1),"")</f>
        <v>Myitkyina Town</v>
      </c>
      <c r="AE9" s="212">
        <f ca="1">IFERROR(OFFSET(DistanceToCamp[distance],MATCH(CampList[[#This Row],[CP_Pcode]],DistanceToCamp[CP_Pcode],0)-1,0,1,1),"")</f>
        <v>2.0123527499589278</v>
      </c>
      <c r="AF9" s="213">
        <f ca="1">IFERROR(INT(CampList[[#This Row],[Distance]]/5)+1,"")</f>
        <v>1</v>
      </c>
    </row>
    <row r="10" spans="2:35" ht="15.75" customHeight="1" x14ac:dyDescent="0.25">
      <c r="B10" s="203" t="s">
        <v>1740</v>
      </c>
      <c r="C10" s="197" t="s">
        <v>378</v>
      </c>
      <c r="D10" s="197" t="s">
        <v>478</v>
      </c>
      <c r="E10" s="197" t="s">
        <v>237</v>
      </c>
      <c r="F10" s="197" t="s">
        <v>484</v>
      </c>
      <c r="G10" s="197" t="s">
        <v>237</v>
      </c>
      <c r="H10" s="197" t="s">
        <v>488</v>
      </c>
      <c r="I10" s="197" t="s">
        <v>611</v>
      </c>
      <c r="J10" s="197" t="s">
        <v>612</v>
      </c>
      <c r="K10" s="197" t="s">
        <v>621</v>
      </c>
      <c r="L10" s="197" t="s">
        <v>622</v>
      </c>
      <c r="M10" s="197" t="s">
        <v>276</v>
      </c>
      <c r="N10" s="197" t="s">
        <v>275</v>
      </c>
      <c r="O10" s="204">
        <v>97.399628000000007</v>
      </c>
      <c r="P10" s="204">
        <v>25.412313000000001</v>
      </c>
      <c r="Q10" s="205">
        <v>0</v>
      </c>
      <c r="R10" s="274">
        <v>120</v>
      </c>
      <c r="S10" s="274">
        <v>582</v>
      </c>
      <c r="T10" s="207">
        <f>IF(CampList[[#This Row],[HH]]&gt;0,CampList[[#This Row],[Total]]/CampList[[#This Row],[HH]],"NA")</f>
        <v>4.8499999999999996</v>
      </c>
      <c r="U10" s="199" t="s">
        <v>464</v>
      </c>
      <c r="V10" s="199" t="s">
        <v>994</v>
      </c>
      <c r="W10" s="199" t="s">
        <v>507</v>
      </c>
      <c r="X10" s="199" t="s">
        <v>742</v>
      </c>
      <c r="Y10" s="312">
        <v>40756</v>
      </c>
      <c r="Z10" s="208" t="s">
        <v>424</v>
      </c>
      <c r="AA10" s="197" t="s">
        <v>774</v>
      </c>
      <c r="AB10" s="210">
        <v>43405</v>
      </c>
      <c r="AC10" s="211" t="s">
        <v>1862</v>
      </c>
      <c r="AD10" s="199" t="str">
        <f ca="1">IFERROR(OFFSET(DistanceToCamp[Nearest Town],MATCH(CampList[[#This Row],[CP_Pcode]],DistanceToCamp[CP_Pcode],0)-1,0,1,1),"")</f>
        <v>Myitkyina Town</v>
      </c>
      <c r="AE10" s="212">
        <f ca="1">IFERROR(OFFSET(DistanceToCamp[distance],MATCH(CampList[[#This Row],[CP_Pcode]],DistanceToCamp[CP_Pcode],0)-1,0,1,1),"")</f>
        <v>2.9133254097712102</v>
      </c>
      <c r="AF10" s="213">
        <f ca="1">IFERROR(INT(CampList[[#This Row],[Distance]]/5)+1,"")</f>
        <v>1</v>
      </c>
    </row>
    <row r="11" spans="2:35" ht="15.75" customHeight="1" x14ac:dyDescent="0.25">
      <c r="B11" s="203" t="s">
        <v>1740</v>
      </c>
      <c r="C11" s="197" t="s">
        <v>378</v>
      </c>
      <c r="D11" s="197" t="s">
        <v>478</v>
      </c>
      <c r="E11" s="197" t="s">
        <v>237</v>
      </c>
      <c r="F11" s="197" t="s">
        <v>484</v>
      </c>
      <c r="G11" s="197" t="s">
        <v>237</v>
      </c>
      <c r="H11" s="197" t="s">
        <v>488</v>
      </c>
      <c r="I11" s="197" t="s">
        <v>611</v>
      </c>
      <c r="J11" s="197" t="s">
        <v>612</v>
      </c>
      <c r="K11" s="197" t="s">
        <v>621</v>
      </c>
      <c r="L11" s="197" t="s">
        <v>622</v>
      </c>
      <c r="M11" s="197" t="s">
        <v>278</v>
      </c>
      <c r="N11" s="197" t="s">
        <v>277</v>
      </c>
      <c r="O11" s="204">
        <v>97.418004999999994</v>
      </c>
      <c r="P11" s="204">
        <v>25.423817</v>
      </c>
      <c r="Q11" s="205">
        <v>0</v>
      </c>
      <c r="R11" s="274">
        <v>23</v>
      </c>
      <c r="S11" s="274">
        <v>112</v>
      </c>
      <c r="T11" s="207">
        <f>IF(CampList[[#This Row],[HH]]&gt;0,CampList[[#This Row],[Total]]/CampList[[#This Row],[HH]],"NA")</f>
        <v>4.8695652173913047</v>
      </c>
      <c r="U11" s="199" t="s">
        <v>464</v>
      </c>
      <c r="V11" s="199" t="s">
        <v>994</v>
      </c>
      <c r="W11" s="199" t="s">
        <v>507</v>
      </c>
      <c r="X11" s="199" t="s">
        <v>742</v>
      </c>
      <c r="Y11" s="312">
        <v>40909</v>
      </c>
      <c r="Z11" s="208" t="s">
        <v>462</v>
      </c>
      <c r="AA11" s="197" t="s">
        <v>774</v>
      </c>
      <c r="AB11" s="210">
        <v>43405</v>
      </c>
      <c r="AC11" s="211" t="s">
        <v>1797</v>
      </c>
      <c r="AD11" s="199" t="str">
        <f ca="1">IFERROR(OFFSET(DistanceToCamp[Nearest Town],MATCH(CampList[[#This Row],[CP_Pcode]],DistanceToCamp[CP_Pcode],0)-1,0,1,1),"")</f>
        <v>Myitkyina Town</v>
      </c>
      <c r="AE11" s="212">
        <f ca="1">IFERROR(OFFSET(DistanceToCamp[distance],MATCH(CampList[[#This Row],[CP_Pcode]],DistanceToCamp[CP_Pcode],0)-1,0,1,1),"")</f>
        <v>4.9021696969220816</v>
      </c>
      <c r="AF11" s="213">
        <f ca="1">IFERROR(INT(CampList[[#This Row],[Distance]]/5)+1,"")</f>
        <v>1</v>
      </c>
    </row>
    <row r="12" spans="2:35" ht="15.75" customHeight="1" x14ac:dyDescent="0.25">
      <c r="B12" s="203" t="s">
        <v>1740</v>
      </c>
      <c r="C12" s="197" t="s">
        <v>378</v>
      </c>
      <c r="D12" s="197" t="s">
        <v>478</v>
      </c>
      <c r="E12" s="197" t="s">
        <v>237</v>
      </c>
      <c r="F12" s="197" t="s">
        <v>484</v>
      </c>
      <c r="G12" s="197" t="s">
        <v>237</v>
      </c>
      <c r="H12" s="197" t="s">
        <v>488</v>
      </c>
      <c r="I12" s="211" t="s">
        <v>611</v>
      </c>
      <c r="J12" s="211" t="s">
        <v>612</v>
      </c>
      <c r="K12" s="211" t="s">
        <v>629</v>
      </c>
      <c r="L12" s="211" t="s">
        <v>630</v>
      </c>
      <c r="M12" s="197" t="s">
        <v>260</v>
      </c>
      <c r="N12" s="197" t="s">
        <v>259</v>
      </c>
      <c r="O12" s="204">
        <v>97.418694000000002</v>
      </c>
      <c r="P12" s="204">
        <v>25.428910999999999</v>
      </c>
      <c r="Q12" s="205">
        <v>0</v>
      </c>
      <c r="R12" s="274">
        <v>103</v>
      </c>
      <c r="S12" s="274">
        <v>586</v>
      </c>
      <c r="T12" s="207">
        <f>IF(CampList[[#This Row],[HH]]&gt;0,CampList[[#This Row],[Total]]/CampList[[#This Row],[HH]],"NA")</f>
        <v>5.6893203883495147</v>
      </c>
      <c r="U12" s="199" t="s">
        <v>464</v>
      </c>
      <c r="V12" s="199" t="s">
        <v>994</v>
      </c>
      <c r="W12" s="199" t="s">
        <v>507</v>
      </c>
      <c r="X12" s="199" t="s">
        <v>742</v>
      </c>
      <c r="Y12" s="312">
        <v>40725</v>
      </c>
      <c r="Z12" s="208" t="s">
        <v>424</v>
      </c>
      <c r="AA12" s="223" t="s">
        <v>774</v>
      </c>
      <c r="AB12" s="210">
        <v>43405</v>
      </c>
      <c r="AC12" s="203" t="s">
        <v>1863</v>
      </c>
      <c r="AD12" s="199" t="str">
        <f ca="1">IFERROR(OFFSET(DistanceToCamp[Nearest Town],MATCH(CampList[[#This Row],[CP_Pcode]],DistanceToCamp[CP_Pcode],0)-1,0,1,1),"")</f>
        <v>Myitkyina Town</v>
      </c>
      <c r="AE12" s="212">
        <f ca="1">IFERROR(OFFSET(DistanceToCamp[distance],MATCH(CampList[[#This Row],[CP_Pcode]],DistanceToCamp[CP_Pcode],0)-1,0,1,1),"")</f>
        <v>5.4145379230647226</v>
      </c>
      <c r="AF12" s="213">
        <f ca="1">IFERROR(INT(CampList[[#This Row],[Distance]]/5)+1,"")</f>
        <v>2</v>
      </c>
    </row>
    <row r="13" spans="2:35" ht="15.75" customHeight="1" x14ac:dyDescent="0.25">
      <c r="B13" s="203" t="s">
        <v>1740</v>
      </c>
      <c r="C13" s="197" t="s">
        <v>378</v>
      </c>
      <c r="D13" s="197" t="s">
        <v>478</v>
      </c>
      <c r="E13" s="197" t="s">
        <v>237</v>
      </c>
      <c r="F13" s="197" t="s">
        <v>484</v>
      </c>
      <c r="G13" s="197" t="s">
        <v>237</v>
      </c>
      <c r="H13" s="197" t="s">
        <v>488</v>
      </c>
      <c r="I13" s="197" t="s">
        <v>611</v>
      </c>
      <c r="J13" s="197" t="s">
        <v>612</v>
      </c>
      <c r="K13" s="197" t="s">
        <v>631</v>
      </c>
      <c r="L13" s="197" t="s">
        <v>632</v>
      </c>
      <c r="M13" s="197" t="s">
        <v>280</v>
      </c>
      <c r="N13" s="197" t="s">
        <v>279</v>
      </c>
      <c r="O13" s="204">
        <v>97.419403000000003</v>
      </c>
      <c r="P13" s="204">
        <v>25.440928</v>
      </c>
      <c r="Q13" s="205">
        <v>0</v>
      </c>
      <c r="R13" s="274">
        <v>91</v>
      </c>
      <c r="S13" s="274">
        <v>511</v>
      </c>
      <c r="T13" s="207">
        <f>IF(CampList[[#This Row],[HH]]&gt;0,CampList[[#This Row],[Total]]/CampList[[#This Row],[HH]],"NA")</f>
        <v>5.615384615384615</v>
      </c>
      <c r="U13" s="199" t="s">
        <v>464</v>
      </c>
      <c r="V13" s="199" t="s">
        <v>994</v>
      </c>
      <c r="W13" s="199" t="s">
        <v>507</v>
      </c>
      <c r="X13" s="199" t="s">
        <v>742</v>
      </c>
      <c r="Y13" s="312">
        <v>40725</v>
      </c>
      <c r="Z13" s="208" t="s">
        <v>424</v>
      </c>
      <c r="AA13" s="197" t="s">
        <v>774</v>
      </c>
      <c r="AB13" s="210">
        <v>43405</v>
      </c>
      <c r="AC13" s="211" t="s">
        <v>1864</v>
      </c>
      <c r="AD13" s="199" t="str">
        <f ca="1">IFERROR(OFFSET(DistanceToCamp[Nearest Town],MATCH(CampList[[#This Row],[CP_Pcode]],DistanceToCamp[CP_Pcode],0)-1,0,1,1),"")</f>
        <v>Myitkyina Town</v>
      </c>
      <c r="AE13" s="212">
        <f ca="1">IFERROR(OFFSET(DistanceToCamp[distance],MATCH(CampList[[#This Row],[CP_Pcode]],DistanceToCamp[CP_Pcode],0)-1,0,1,1),"")</f>
        <v>6.6198004689728469</v>
      </c>
      <c r="AF13" s="213">
        <f ca="1">IFERROR(INT(CampList[[#This Row],[Distance]]/5)+1,"")</f>
        <v>2</v>
      </c>
    </row>
    <row r="14" spans="2:35" ht="31.15" customHeight="1" x14ac:dyDescent="0.25">
      <c r="B14" s="203" t="s">
        <v>1740</v>
      </c>
      <c r="C14" s="197" t="s">
        <v>378</v>
      </c>
      <c r="D14" s="197" t="s">
        <v>478</v>
      </c>
      <c r="E14" s="197" t="s">
        <v>237</v>
      </c>
      <c r="F14" s="197" t="s">
        <v>484</v>
      </c>
      <c r="G14" s="197" t="s">
        <v>237</v>
      </c>
      <c r="H14" s="197" t="s">
        <v>488</v>
      </c>
      <c r="I14" s="211" t="s">
        <v>611</v>
      </c>
      <c r="J14" s="211" t="s">
        <v>612</v>
      </c>
      <c r="K14" s="211" t="s">
        <v>618</v>
      </c>
      <c r="L14" s="211" t="s">
        <v>619</v>
      </c>
      <c r="M14" s="197" t="s">
        <v>1509</v>
      </c>
      <c r="N14" s="197" t="s">
        <v>244</v>
      </c>
      <c r="O14" s="204">
        <v>97.382997575757599</v>
      </c>
      <c r="P14" s="204">
        <v>25.3959740909091</v>
      </c>
      <c r="Q14" s="205">
        <v>0</v>
      </c>
      <c r="R14" s="310">
        <v>42</v>
      </c>
      <c r="S14" s="311">
        <v>187</v>
      </c>
      <c r="T14" s="207">
        <f>IF(CampList[[#This Row],[HH]]&gt;0,CampList[[#This Row],[Total]]/CampList[[#This Row],[HH]],"NA")</f>
        <v>4.4523809523809526</v>
      </c>
      <c r="U14" s="199" t="s">
        <v>464</v>
      </c>
      <c r="V14" s="199" t="s">
        <v>994</v>
      </c>
      <c r="W14" s="199" t="s">
        <v>507</v>
      </c>
      <c r="X14" s="199" t="s">
        <v>742</v>
      </c>
      <c r="Y14" s="312">
        <v>40695</v>
      </c>
      <c r="Z14" s="208" t="s">
        <v>424</v>
      </c>
      <c r="AA14" s="198" t="s">
        <v>774</v>
      </c>
      <c r="AB14" s="210">
        <v>43405</v>
      </c>
      <c r="AC14" s="203" t="s">
        <v>1865</v>
      </c>
      <c r="AD14" s="199" t="str">
        <f ca="1">IFERROR(OFFSET(DistanceToCamp[Nearest Town],MATCH(CampList[[#This Row],[CP_Pcode]],DistanceToCamp[CP_Pcode],0)-1,0,1,1),"")</f>
        <v>Myitkyina Town</v>
      </c>
      <c r="AE14" s="212">
        <f ca="1">IFERROR(OFFSET(DistanceToCamp[distance],MATCH(CampList[[#This Row],[CP_Pcode]],DistanceToCamp[CP_Pcode],0)-1,0,1,1),"")</f>
        <v>1.1985969617964649</v>
      </c>
      <c r="AF14" s="213">
        <f ca="1">IFERROR(INT(CampList[[#This Row],[Distance]]/5)+1,"")</f>
        <v>1</v>
      </c>
    </row>
    <row r="15" spans="2:35" ht="15.75" customHeight="1" x14ac:dyDescent="0.25">
      <c r="B15" s="203" t="s">
        <v>1740</v>
      </c>
      <c r="C15" s="197" t="s">
        <v>378</v>
      </c>
      <c r="D15" s="197" t="s">
        <v>478</v>
      </c>
      <c r="E15" s="197" t="s">
        <v>237</v>
      </c>
      <c r="F15" s="197" t="s">
        <v>484</v>
      </c>
      <c r="G15" s="197" t="s">
        <v>237</v>
      </c>
      <c r="H15" s="197" t="s">
        <v>488</v>
      </c>
      <c r="I15" s="211" t="s">
        <v>611</v>
      </c>
      <c r="J15" s="211" t="s">
        <v>612</v>
      </c>
      <c r="K15" s="211" t="s">
        <v>625</v>
      </c>
      <c r="L15" s="211" t="s">
        <v>626</v>
      </c>
      <c r="M15" s="197" t="s">
        <v>256</v>
      </c>
      <c r="N15" s="197" t="s">
        <v>255</v>
      </c>
      <c r="O15" s="204">
        <v>97.405202777777802</v>
      </c>
      <c r="P15" s="204">
        <v>25.3660036111111</v>
      </c>
      <c r="Q15" s="205">
        <v>0</v>
      </c>
      <c r="R15" s="274">
        <v>46</v>
      </c>
      <c r="S15" s="274">
        <v>217</v>
      </c>
      <c r="T15" s="207">
        <f>IF(CampList[[#This Row],[HH]]&gt;0,CampList[[#This Row],[Total]]/CampList[[#This Row],[HH]],"NA")</f>
        <v>4.7173913043478262</v>
      </c>
      <c r="U15" s="199" t="s">
        <v>464</v>
      </c>
      <c r="V15" s="199" t="s">
        <v>994</v>
      </c>
      <c r="W15" s="199" t="s">
        <v>507</v>
      </c>
      <c r="X15" s="199" t="s">
        <v>742</v>
      </c>
      <c r="Y15" s="312">
        <v>40909</v>
      </c>
      <c r="Z15" s="208" t="s">
        <v>424</v>
      </c>
      <c r="AA15" s="223" t="s">
        <v>774</v>
      </c>
      <c r="AB15" s="210">
        <v>43405</v>
      </c>
      <c r="AC15" s="203" t="s">
        <v>1866</v>
      </c>
      <c r="AD15" s="199" t="str">
        <f ca="1">IFERROR(OFFSET(DistanceToCamp[Nearest Town],MATCH(CampList[[#This Row],[CP_Pcode]],DistanceToCamp[CP_Pcode],0)-1,0,1,1),"")</f>
        <v>Myitkyina Town</v>
      </c>
      <c r="AE15" s="212">
        <f ca="1">IFERROR(OFFSET(DistanceToCamp[distance],MATCH(CampList[[#This Row],[CP_Pcode]],DistanceToCamp[CP_Pcode],0)-1,0,1,1),"")</f>
        <v>2.8164250706222882</v>
      </c>
      <c r="AF15" s="213">
        <f ca="1">IFERROR(INT(CampList[[#This Row],[Distance]]/5)+1,"")</f>
        <v>1</v>
      </c>
    </row>
    <row r="16" spans="2:35" ht="15.75" customHeight="1" x14ac:dyDescent="0.25">
      <c r="B16" s="203" t="s">
        <v>1740</v>
      </c>
      <c r="C16" s="197" t="s">
        <v>378</v>
      </c>
      <c r="D16" s="197" t="s">
        <v>478</v>
      </c>
      <c r="E16" s="197" t="s">
        <v>237</v>
      </c>
      <c r="F16" s="197" t="s">
        <v>484</v>
      </c>
      <c r="G16" s="197" t="s">
        <v>237</v>
      </c>
      <c r="H16" s="197" t="s">
        <v>488</v>
      </c>
      <c r="I16" s="211" t="s">
        <v>611</v>
      </c>
      <c r="J16" s="211" t="s">
        <v>612</v>
      </c>
      <c r="K16" s="211" t="s">
        <v>627</v>
      </c>
      <c r="L16" s="211" t="s">
        <v>628</v>
      </c>
      <c r="M16" s="197" t="s">
        <v>284</v>
      </c>
      <c r="N16" s="197" t="s">
        <v>283</v>
      </c>
      <c r="O16" s="204">
        <v>97.403402307692303</v>
      </c>
      <c r="P16" s="204">
        <v>25.3510167948718</v>
      </c>
      <c r="Q16" s="205">
        <v>0</v>
      </c>
      <c r="R16" s="274">
        <v>138</v>
      </c>
      <c r="S16" s="274">
        <v>705</v>
      </c>
      <c r="T16" s="207">
        <f>IF(CampList[[#This Row],[HH]]&gt;0,CampList[[#This Row],[Total]]/CampList[[#This Row],[HH]],"NA")</f>
        <v>5.1086956521739131</v>
      </c>
      <c r="U16" s="199" t="s">
        <v>464</v>
      </c>
      <c r="V16" s="199" t="s">
        <v>994</v>
      </c>
      <c r="W16" s="199" t="s">
        <v>507</v>
      </c>
      <c r="X16" s="199" t="s">
        <v>742</v>
      </c>
      <c r="Y16" s="312">
        <v>40695</v>
      </c>
      <c r="Z16" s="208" t="s">
        <v>424</v>
      </c>
      <c r="AA16" s="223" t="s">
        <v>774</v>
      </c>
      <c r="AB16" s="210">
        <v>43405</v>
      </c>
      <c r="AC16" s="203" t="s">
        <v>1867</v>
      </c>
      <c r="AD16" s="199" t="str">
        <f ca="1">IFERROR(OFFSET(DistanceToCamp[Nearest Town],MATCH(CampList[[#This Row],[CP_Pcode]],DistanceToCamp[CP_Pcode],0)-1,0,1,1),"")</f>
        <v>Myitkyina Town</v>
      </c>
      <c r="AE16" s="212">
        <f ca="1">IFERROR(OFFSET(DistanceToCamp[distance],MATCH(CampList[[#This Row],[CP_Pcode]],DistanceToCamp[CP_Pcode],0)-1,0,1,1),"")</f>
        <v>4.262018365878137</v>
      </c>
      <c r="AF16" s="213">
        <f ca="1">IFERROR(INT(CampList[[#This Row],[Distance]]/5)+1,"")</f>
        <v>1</v>
      </c>
    </row>
    <row r="17" spans="2:32" ht="15.75" customHeight="1" x14ac:dyDescent="0.25">
      <c r="B17" s="203" t="s">
        <v>1740</v>
      </c>
      <c r="C17" s="197" t="s">
        <v>378</v>
      </c>
      <c r="D17" s="197" t="s">
        <v>478</v>
      </c>
      <c r="E17" s="197" t="s">
        <v>237</v>
      </c>
      <c r="F17" s="197" t="s">
        <v>484</v>
      </c>
      <c r="G17" s="197" t="s">
        <v>237</v>
      </c>
      <c r="H17" s="197" t="s">
        <v>488</v>
      </c>
      <c r="I17" s="211" t="s">
        <v>611</v>
      </c>
      <c r="J17" s="211" t="s">
        <v>612</v>
      </c>
      <c r="K17" s="689" t="s">
        <v>627</v>
      </c>
      <c r="L17" s="689" t="s">
        <v>628</v>
      </c>
      <c r="M17" s="197" t="s">
        <v>258</v>
      </c>
      <c r="N17" s="197" t="s">
        <v>257</v>
      </c>
      <c r="O17" s="204">
        <v>97.4113064583333</v>
      </c>
      <c r="P17" s="204">
        <v>25.360463124999999</v>
      </c>
      <c r="Q17" s="205">
        <v>0</v>
      </c>
      <c r="R17" s="274">
        <v>62</v>
      </c>
      <c r="S17" s="274">
        <v>310</v>
      </c>
      <c r="T17" s="207">
        <f>IF(CampList[[#This Row],[HH]]&gt;0,CampList[[#This Row],[Total]]/CampList[[#This Row],[HH]],"NA")</f>
        <v>5</v>
      </c>
      <c r="U17" s="199" t="s">
        <v>464</v>
      </c>
      <c r="V17" s="199" t="s">
        <v>994</v>
      </c>
      <c r="W17" s="199" t="s">
        <v>507</v>
      </c>
      <c r="X17" s="199" t="s">
        <v>742</v>
      </c>
      <c r="Y17" s="312">
        <v>40756</v>
      </c>
      <c r="Z17" s="208" t="s">
        <v>424</v>
      </c>
      <c r="AA17" s="223" t="s">
        <v>774</v>
      </c>
      <c r="AB17" s="210">
        <v>43405</v>
      </c>
      <c r="AC17" s="203" t="s">
        <v>1868</v>
      </c>
      <c r="AD17" s="199" t="str">
        <f ca="1">IFERROR(OFFSET(DistanceToCamp[Nearest Town],MATCH(CampList[[#This Row],[CP_Pcode]],DistanceToCamp[CP_Pcode],0)-1,0,1,1),"")</f>
        <v>Waingmaw Town</v>
      </c>
      <c r="AE17" s="212">
        <f ca="1">IFERROR(OFFSET(DistanceToCamp[distance],MATCH(CampList[[#This Row],[CP_Pcode]],DistanceToCamp[CP_Pcode],0)-1,0,1,1),"")</f>
        <v>3.3362307375127798</v>
      </c>
      <c r="AF17" s="213">
        <f ca="1">IFERROR(INT(CampList[[#This Row],[Distance]]/5)+1,"")</f>
        <v>1</v>
      </c>
    </row>
    <row r="18" spans="2:32" ht="15.75" customHeight="1" x14ac:dyDescent="0.25">
      <c r="B18" s="203" t="s">
        <v>1740</v>
      </c>
      <c r="C18" s="197" t="s">
        <v>378</v>
      </c>
      <c r="D18" s="197" t="s">
        <v>478</v>
      </c>
      <c r="E18" s="197" t="s">
        <v>237</v>
      </c>
      <c r="F18" s="197" t="s">
        <v>484</v>
      </c>
      <c r="G18" s="197" t="s">
        <v>237</v>
      </c>
      <c r="H18" s="197" t="s">
        <v>488</v>
      </c>
      <c r="I18" s="211" t="s">
        <v>611</v>
      </c>
      <c r="J18" s="211" t="s">
        <v>612</v>
      </c>
      <c r="K18" s="690" t="s">
        <v>613</v>
      </c>
      <c r="L18" s="690"/>
      <c r="M18" s="197" t="s">
        <v>252</v>
      </c>
      <c r="N18" s="197" t="s">
        <v>251</v>
      </c>
      <c r="O18" s="232">
        <v>97.373361000000003</v>
      </c>
      <c r="P18" s="232">
        <v>25.403476999999999</v>
      </c>
      <c r="Q18" s="205">
        <v>0</v>
      </c>
      <c r="R18" s="274">
        <v>199</v>
      </c>
      <c r="S18" s="274">
        <v>1118</v>
      </c>
      <c r="T18" s="207">
        <f>IF(CampList[[#This Row],[HH]]&gt;0,CampList[[#This Row],[Total]]/CampList[[#This Row],[HH]],"NA")</f>
        <v>5.6180904522613062</v>
      </c>
      <c r="U18" s="199" t="s">
        <v>464</v>
      </c>
      <c r="V18" s="199" t="s">
        <v>994</v>
      </c>
      <c r="W18" s="199" t="s">
        <v>507</v>
      </c>
      <c r="X18" s="199" t="s">
        <v>742</v>
      </c>
      <c r="Y18" s="312">
        <v>40725</v>
      </c>
      <c r="Z18" s="208" t="s">
        <v>424</v>
      </c>
      <c r="AA18" s="223" t="s">
        <v>774</v>
      </c>
      <c r="AB18" s="210">
        <v>43405</v>
      </c>
      <c r="AC18" s="203" t="s">
        <v>1869</v>
      </c>
      <c r="AD18" s="199" t="str">
        <f ca="1">IFERROR(OFFSET(DistanceToCamp[Nearest Town],MATCH(CampList[[#This Row],[CP_Pcode]],DistanceToCamp[CP_Pcode],0)-1,0,1,1),"")</f>
        <v>Myitkyina Town</v>
      </c>
      <c r="AE18" s="212">
        <f ca="1">IFERROR(OFFSET(DistanceToCamp[distance],MATCH(CampList[[#This Row],[CP_Pcode]],DistanceToCamp[CP_Pcode],0)-1,0,1,1),"")</f>
        <v>2.4647367211404561</v>
      </c>
      <c r="AF18" s="213">
        <f ca="1">IFERROR(INT(CampList[[#This Row],[Distance]]/5)+1,"")</f>
        <v>1</v>
      </c>
    </row>
    <row r="19" spans="2:32" ht="15.75" hidden="1" customHeight="1" x14ac:dyDescent="0.25">
      <c r="B19" s="203" t="s">
        <v>775</v>
      </c>
      <c r="C19" s="197" t="s">
        <v>378</v>
      </c>
      <c r="D19" s="197" t="s">
        <v>478</v>
      </c>
      <c r="E19" s="197" t="s">
        <v>237</v>
      </c>
      <c r="F19" s="197" t="s">
        <v>484</v>
      </c>
      <c r="G19" s="197" t="s">
        <v>237</v>
      </c>
      <c r="H19" s="197" t="s">
        <v>488</v>
      </c>
      <c r="I19" s="211" t="s">
        <v>611</v>
      </c>
      <c r="J19" s="211" t="s">
        <v>612</v>
      </c>
      <c r="K19" s="211" t="s">
        <v>614</v>
      </c>
      <c r="L19" s="211" t="s">
        <v>615</v>
      </c>
      <c r="M19" s="197" t="s">
        <v>266</v>
      </c>
      <c r="N19" s="197" t="s">
        <v>265</v>
      </c>
      <c r="O19" s="204">
        <v>97.376671999999999</v>
      </c>
      <c r="P19" s="204">
        <v>25.387862999999999</v>
      </c>
      <c r="Q19" s="205">
        <v>0</v>
      </c>
      <c r="R19" s="284"/>
      <c r="S19" s="285"/>
      <c r="T19" s="207" t="str">
        <f>IF(CampList[[#This Row],[HH]]&gt;0,CampList[[#This Row],[Total]]/CampList[[#This Row],[HH]],"NA")</f>
        <v>NA</v>
      </c>
      <c r="U19" s="199" t="s">
        <v>464</v>
      </c>
      <c r="V19" s="199" t="s">
        <v>994</v>
      </c>
      <c r="W19" s="199" t="s">
        <v>507</v>
      </c>
      <c r="X19" s="199" t="s">
        <v>742</v>
      </c>
      <c r="Y19" s="208">
        <v>40817</v>
      </c>
      <c r="Z19" s="208" t="s">
        <v>462</v>
      </c>
      <c r="AA19" s="223" t="s">
        <v>774</v>
      </c>
      <c r="AB19" s="210">
        <v>42180</v>
      </c>
      <c r="AC19" s="203" t="s">
        <v>1046</v>
      </c>
      <c r="AD19" s="199" t="str">
        <f ca="1">IFERROR(OFFSET(DistanceToCamp[Nearest Town],MATCH(CampList[[#This Row],[CP_Pcode]],DistanceToCamp[CP_Pcode],0)-1,0,1,1),"")</f>
        <v>Myitkyina Town</v>
      </c>
      <c r="AE19" s="212">
        <f ca="1">IFERROR(OFFSET(DistanceToCamp[distance],MATCH(CampList[[#This Row],[CP_Pcode]],DistanceToCamp[CP_Pcode],0)-1,0,1,1),"")</f>
        <v>1.3751794210741128</v>
      </c>
      <c r="AF19" s="213">
        <f ca="1">IFERROR(INT(CampList[[#This Row],[Distance]]/5)+1,"")</f>
        <v>1</v>
      </c>
    </row>
    <row r="20" spans="2:32" ht="15.75" customHeight="1" x14ac:dyDescent="0.25">
      <c r="B20" s="203" t="s">
        <v>1740</v>
      </c>
      <c r="C20" s="198" t="s">
        <v>378</v>
      </c>
      <c r="D20" s="198" t="s">
        <v>478</v>
      </c>
      <c r="E20" s="198" t="s">
        <v>237</v>
      </c>
      <c r="F20" s="198" t="s">
        <v>484</v>
      </c>
      <c r="G20" s="198" t="s">
        <v>237</v>
      </c>
      <c r="H20" s="198" t="s">
        <v>488</v>
      </c>
      <c r="I20" s="198" t="s">
        <v>611</v>
      </c>
      <c r="J20" s="216" t="s">
        <v>612</v>
      </c>
      <c r="K20" s="198" t="s">
        <v>613</v>
      </c>
      <c r="L20" s="198"/>
      <c r="M20" s="198" t="s">
        <v>254</v>
      </c>
      <c r="N20" s="198" t="s">
        <v>253</v>
      </c>
      <c r="O20" s="206">
        <v>97.379594999999995</v>
      </c>
      <c r="P20" s="206">
        <v>25.401061110000001</v>
      </c>
      <c r="Q20" s="217"/>
      <c r="R20" s="274">
        <v>117</v>
      </c>
      <c r="S20" s="274">
        <v>576</v>
      </c>
      <c r="T20" s="207">
        <f>IF(CampList[[#This Row],[HH]]&gt;0,CampList[[#This Row],[Total]]/CampList[[#This Row],[HH]],"NA")</f>
        <v>4.9230769230769234</v>
      </c>
      <c r="U20" s="183" t="s">
        <v>464</v>
      </c>
      <c r="V20" s="199" t="s">
        <v>994</v>
      </c>
      <c r="W20" s="183" t="s">
        <v>507</v>
      </c>
      <c r="X20" s="183" t="s">
        <v>742</v>
      </c>
      <c r="Y20" s="313">
        <v>40725</v>
      </c>
      <c r="Z20" s="217" t="s">
        <v>935</v>
      </c>
      <c r="AA20" s="198" t="s">
        <v>774</v>
      </c>
      <c r="AB20" s="210">
        <v>43405</v>
      </c>
      <c r="AC20" s="219" t="s">
        <v>1816</v>
      </c>
      <c r="AD20" s="220" t="str">
        <f ca="1">IFERROR(OFFSET(DistanceToCamp[Nearest Town],MATCH(CampList[[#This Row],[CP_Pcode]],DistanceToCamp[CP_Pcode],0)-1,0,1,1),"")</f>
        <v>Myitkyina Town</v>
      </c>
      <c r="AE20" s="212">
        <f ca="1">IFERROR(OFFSET(DistanceToCamp[distance],MATCH(CampList[[#This Row],[CP_Pcode]],DistanceToCamp[CP_Pcode],0)-1,0,1,1),"")</f>
        <v>1.8563710010113432</v>
      </c>
      <c r="AF20" s="221">
        <f ca="1">IFERROR(INT(CampList[[#This Row],[Distance]]/5)+1,"")</f>
        <v>1</v>
      </c>
    </row>
    <row r="21" spans="2:32" ht="15.75" customHeight="1" x14ac:dyDescent="0.25">
      <c r="B21" s="203" t="s">
        <v>1740</v>
      </c>
      <c r="C21" s="197" t="s">
        <v>378</v>
      </c>
      <c r="D21" s="197" t="s">
        <v>478</v>
      </c>
      <c r="E21" s="197" t="s">
        <v>237</v>
      </c>
      <c r="F21" s="197" t="s">
        <v>484</v>
      </c>
      <c r="G21" s="197" t="s">
        <v>237</v>
      </c>
      <c r="H21" s="197" t="s">
        <v>488</v>
      </c>
      <c r="I21" s="211" t="s">
        <v>588</v>
      </c>
      <c r="J21" s="211" t="s">
        <v>589</v>
      </c>
      <c r="K21" s="211" t="s">
        <v>588</v>
      </c>
      <c r="L21" s="211">
        <v>165698</v>
      </c>
      <c r="M21" s="197" t="s">
        <v>262</v>
      </c>
      <c r="N21" s="197" t="s">
        <v>261</v>
      </c>
      <c r="O21" s="204">
        <v>97.2843958974359</v>
      </c>
      <c r="P21" s="204">
        <v>25.374343974359</v>
      </c>
      <c r="Q21" s="205">
        <v>0</v>
      </c>
      <c r="R21" s="274">
        <v>22</v>
      </c>
      <c r="S21" s="274">
        <v>92</v>
      </c>
      <c r="T21" s="207">
        <f>IF(CampList[[#This Row],[HH]]&gt;0,CampList[[#This Row],[Total]]/CampList[[#This Row],[HH]],"NA")</f>
        <v>4.1818181818181817</v>
      </c>
      <c r="U21" s="199" t="s">
        <v>464</v>
      </c>
      <c r="V21" s="199" t="s">
        <v>994</v>
      </c>
      <c r="W21" s="199" t="s">
        <v>507</v>
      </c>
      <c r="X21" s="199" t="s">
        <v>784</v>
      </c>
      <c r="Y21" s="312">
        <v>40817</v>
      </c>
      <c r="Z21" s="673" t="s">
        <v>462</v>
      </c>
      <c r="AA21" s="223" t="s">
        <v>774</v>
      </c>
      <c r="AB21" s="210">
        <v>43405</v>
      </c>
      <c r="AC21" s="203" t="s">
        <v>1798</v>
      </c>
      <c r="AD21" s="199" t="str">
        <f ca="1">IFERROR(OFFSET(DistanceToCamp[Nearest Town],MATCH(CampList[[#This Row],[CP_Pcode]],DistanceToCamp[CP_Pcode],0)-1,0,1,1),"")</f>
        <v>Myitkyina Town</v>
      </c>
      <c r="AE21" s="212">
        <f ca="1">IFERROR(OFFSET(DistanceToCamp[distance],MATCH(CampList[[#This Row],[CP_Pcode]],DistanceToCamp[CP_Pcode],0)-1,0,1,1),"")</f>
        <v>10.744749696609457</v>
      </c>
      <c r="AF21" s="213">
        <f ca="1">IFERROR(INT(CampList[[#This Row],[Distance]]/5)+1,"")</f>
        <v>3</v>
      </c>
    </row>
    <row r="22" spans="2:32" ht="15.75" customHeight="1" x14ac:dyDescent="0.25">
      <c r="B22" s="203" t="s">
        <v>1740</v>
      </c>
      <c r="C22" s="197" t="s">
        <v>378</v>
      </c>
      <c r="D22" s="197" t="s">
        <v>478</v>
      </c>
      <c r="E22" s="197" t="s">
        <v>237</v>
      </c>
      <c r="F22" s="197" t="s">
        <v>484</v>
      </c>
      <c r="G22" s="197" t="s">
        <v>237</v>
      </c>
      <c r="H22" s="197" t="s">
        <v>488</v>
      </c>
      <c r="I22" s="211" t="s">
        <v>588</v>
      </c>
      <c r="J22" s="211" t="s">
        <v>589</v>
      </c>
      <c r="K22" s="211" t="s">
        <v>588</v>
      </c>
      <c r="L22" s="211">
        <v>165698</v>
      </c>
      <c r="M22" s="197" t="s">
        <v>264</v>
      </c>
      <c r="N22" s="197" t="s">
        <v>263</v>
      </c>
      <c r="O22" s="204">
        <v>97.290952037037002</v>
      </c>
      <c r="P22" s="204">
        <v>25.371049444444399</v>
      </c>
      <c r="Q22" s="205">
        <v>476</v>
      </c>
      <c r="R22" s="274">
        <v>21</v>
      </c>
      <c r="S22" s="274">
        <v>123</v>
      </c>
      <c r="T22" s="207">
        <f>IF(CampList[[#This Row],[HH]]&gt;0,CampList[[#This Row],[Total]]/CampList[[#This Row],[HH]],"NA")</f>
        <v>5.8571428571428568</v>
      </c>
      <c r="U22" s="199" t="s">
        <v>464</v>
      </c>
      <c r="V22" s="199" t="s">
        <v>994</v>
      </c>
      <c r="W22" s="199" t="s">
        <v>507</v>
      </c>
      <c r="X22" s="199" t="s">
        <v>784</v>
      </c>
      <c r="Y22" s="312">
        <v>40817</v>
      </c>
      <c r="Z22" s="208" t="s">
        <v>462</v>
      </c>
      <c r="AA22" s="223" t="s">
        <v>774</v>
      </c>
      <c r="AB22" s="210">
        <v>43405</v>
      </c>
      <c r="AC22" s="203" t="s">
        <v>1799</v>
      </c>
      <c r="AD22" s="199" t="str">
        <f ca="1">IFERROR(OFFSET(DistanceToCamp[Nearest Town],MATCH(CampList[[#This Row],[CP_Pcode]],DistanceToCamp[CP_Pcode],0)-1,0,1,1),"")</f>
        <v>Myitkyina Town</v>
      </c>
      <c r="AE22" s="212">
        <f ca="1">IFERROR(OFFSET(DistanceToCamp[distance],MATCH(CampList[[#This Row],[CP_Pcode]],DistanceToCamp[CP_Pcode],0)-1,0,1,1),"")</f>
        <v>10.15228229456989</v>
      </c>
      <c r="AF22" s="213">
        <f ca="1">IFERROR(INT(CampList[[#This Row],[Distance]]/5)+1,"")</f>
        <v>3</v>
      </c>
    </row>
    <row r="23" spans="2:32" ht="15.75" customHeight="1" x14ac:dyDescent="0.25">
      <c r="B23" s="203" t="s">
        <v>1740</v>
      </c>
      <c r="C23" s="197" t="s">
        <v>378</v>
      </c>
      <c r="D23" s="197" t="s">
        <v>478</v>
      </c>
      <c r="E23" s="197" t="s">
        <v>237</v>
      </c>
      <c r="F23" s="197" t="s">
        <v>484</v>
      </c>
      <c r="G23" s="197" t="s">
        <v>237</v>
      </c>
      <c r="H23" s="197" t="s">
        <v>488</v>
      </c>
      <c r="I23" s="197" t="s">
        <v>611</v>
      </c>
      <c r="J23" s="197" t="s">
        <v>612</v>
      </c>
      <c r="K23" s="197" t="s">
        <v>616</v>
      </c>
      <c r="L23" s="197" t="s">
        <v>617</v>
      </c>
      <c r="M23" s="197" t="s">
        <v>1030</v>
      </c>
      <c r="N23" s="197" t="s">
        <v>241</v>
      </c>
      <c r="O23" s="204">
        <v>97.379987</v>
      </c>
      <c r="P23" s="204">
        <v>25.423209</v>
      </c>
      <c r="Q23" s="205">
        <v>0</v>
      </c>
      <c r="R23" s="274">
        <v>54</v>
      </c>
      <c r="S23" s="274">
        <v>254</v>
      </c>
      <c r="T23" s="207">
        <f>IF(CampList[[#This Row],[HH]]&gt;0,CampList[[#This Row],[Total]]/CampList[[#This Row],[HH]],"NA")</f>
        <v>4.7037037037037033</v>
      </c>
      <c r="U23" s="199" t="s">
        <v>464</v>
      </c>
      <c r="V23" s="199" t="s">
        <v>994</v>
      </c>
      <c r="W23" s="199" t="s">
        <v>507</v>
      </c>
      <c r="X23" s="199" t="s">
        <v>742</v>
      </c>
      <c r="Y23" s="312">
        <v>41000</v>
      </c>
      <c r="Z23" s="208" t="s">
        <v>462</v>
      </c>
      <c r="AA23" s="197" t="s">
        <v>774</v>
      </c>
      <c r="AB23" s="210">
        <v>43405</v>
      </c>
      <c r="AC23" s="211" t="s">
        <v>1800</v>
      </c>
      <c r="AD23" s="199" t="str">
        <f ca="1">IFERROR(OFFSET(DistanceToCamp[Nearest Town],MATCH(CampList[[#This Row],[CP_Pcode]],DistanceToCamp[CP_Pcode],0)-1,0,1,1),"")</f>
        <v>Myitkyina Town</v>
      </c>
      <c r="AE23" s="212">
        <f ca="1">IFERROR(OFFSET(DistanceToCamp[distance],MATCH(CampList[[#This Row],[CP_Pcode]],DistanceToCamp[CP_Pcode],0)-1,0,1,1),"")</f>
        <v>2.6190942927115026</v>
      </c>
      <c r="AF23" s="213">
        <f ca="1">IFERROR(INT(CampList[[#This Row],[Distance]]/5)+1,"")</f>
        <v>1</v>
      </c>
    </row>
    <row r="24" spans="2:32" ht="15.75" hidden="1" customHeight="1" x14ac:dyDescent="0.25">
      <c r="B24" s="203" t="s">
        <v>775</v>
      </c>
      <c r="C24" s="197" t="s">
        <v>378</v>
      </c>
      <c r="D24" s="197" t="s">
        <v>478</v>
      </c>
      <c r="E24" s="197" t="s">
        <v>237</v>
      </c>
      <c r="F24" s="197" t="s">
        <v>484</v>
      </c>
      <c r="G24" s="197" t="s">
        <v>237</v>
      </c>
      <c r="H24" s="197" t="s">
        <v>488</v>
      </c>
      <c r="I24" s="197" t="s">
        <v>611</v>
      </c>
      <c r="J24" s="197" t="s">
        <v>612</v>
      </c>
      <c r="K24" s="197" t="s">
        <v>623</v>
      </c>
      <c r="L24" s="197" t="s">
        <v>624</v>
      </c>
      <c r="M24" s="197" t="s">
        <v>282</v>
      </c>
      <c r="N24" s="197" t="s">
        <v>281</v>
      </c>
      <c r="O24" s="204">
        <v>97.403878500000005</v>
      </c>
      <c r="P24" s="204">
        <v>25.377038166666701</v>
      </c>
      <c r="Q24" s="205">
        <v>0</v>
      </c>
      <c r="R24" s="274">
        <v>7</v>
      </c>
      <c r="S24" s="274">
        <v>37</v>
      </c>
      <c r="T24" s="207">
        <f>IF(CampList[[#This Row],[HH]]&gt;0,CampList[[#This Row],[Total]]/CampList[[#This Row],[HH]],"NA")</f>
        <v>5.2857142857142856</v>
      </c>
      <c r="U24" s="199" t="s">
        <v>464</v>
      </c>
      <c r="V24" s="199" t="s">
        <v>994</v>
      </c>
      <c r="W24" s="199" t="s">
        <v>507</v>
      </c>
      <c r="X24" s="199" t="s">
        <v>742</v>
      </c>
      <c r="Y24" s="312">
        <v>41000</v>
      </c>
      <c r="Z24" s="208" t="s">
        <v>462</v>
      </c>
      <c r="AA24" s="197" t="s">
        <v>774</v>
      </c>
      <c r="AB24" s="210">
        <v>42915</v>
      </c>
      <c r="AC24" s="211" t="s">
        <v>1510</v>
      </c>
      <c r="AD24" s="199" t="str">
        <f ca="1">IFERROR(OFFSET(DistanceToCamp[Nearest Town],MATCH(CampList[[#This Row],[CP_Pcode]],DistanceToCamp[CP_Pcode],0)-1,0,1,1),"")</f>
        <v>Myitkyina Town</v>
      </c>
      <c r="AE24" s="212">
        <f ca="1">IFERROR(OFFSET(DistanceToCamp[distance],MATCH(CampList[[#This Row],[CP_Pcode]],DistanceToCamp[CP_Pcode],0)-1,0,1,1),"")</f>
        <v>1.7877148351104664</v>
      </c>
      <c r="AF24" s="213">
        <f ca="1">IFERROR(INT(CampList[[#This Row],[Distance]]/5)+1,"")</f>
        <v>1</v>
      </c>
    </row>
    <row r="25" spans="2:32" ht="15.75" customHeight="1" x14ac:dyDescent="0.25">
      <c r="B25" s="203" t="s">
        <v>1740</v>
      </c>
      <c r="C25" s="198" t="s">
        <v>378</v>
      </c>
      <c r="D25" s="198" t="s">
        <v>478</v>
      </c>
      <c r="E25" s="198" t="s">
        <v>237</v>
      </c>
      <c r="F25" s="198" t="s">
        <v>484</v>
      </c>
      <c r="G25" s="198" t="s">
        <v>237</v>
      </c>
      <c r="H25" s="198" t="s">
        <v>488</v>
      </c>
      <c r="I25" s="198" t="s">
        <v>609</v>
      </c>
      <c r="J25" s="216" t="s">
        <v>610</v>
      </c>
      <c r="K25" s="198" t="s">
        <v>609</v>
      </c>
      <c r="L25" s="198">
        <v>165695</v>
      </c>
      <c r="M25" s="198" t="s">
        <v>270</v>
      </c>
      <c r="N25" s="198" t="s">
        <v>269</v>
      </c>
      <c r="O25" s="206">
        <v>97.359320179999997</v>
      </c>
      <c r="P25" s="206">
        <v>25.410569299999999</v>
      </c>
      <c r="Q25" s="217"/>
      <c r="R25" s="274">
        <v>59</v>
      </c>
      <c r="S25" s="274">
        <v>309</v>
      </c>
      <c r="T25" s="207">
        <f>IF(CampList[[#This Row],[HH]]&gt;0,CampList[[#This Row],[Total]]/CampList[[#This Row],[HH]],"NA")</f>
        <v>5.2372881355932206</v>
      </c>
      <c r="U25" s="183" t="s">
        <v>464</v>
      </c>
      <c r="V25" s="199" t="s">
        <v>994</v>
      </c>
      <c r="W25" s="183" t="s">
        <v>507</v>
      </c>
      <c r="X25" s="183" t="s">
        <v>742</v>
      </c>
      <c r="Y25" s="313">
        <v>40909</v>
      </c>
      <c r="Z25" s="217" t="s">
        <v>935</v>
      </c>
      <c r="AA25" s="198" t="s">
        <v>774</v>
      </c>
      <c r="AB25" s="210">
        <v>43405</v>
      </c>
      <c r="AC25" s="219" t="s">
        <v>1817</v>
      </c>
      <c r="AD25" s="220" t="str">
        <f ca="1">IFERROR(OFFSET(DistanceToCamp[Nearest Town],MATCH(CampList[[#This Row],[CP_Pcode]],DistanceToCamp[CP_Pcode],0)-1,0,1,1),"")</f>
        <v>Myitkyina Town</v>
      </c>
      <c r="AE25" s="212">
        <f ca="1">IFERROR(OFFSET(DistanceToCamp[distance],MATCH(CampList[[#This Row],[CP_Pcode]],DistanceToCamp[CP_Pcode],0)-1,0,1,1),"")</f>
        <v>4.037940696665812</v>
      </c>
      <c r="AF25" s="221">
        <f ca="1">IFERROR(INT(CampList[[#This Row],[Distance]]/5)+1,"")</f>
        <v>1</v>
      </c>
    </row>
    <row r="26" spans="2:32" ht="15.75" customHeight="1" x14ac:dyDescent="0.25">
      <c r="B26" s="203" t="s">
        <v>1740</v>
      </c>
      <c r="C26" s="197" t="s">
        <v>378</v>
      </c>
      <c r="D26" s="197" t="s">
        <v>478</v>
      </c>
      <c r="E26" s="197" t="s">
        <v>237</v>
      </c>
      <c r="F26" s="197" t="s">
        <v>484</v>
      </c>
      <c r="G26" s="197" t="s">
        <v>309</v>
      </c>
      <c r="H26" s="197" t="s">
        <v>485</v>
      </c>
      <c r="I26" s="197" t="s">
        <v>635</v>
      </c>
      <c r="J26" s="197" t="s">
        <v>636</v>
      </c>
      <c r="K26" s="197" t="s">
        <v>656</v>
      </c>
      <c r="L26" s="197" t="s">
        <v>657</v>
      </c>
      <c r="M26" s="197" t="s">
        <v>340</v>
      </c>
      <c r="N26" s="197" t="s">
        <v>339</v>
      </c>
      <c r="O26" s="204">
        <v>97.438432380952406</v>
      </c>
      <c r="P26" s="204">
        <v>25.351724999999998</v>
      </c>
      <c r="Q26" s="205">
        <v>0</v>
      </c>
      <c r="R26" s="274">
        <v>66</v>
      </c>
      <c r="S26" s="274">
        <v>338</v>
      </c>
      <c r="T26" s="207">
        <f>IF(CampList[[#This Row],[HH]]&gt;0,CampList[[#This Row],[Total]]/CampList[[#This Row],[HH]],"NA")</f>
        <v>5.1212121212121211</v>
      </c>
      <c r="U26" s="199" t="s">
        <v>464</v>
      </c>
      <c r="V26" s="199" t="s">
        <v>994</v>
      </c>
      <c r="W26" s="199" t="s">
        <v>507</v>
      </c>
      <c r="X26" s="199" t="s">
        <v>742</v>
      </c>
      <c r="Y26" s="312">
        <v>40695</v>
      </c>
      <c r="Z26" s="673" t="s">
        <v>424</v>
      </c>
      <c r="AA26" s="197" t="s">
        <v>774</v>
      </c>
      <c r="AB26" s="210">
        <v>43405</v>
      </c>
      <c r="AC26" s="211" t="s">
        <v>1870</v>
      </c>
      <c r="AD26" s="199" t="str">
        <f ca="1">IFERROR(OFFSET(DistanceToCamp[Nearest Town],MATCH(CampList[[#This Row],[CP_Pcode]],DistanceToCamp[CP_Pcode],0)-1,0,1,1),"")</f>
        <v>Waingmaw Town</v>
      </c>
      <c r="AE26" s="212">
        <f ca="1">IFERROR(OFFSET(DistanceToCamp[distance],MATCH(CampList[[#This Row],[CP_Pcode]],DistanceToCamp[CP_Pcode],0)-1,0,1,1),"")</f>
        <v>0.4474205416025816</v>
      </c>
      <c r="AF26" s="213">
        <f ca="1">IFERROR(INT(CampList[[#This Row],[Distance]]/5)+1,"")</f>
        <v>1</v>
      </c>
    </row>
    <row r="27" spans="2:32" ht="15.75" customHeight="1" x14ac:dyDescent="0.25">
      <c r="B27" s="203" t="s">
        <v>1740</v>
      </c>
      <c r="C27" s="197" t="s">
        <v>378</v>
      </c>
      <c r="D27" s="197" t="s">
        <v>478</v>
      </c>
      <c r="E27" s="197" t="s">
        <v>237</v>
      </c>
      <c r="F27" s="197" t="s">
        <v>484</v>
      </c>
      <c r="G27" s="197" t="s">
        <v>309</v>
      </c>
      <c r="H27" s="197" t="s">
        <v>485</v>
      </c>
      <c r="I27" s="197" t="s">
        <v>659</v>
      </c>
      <c r="J27" s="197" t="s">
        <v>660</v>
      </c>
      <c r="K27" s="197" t="s">
        <v>661</v>
      </c>
      <c r="L27" s="197">
        <v>165730</v>
      </c>
      <c r="M27" s="197" t="s">
        <v>319</v>
      </c>
      <c r="N27" s="197" t="s">
        <v>318</v>
      </c>
      <c r="O27" s="204">
        <v>97.451965000000001</v>
      </c>
      <c r="P27" s="204">
        <v>25.356632000000001</v>
      </c>
      <c r="Q27" s="205">
        <v>0</v>
      </c>
      <c r="R27" s="274">
        <v>31</v>
      </c>
      <c r="S27" s="274">
        <v>181</v>
      </c>
      <c r="T27" s="207">
        <f>IF(CampList[[#This Row],[HH]]&gt;0,CampList[[#This Row],[Total]]/CampList[[#This Row],[HH]],"NA")</f>
        <v>5.838709677419355</v>
      </c>
      <c r="U27" s="199" t="s">
        <v>464</v>
      </c>
      <c r="V27" s="199" t="s">
        <v>994</v>
      </c>
      <c r="W27" s="199" t="s">
        <v>507</v>
      </c>
      <c r="X27" s="199" t="s">
        <v>742</v>
      </c>
      <c r="Y27" s="312">
        <v>41030</v>
      </c>
      <c r="Z27" s="673" t="s">
        <v>424</v>
      </c>
      <c r="AA27" s="223" t="s">
        <v>774</v>
      </c>
      <c r="AB27" s="210">
        <v>43405</v>
      </c>
      <c r="AC27" s="203" t="s">
        <v>1871</v>
      </c>
      <c r="AD27" s="199" t="str">
        <f ca="1">IFERROR(OFFSET(DistanceToCamp[Nearest Town],MATCH(CampList[[#This Row],[CP_Pcode]],DistanceToCamp[CP_Pcode],0)-1,0,1,1),"")</f>
        <v>Waingmaw Town</v>
      </c>
      <c r="AE27" s="212">
        <f ca="1">IFERROR(OFFSET(DistanceToCamp[distance],MATCH(CampList[[#This Row],[CP_Pcode]],DistanceToCamp[CP_Pcode],0)-1,0,1,1),"")</f>
        <v>1.1134935940025397</v>
      </c>
      <c r="AF27" s="213">
        <f ca="1">IFERROR(INT(CampList[[#This Row],[Distance]]/5)+1,"")</f>
        <v>1</v>
      </c>
    </row>
    <row r="28" spans="2:32" ht="15.75" hidden="1" customHeight="1" x14ac:dyDescent="0.25">
      <c r="B28" s="203" t="s">
        <v>775</v>
      </c>
      <c r="C28" s="197" t="s">
        <v>378</v>
      </c>
      <c r="D28" s="197" t="s">
        <v>478</v>
      </c>
      <c r="E28" s="197" t="s">
        <v>237</v>
      </c>
      <c r="F28" s="197" t="s">
        <v>484</v>
      </c>
      <c r="G28" s="197" t="s">
        <v>309</v>
      </c>
      <c r="H28" s="197" t="s">
        <v>485</v>
      </c>
      <c r="I28" s="197" t="s">
        <v>635</v>
      </c>
      <c r="J28" s="197" t="s">
        <v>636</v>
      </c>
      <c r="K28" s="197" t="s">
        <v>637</v>
      </c>
      <c r="L28" s="197" t="s">
        <v>638</v>
      </c>
      <c r="M28" s="197" t="s">
        <v>349</v>
      </c>
      <c r="N28" s="197" t="s">
        <v>348</v>
      </c>
      <c r="O28" s="204">
        <v>97.432495000000003</v>
      </c>
      <c r="P28" s="204">
        <v>25.350809000000002</v>
      </c>
      <c r="Q28" s="205">
        <v>0</v>
      </c>
      <c r="R28" s="274">
        <v>92</v>
      </c>
      <c r="S28" s="274">
        <v>505</v>
      </c>
      <c r="T28" s="207">
        <f>IF(CampList[[#This Row],[HH]]&gt;0,CampList[[#This Row],[Total]]/CampList[[#This Row],[HH]],"NA")</f>
        <v>5.4891304347826084</v>
      </c>
      <c r="U28" s="199" t="s">
        <v>464</v>
      </c>
      <c r="V28" s="199" t="s">
        <v>994</v>
      </c>
      <c r="W28" s="199" t="s">
        <v>507</v>
      </c>
      <c r="X28" s="199" t="s">
        <v>742</v>
      </c>
      <c r="Y28" s="312">
        <v>40940</v>
      </c>
      <c r="Z28" s="208" t="s">
        <v>462</v>
      </c>
      <c r="AA28" s="197" t="s">
        <v>774</v>
      </c>
      <c r="AB28" s="210">
        <v>43281</v>
      </c>
      <c r="AC28" s="211" t="s">
        <v>1718</v>
      </c>
      <c r="AD28" s="199" t="str">
        <f ca="1">IFERROR(OFFSET(DistanceToCamp[Nearest Town],MATCH(CampList[[#This Row],[CP_Pcode]],DistanceToCamp[CP_Pcode],0)-1,0,1,1),"")</f>
        <v>Waingmaw Town</v>
      </c>
      <c r="AE28" s="212">
        <f ca="1">IFERROR(OFFSET(DistanceToCamp[distance],MATCH(CampList[[#This Row],[CP_Pcode]],DistanceToCamp[CP_Pcode],0)-1,0,1,1),"")</f>
        <v>1.0367202051285227</v>
      </c>
      <c r="AF28" s="213">
        <f ca="1">IFERROR(INT(CampList[[#This Row],[Distance]]/5)+1,"")</f>
        <v>1</v>
      </c>
    </row>
    <row r="29" spans="2:32" ht="15.75" customHeight="1" x14ac:dyDescent="0.25">
      <c r="B29" s="203" t="s">
        <v>1740</v>
      </c>
      <c r="C29" s="197" t="s">
        <v>378</v>
      </c>
      <c r="D29" s="197" t="s">
        <v>478</v>
      </c>
      <c r="E29" s="197" t="s">
        <v>237</v>
      </c>
      <c r="F29" s="197" t="s">
        <v>484</v>
      </c>
      <c r="G29" s="197" t="s">
        <v>309</v>
      </c>
      <c r="H29" s="197" t="s">
        <v>485</v>
      </c>
      <c r="I29" s="197" t="s">
        <v>564</v>
      </c>
      <c r="J29" s="197" t="s">
        <v>565</v>
      </c>
      <c r="K29" s="197" t="s">
        <v>564</v>
      </c>
      <c r="L29" s="197">
        <v>165735</v>
      </c>
      <c r="M29" s="197" t="s">
        <v>312</v>
      </c>
      <c r="N29" s="197" t="s">
        <v>311</v>
      </c>
      <c r="O29" s="204">
        <v>97.404195925926004</v>
      </c>
      <c r="P29" s="204">
        <v>25.321710740740698</v>
      </c>
      <c r="Q29" s="205">
        <v>0</v>
      </c>
      <c r="R29" s="274">
        <v>92</v>
      </c>
      <c r="S29" s="274">
        <v>447</v>
      </c>
      <c r="T29" s="207">
        <f>IF(CampList[[#This Row],[HH]]&gt;0,CampList[[#This Row],[Total]]/CampList[[#This Row],[HH]],"NA")</f>
        <v>4.8586956521739131</v>
      </c>
      <c r="U29" s="199" t="s">
        <v>464</v>
      </c>
      <c r="V29" s="199" t="s">
        <v>994</v>
      </c>
      <c r="W29" s="199" t="s">
        <v>507</v>
      </c>
      <c r="X29" s="199" t="s">
        <v>784</v>
      </c>
      <c r="Y29" s="312">
        <v>40695</v>
      </c>
      <c r="Z29" s="208" t="s">
        <v>462</v>
      </c>
      <c r="AA29" s="223" t="s">
        <v>774</v>
      </c>
      <c r="AB29" s="210">
        <v>43405</v>
      </c>
      <c r="AC29" s="203" t="s">
        <v>1801</v>
      </c>
      <c r="AD29" s="199" t="str">
        <f ca="1">IFERROR(OFFSET(DistanceToCamp[Nearest Town],MATCH(CampList[[#This Row],[CP_Pcode]],DistanceToCamp[CP_Pcode],0)-1,0,1,1),"")</f>
        <v>Waingmaw Town</v>
      </c>
      <c r="AE29" s="212">
        <f ca="1">IFERROR(OFFSET(DistanceToCamp[distance],MATCH(CampList[[#This Row],[CP_Pcode]],DistanceToCamp[CP_Pcode],0)-1,0,1,1),"")</f>
        <v>5.0655036329811631</v>
      </c>
      <c r="AF29" s="213">
        <f ca="1">IFERROR(INT(CampList[[#This Row],[Distance]]/5)+1,"")</f>
        <v>2</v>
      </c>
    </row>
    <row r="30" spans="2:32" ht="15.75" customHeight="1" x14ac:dyDescent="0.25">
      <c r="B30" s="203" t="s">
        <v>1740</v>
      </c>
      <c r="C30" s="198" t="s">
        <v>378</v>
      </c>
      <c r="D30" s="198" t="s">
        <v>478</v>
      </c>
      <c r="E30" s="198" t="s">
        <v>237</v>
      </c>
      <c r="F30" s="198" t="s">
        <v>484</v>
      </c>
      <c r="G30" s="198" t="s">
        <v>309</v>
      </c>
      <c r="H30" s="198" t="s">
        <v>485</v>
      </c>
      <c r="I30" s="198" t="s">
        <v>633</v>
      </c>
      <c r="J30" s="216" t="s">
        <v>634</v>
      </c>
      <c r="K30" s="198" t="s">
        <v>633</v>
      </c>
      <c r="L30" s="198">
        <v>165740</v>
      </c>
      <c r="M30" s="198" t="s">
        <v>329</v>
      </c>
      <c r="N30" s="198" t="s">
        <v>328</v>
      </c>
      <c r="O30" s="206">
        <v>97.437782499999997</v>
      </c>
      <c r="P30" s="206">
        <v>25.415667500000001</v>
      </c>
      <c r="Q30" s="217"/>
      <c r="R30" s="274">
        <v>335</v>
      </c>
      <c r="S30" s="274">
        <v>1774</v>
      </c>
      <c r="T30" s="207">
        <f>IF(CampList[[#This Row],[HH]]&gt;0,CampList[[#This Row],[Total]]/CampList[[#This Row],[HH]],"NA")</f>
        <v>5.2955223880597018</v>
      </c>
      <c r="U30" s="183" t="s">
        <v>464</v>
      </c>
      <c r="V30" s="199" t="s">
        <v>994</v>
      </c>
      <c r="W30" s="183" t="s">
        <v>507</v>
      </c>
      <c r="X30" s="183" t="s">
        <v>742</v>
      </c>
      <c r="Y30" s="313">
        <v>41426</v>
      </c>
      <c r="Z30" s="217" t="s">
        <v>935</v>
      </c>
      <c r="AA30" s="198" t="s">
        <v>774</v>
      </c>
      <c r="AB30" s="210">
        <v>43405</v>
      </c>
      <c r="AC30" s="219" t="s">
        <v>1818</v>
      </c>
      <c r="AD30" s="220" t="str">
        <f ca="1">IFERROR(OFFSET(DistanceToCamp[Nearest Town],MATCH(CampList[[#This Row],[CP_Pcode]],DistanceToCamp[CP_Pcode],0)-1,0,1,1),"")</f>
        <v>Myitkyina Town</v>
      </c>
      <c r="AE30" s="212">
        <f ca="1">IFERROR(OFFSET(DistanceToCamp[distance],MATCH(CampList[[#This Row],[CP_Pcode]],DistanceToCamp[CP_Pcode],0)-1,0,1,1),"")</f>
        <v>5.7019834469756479</v>
      </c>
      <c r="AF30" s="221">
        <f ca="1">IFERROR(INT(CampList[[#This Row],[Distance]]/5)+1,"")</f>
        <v>2</v>
      </c>
    </row>
    <row r="31" spans="2:32" ht="15.75" customHeight="1" x14ac:dyDescent="0.25">
      <c r="B31" s="203" t="s">
        <v>1740</v>
      </c>
      <c r="C31" s="197" t="s">
        <v>378</v>
      </c>
      <c r="D31" s="197" t="s">
        <v>478</v>
      </c>
      <c r="E31" s="197" t="s">
        <v>237</v>
      </c>
      <c r="F31" s="197" t="s">
        <v>484</v>
      </c>
      <c r="G31" s="197" t="s">
        <v>309</v>
      </c>
      <c r="H31" s="197" t="s">
        <v>485</v>
      </c>
      <c r="I31" s="197" t="s">
        <v>635</v>
      </c>
      <c r="J31" s="197" t="s">
        <v>636</v>
      </c>
      <c r="K31" s="197" t="s">
        <v>654</v>
      </c>
      <c r="L31" s="197" t="s">
        <v>655</v>
      </c>
      <c r="M31" s="197" t="s">
        <v>337</v>
      </c>
      <c r="N31" s="197" t="s">
        <v>336</v>
      </c>
      <c r="O31" s="204">
        <v>97.437472666666693</v>
      </c>
      <c r="P31" s="204">
        <v>25.345918166666699</v>
      </c>
      <c r="Q31" s="205"/>
      <c r="R31" s="274">
        <v>36</v>
      </c>
      <c r="S31" s="274">
        <v>185</v>
      </c>
      <c r="T31" s="207">
        <f>IF(CampList[[#This Row],[HH]]&gt;0,CampList[[#This Row],[Total]]/CampList[[#This Row],[HH]],"NA")</f>
        <v>5.1388888888888893</v>
      </c>
      <c r="U31" s="199" t="s">
        <v>464</v>
      </c>
      <c r="V31" s="199" t="s">
        <v>994</v>
      </c>
      <c r="W31" s="199" t="s">
        <v>507</v>
      </c>
      <c r="X31" s="199" t="s">
        <v>742</v>
      </c>
      <c r="Y31" s="312">
        <v>40695</v>
      </c>
      <c r="Z31" s="673" t="s">
        <v>462</v>
      </c>
      <c r="AA31" s="197" t="s">
        <v>774</v>
      </c>
      <c r="AB31" s="210">
        <v>43405</v>
      </c>
      <c r="AC31" s="211" t="s">
        <v>1799</v>
      </c>
      <c r="AD31" s="199" t="str">
        <f ca="1">IFERROR(OFFSET(DistanceToCamp[Nearest Town],MATCH(CampList[[#This Row],[CP_Pcode]],DistanceToCamp[CP_Pcode],0)-1,0,1,1),"")</f>
        <v>Waingmaw Town</v>
      </c>
      <c r="AE31" s="212">
        <f ca="1">IFERROR(OFFSET(DistanceToCamp[distance],MATCH(CampList[[#This Row],[CP_Pcode]],DistanceToCamp[CP_Pcode],0)-1,0,1,1),"")</f>
        <v>0.77827912736780092</v>
      </c>
      <c r="AF31" s="213">
        <f ca="1">IFERROR(INT(CampList[[#This Row],[Distance]]/5)+1,"")</f>
        <v>1</v>
      </c>
    </row>
    <row r="32" spans="2:32" ht="15.75" customHeight="1" x14ac:dyDescent="0.25">
      <c r="B32" s="203" t="s">
        <v>1740</v>
      </c>
      <c r="C32" s="197" t="s">
        <v>378</v>
      </c>
      <c r="D32" s="197" t="s">
        <v>478</v>
      </c>
      <c r="E32" s="197" t="s">
        <v>237</v>
      </c>
      <c r="F32" s="197" t="s">
        <v>484</v>
      </c>
      <c r="G32" s="197" t="s">
        <v>309</v>
      </c>
      <c r="H32" s="197" t="s">
        <v>485</v>
      </c>
      <c r="I32" s="197" t="s">
        <v>633</v>
      </c>
      <c r="J32" s="197" t="s">
        <v>634</v>
      </c>
      <c r="K32" s="197" t="s">
        <v>633</v>
      </c>
      <c r="L32" s="197">
        <v>165740</v>
      </c>
      <c r="M32" s="197" t="s">
        <v>327</v>
      </c>
      <c r="N32" s="197" t="s">
        <v>326</v>
      </c>
      <c r="O32" s="204">
        <v>97.433419259259296</v>
      </c>
      <c r="P32" s="204">
        <v>25.424529444444399</v>
      </c>
      <c r="Q32" s="205">
        <v>0</v>
      </c>
      <c r="R32" s="274">
        <v>347</v>
      </c>
      <c r="S32" s="274">
        <v>2047</v>
      </c>
      <c r="T32" s="207">
        <f>IF(CampList[[#This Row],[HH]]&gt;0,CampList[[#This Row],[Total]]/CampList[[#This Row],[HH]],"NA")</f>
        <v>5.8991354466858787</v>
      </c>
      <c r="U32" s="199" t="s">
        <v>464</v>
      </c>
      <c r="V32" s="199" t="s">
        <v>994</v>
      </c>
      <c r="W32" s="199" t="s">
        <v>507</v>
      </c>
      <c r="X32" s="199" t="s">
        <v>784</v>
      </c>
      <c r="Y32" s="312">
        <v>41456</v>
      </c>
      <c r="Z32" s="673" t="s">
        <v>462</v>
      </c>
      <c r="AA32" s="223" t="s">
        <v>774</v>
      </c>
      <c r="AB32" s="210">
        <v>43405</v>
      </c>
      <c r="AC32" s="203" t="s">
        <v>1802</v>
      </c>
      <c r="AD32" s="199" t="str">
        <f ca="1">IFERROR(OFFSET(DistanceToCamp[Nearest Town],MATCH(CampList[[#This Row],[CP_Pcode]],DistanceToCamp[CP_Pcode],0)-1,0,1,1),"")</f>
        <v>Myitkyina Town</v>
      </c>
      <c r="AE32" s="212">
        <f ca="1">IFERROR(OFFSET(DistanceToCamp[distance],MATCH(CampList[[#This Row],[CP_Pcode]],DistanceToCamp[CP_Pcode],0)-1,0,1,1),"")</f>
        <v>5.9727739497559158</v>
      </c>
      <c r="AF32" s="213">
        <f ca="1">IFERROR(INT(CampList[[#This Row],[Distance]]/5)+1,"")</f>
        <v>2</v>
      </c>
    </row>
    <row r="33" spans="2:32" ht="15.75" customHeight="1" x14ac:dyDescent="0.25">
      <c r="B33" s="203" t="s">
        <v>1740</v>
      </c>
      <c r="C33" s="197" t="s">
        <v>378</v>
      </c>
      <c r="D33" s="197" t="s">
        <v>478</v>
      </c>
      <c r="E33" s="197" t="s">
        <v>237</v>
      </c>
      <c r="F33" s="197" t="s">
        <v>484</v>
      </c>
      <c r="G33" s="197" t="s">
        <v>309</v>
      </c>
      <c r="H33" s="197" t="s">
        <v>485</v>
      </c>
      <c r="I33" s="197" t="s">
        <v>635</v>
      </c>
      <c r="J33" s="197" t="s">
        <v>636</v>
      </c>
      <c r="K33" s="197" t="s">
        <v>656</v>
      </c>
      <c r="L33" s="197" t="s">
        <v>657</v>
      </c>
      <c r="M33" s="197" t="s">
        <v>317</v>
      </c>
      <c r="N33" s="197" t="s">
        <v>316</v>
      </c>
      <c r="O33" s="204">
        <v>97.441166388888902</v>
      </c>
      <c r="P33" s="204">
        <v>25.3540362037037</v>
      </c>
      <c r="Q33" s="205">
        <v>0</v>
      </c>
      <c r="R33" s="274">
        <v>121</v>
      </c>
      <c r="S33" s="274">
        <v>510</v>
      </c>
      <c r="T33" s="207">
        <f>IF(CampList[[#This Row],[HH]]&gt;0,CampList[[#This Row],[Total]]/CampList[[#This Row],[HH]],"NA")</f>
        <v>4.214876033057851</v>
      </c>
      <c r="U33" s="199" t="s">
        <v>464</v>
      </c>
      <c r="V33" s="199" t="s">
        <v>994</v>
      </c>
      <c r="W33" s="199" t="s">
        <v>507</v>
      </c>
      <c r="X33" s="199" t="s">
        <v>742</v>
      </c>
      <c r="Y33" s="312">
        <v>40725</v>
      </c>
      <c r="Z33" s="208" t="s">
        <v>462</v>
      </c>
      <c r="AA33" s="197" t="s">
        <v>774</v>
      </c>
      <c r="AB33" s="210">
        <v>43405</v>
      </c>
      <c r="AC33" s="211" t="s">
        <v>1803</v>
      </c>
      <c r="AD33" s="199" t="str">
        <f ca="1">IFERROR(OFFSET(DistanceToCamp[Nearest Town],MATCH(CampList[[#This Row],[CP_Pcode]],DistanceToCamp[CP_Pcode],0)-1,0,1,1),"")</f>
        <v>Waingmaw Town</v>
      </c>
      <c r="AE33" s="212">
        <f ca="1">IFERROR(OFFSET(DistanceToCamp[distance],MATCH(CampList[[#This Row],[CP_Pcode]],DistanceToCamp[CP_Pcode],0)-1,0,1,1),"")</f>
        <v>0.37684287609457234</v>
      </c>
      <c r="AF33" s="213">
        <f ca="1">IFERROR(INT(CampList[[#This Row],[Distance]]/5)+1,"")</f>
        <v>1</v>
      </c>
    </row>
    <row r="34" spans="2:32" ht="15.75" customHeight="1" x14ac:dyDescent="0.25">
      <c r="B34" s="203" t="s">
        <v>1740</v>
      </c>
      <c r="C34" s="197" t="s">
        <v>378</v>
      </c>
      <c r="D34" s="197" t="s">
        <v>478</v>
      </c>
      <c r="E34" s="197" t="s">
        <v>237</v>
      </c>
      <c r="F34" s="197" t="s">
        <v>484</v>
      </c>
      <c r="G34" s="197" t="s">
        <v>309</v>
      </c>
      <c r="H34" s="197" t="s">
        <v>485</v>
      </c>
      <c r="I34" s="197" t="s">
        <v>960</v>
      </c>
      <c r="J34" s="197" t="s">
        <v>1036</v>
      </c>
      <c r="K34" s="197" t="s">
        <v>606</v>
      </c>
      <c r="L34" s="197">
        <v>165745</v>
      </c>
      <c r="M34" s="197" t="s">
        <v>342</v>
      </c>
      <c r="N34" s="197" t="s">
        <v>341</v>
      </c>
      <c r="O34" s="204">
        <v>97.345039</v>
      </c>
      <c r="P34" s="204">
        <v>25.351965</v>
      </c>
      <c r="Q34" s="205"/>
      <c r="R34" s="274">
        <v>19</v>
      </c>
      <c r="S34" s="274">
        <v>85</v>
      </c>
      <c r="T34" s="207">
        <f>IF(CampList[[#This Row],[HH]]&gt;0,CampList[[#This Row],[Total]]/CampList[[#This Row],[HH]],"NA")</f>
        <v>4.4736842105263159</v>
      </c>
      <c r="U34" s="199" t="s">
        <v>464</v>
      </c>
      <c r="V34" s="199" t="s">
        <v>994</v>
      </c>
      <c r="W34" s="199" t="s">
        <v>507</v>
      </c>
      <c r="X34" s="199" t="s">
        <v>784</v>
      </c>
      <c r="Y34" s="312">
        <v>41030</v>
      </c>
      <c r="Z34" s="208" t="s">
        <v>462</v>
      </c>
      <c r="AA34" s="197" t="s">
        <v>774</v>
      </c>
      <c r="AB34" s="210">
        <v>43405</v>
      </c>
      <c r="AC34" s="211" t="s">
        <v>1804</v>
      </c>
      <c r="AD34" s="199" t="str">
        <f ca="1">IFERROR(OFFSET(DistanceToCamp[Nearest Town],MATCH(CampList[[#This Row],[CP_Pcode]],DistanceToCamp[CP_Pcode],0)-1,0,1,1),"")</f>
        <v>Myitkyina Town</v>
      </c>
      <c r="AE34" s="212">
        <f ca="1">IFERROR(OFFSET(DistanceToCamp[distance],MATCH(CampList[[#This Row],[CP_Pcode]],DistanceToCamp[CP_Pcode],0)-1,0,1,1),"")</f>
        <v>6.0275881703713861</v>
      </c>
      <c r="AF34" s="213">
        <f ca="1">IFERROR(INT(CampList[[#This Row],[Distance]]/5)+1,"")</f>
        <v>2</v>
      </c>
    </row>
    <row r="35" spans="2:32" ht="15.75" customHeight="1" x14ac:dyDescent="0.25">
      <c r="B35" s="203" t="s">
        <v>1740</v>
      </c>
      <c r="C35" s="197" t="s">
        <v>378</v>
      </c>
      <c r="D35" s="197" t="s">
        <v>478</v>
      </c>
      <c r="E35" s="197" t="s">
        <v>237</v>
      </c>
      <c r="F35" s="197" t="s">
        <v>484</v>
      </c>
      <c r="G35" s="197" t="s">
        <v>309</v>
      </c>
      <c r="H35" s="197" t="s">
        <v>485</v>
      </c>
      <c r="I35" s="197" t="s">
        <v>635</v>
      </c>
      <c r="J35" s="197" t="s">
        <v>636</v>
      </c>
      <c r="K35" s="197" t="s">
        <v>637</v>
      </c>
      <c r="L35" s="197" t="s">
        <v>638</v>
      </c>
      <c r="M35" s="197" t="s">
        <v>347</v>
      </c>
      <c r="N35" s="197" t="s">
        <v>346</v>
      </c>
      <c r="O35" s="204">
        <v>97.428251153846105</v>
      </c>
      <c r="P35" s="204">
        <v>25.333683333333301</v>
      </c>
      <c r="Q35" s="205"/>
      <c r="R35" s="274">
        <v>45</v>
      </c>
      <c r="S35" s="274">
        <v>188</v>
      </c>
      <c r="T35" s="207">
        <f>IF(CampList[[#This Row],[HH]]&gt;0,CampList[[#This Row],[Total]]/CampList[[#This Row],[HH]],"NA")</f>
        <v>4.177777777777778</v>
      </c>
      <c r="U35" s="199" t="s">
        <v>464</v>
      </c>
      <c r="V35" s="199" t="s">
        <v>994</v>
      </c>
      <c r="W35" s="199" t="s">
        <v>507</v>
      </c>
      <c r="X35" s="199" t="s">
        <v>742</v>
      </c>
      <c r="Y35" s="312">
        <v>40848</v>
      </c>
      <c r="Z35" s="208" t="s">
        <v>462</v>
      </c>
      <c r="AA35" s="197" t="s">
        <v>774</v>
      </c>
      <c r="AB35" s="210">
        <v>43405</v>
      </c>
      <c r="AC35" s="211" t="s">
        <v>1805</v>
      </c>
      <c r="AD35" s="199" t="str">
        <f ca="1">IFERROR(OFFSET(DistanceToCamp[Nearest Town],MATCH(CampList[[#This Row],[CP_Pcode]],DistanceToCamp[CP_Pcode],0)-1,0,1,1),"")</f>
        <v>Waingmaw Town</v>
      </c>
      <c r="AE35" s="212">
        <f ca="1">IFERROR(OFFSET(DistanceToCamp[distance],MATCH(CampList[[#This Row],[CP_Pcode]],DistanceToCamp[CP_Pcode],0)-1,0,1,1),"")</f>
        <v>2.4174307716662291</v>
      </c>
      <c r="AF35" s="213">
        <f ca="1">IFERROR(INT(CampList[[#This Row],[Distance]]/5)+1,"")</f>
        <v>1</v>
      </c>
    </row>
    <row r="36" spans="2:32" ht="15.75" hidden="1" customHeight="1" x14ac:dyDescent="0.25">
      <c r="B36" s="203" t="s">
        <v>775</v>
      </c>
      <c r="C36" s="197" t="s">
        <v>378</v>
      </c>
      <c r="D36" s="197" t="s">
        <v>478</v>
      </c>
      <c r="E36" s="197" t="s">
        <v>237</v>
      </c>
      <c r="F36" s="197" t="s">
        <v>484</v>
      </c>
      <c r="G36" s="197" t="s">
        <v>309</v>
      </c>
      <c r="H36" s="197" t="s">
        <v>485</v>
      </c>
      <c r="I36" s="211" t="s">
        <v>689</v>
      </c>
      <c r="J36" s="211" t="s">
        <v>690</v>
      </c>
      <c r="K36" s="211" t="s">
        <v>689</v>
      </c>
      <c r="L36" s="211">
        <v>165750</v>
      </c>
      <c r="M36" s="197" t="s">
        <v>1033</v>
      </c>
      <c r="N36" s="197" t="s">
        <v>358</v>
      </c>
      <c r="O36" s="204"/>
      <c r="P36" s="204"/>
      <c r="Q36" s="217"/>
      <c r="R36" s="284"/>
      <c r="S36" s="285"/>
      <c r="T36" s="207" t="str">
        <f>IF(CampList[[#This Row],[HH]]&gt;0,CampList[[#This Row],[Total]]/CampList[[#This Row],[HH]],"NA")</f>
        <v>NA</v>
      </c>
      <c r="U36" s="199" t="s">
        <v>464</v>
      </c>
      <c r="V36" s="199" t="s">
        <v>994</v>
      </c>
      <c r="W36" s="199" t="s">
        <v>507</v>
      </c>
      <c r="X36" s="199"/>
      <c r="Y36" s="218"/>
      <c r="Z36" s="209"/>
      <c r="AA36" s="223"/>
      <c r="AB36" s="226"/>
      <c r="AC36" s="203" t="s">
        <v>541</v>
      </c>
      <c r="AD36" s="199" t="str">
        <f ca="1">IFERROR(OFFSET(DistanceToCamp[Nearest Town],MATCH(CampList[[#This Row],[CP_Pcode]],DistanceToCamp[CP_Pcode],0)-1,0,1,1),"")</f>
        <v/>
      </c>
      <c r="AE36" s="212" t="str">
        <f ca="1">IFERROR(OFFSET(DistanceToCamp[distance],MATCH(CampList[[#This Row],[CP_Pcode]],DistanceToCamp[CP_Pcode],0)-1,0,1,1),"")</f>
        <v/>
      </c>
      <c r="AF36" s="213" t="str">
        <f ca="1">IFERROR(INT(CampList[[#This Row],[Distance]]/5)+1,"")</f>
        <v/>
      </c>
    </row>
    <row r="37" spans="2:32" ht="15.75" hidden="1" customHeight="1" x14ac:dyDescent="0.25">
      <c r="B37" s="203" t="s">
        <v>775</v>
      </c>
      <c r="C37" s="197" t="s">
        <v>378</v>
      </c>
      <c r="D37" s="197" t="s">
        <v>478</v>
      </c>
      <c r="E37" s="197" t="s">
        <v>237</v>
      </c>
      <c r="F37" s="197" t="s">
        <v>484</v>
      </c>
      <c r="G37" s="197" t="s">
        <v>309</v>
      </c>
      <c r="H37" s="197" t="s">
        <v>485</v>
      </c>
      <c r="I37" s="211" t="s">
        <v>564</v>
      </c>
      <c r="J37" s="197" t="s">
        <v>565</v>
      </c>
      <c r="K37" s="211" t="s">
        <v>564</v>
      </c>
      <c r="L37" s="211">
        <v>165735</v>
      </c>
      <c r="M37" s="197" t="s">
        <v>1032</v>
      </c>
      <c r="N37" s="197" t="s">
        <v>357</v>
      </c>
      <c r="O37" s="204">
        <v>97.421104</v>
      </c>
      <c r="P37" s="204">
        <v>25.328987000000001</v>
      </c>
      <c r="Q37" s="217"/>
      <c r="R37" s="284"/>
      <c r="S37" s="285"/>
      <c r="T37" s="207" t="str">
        <f>IF(CampList[[#This Row],[HH]]&gt;0,CampList[[#This Row],[Total]]/CampList[[#This Row],[HH]],"NA")</f>
        <v>NA</v>
      </c>
      <c r="U37" s="199" t="s">
        <v>464</v>
      </c>
      <c r="V37" s="199" t="s">
        <v>994</v>
      </c>
      <c r="W37" s="199" t="s">
        <v>507</v>
      </c>
      <c r="X37" s="199"/>
      <c r="Y37" s="218"/>
      <c r="Z37" s="209"/>
      <c r="AA37" s="223"/>
      <c r="AB37" s="226"/>
      <c r="AC37" s="203" t="s">
        <v>541</v>
      </c>
      <c r="AD37" s="199" t="str">
        <f ca="1">IFERROR(OFFSET(DistanceToCamp[Nearest Town],MATCH(CampList[[#This Row],[CP_Pcode]],DistanceToCamp[CP_Pcode],0)-1,0,1,1),"")</f>
        <v/>
      </c>
      <c r="AE37" s="212" t="str">
        <f ca="1">IFERROR(OFFSET(DistanceToCamp[distance],MATCH(CampList[[#This Row],[CP_Pcode]],DistanceToCamp[CP_Pcode],0)-1,0,1,1),"")</f>
        <v/>
      </c>
      <c r="AF37" s="213" t="str">
        <f ca="1">IFERROR(INT(CampList[[#This Row],[Distance]]/5)+1,"")</f>
        <v/>
      </c>
    </row>
    <row r="38" spans="2:32" ht="15.75" hidden="1" customHeight="1" x14ac:dyDescent="0.25">
      <c r="B38" s="203" t="s">
        <v>775</v>
      </c>
      <c r="C38" s="197" t="s">
        <v>378</v>
      </c>
      <c r="D38" s="197" t="s">
        <v>478</v>
      </c>
      <c r="E38" s="197" t="s">
        <v>237</v>
      </c>
      <c r="F38" s="197" t="s">
        <v>484</v>
      </c>
      <c r="G38" s="197" t="s">
        <v>309</v>
      </c>
      <c r="H38" s="197" t="s">
        <v>485</v>
      </c>
      <c r="I38" s="197" t="s">
        <v>635</v>
      </c>
      <c r="J38" s="197" t="s">
        <v>636</v>
      </c>
      <c r="K38" s="197" t="s">
        <v>656</v>
      </c>
      <c r="L38" s="197" t="s">
        <v>657</v>
      </c>
      <c r="M38" s="197" t="s">
        <v>310</v>
      </c>
      <c r="N38" s="197" t="s">
        <v>308</v>
      </c>
      <c r="O38" s="204">
        <v>97.438259000000002</v>
      </c>
      <c r="P38" s="204">
        <v>25.355841999999999</v>
      </c>
      <c r="Q38" s="205">
        <v>0</v>
      </c>
      <c r="R38" s="220"/>
      <c r="S38" s="225"/>
      <c r="T38" s="207" t="str">
        <f>IF(CampList[[#This Row],[HH]]&gt;0,CampList[[#This Row],[Total]]/CampList[[#This Row],[HH]],"NA")</f>
        <v>NA</v>
      </c>
      <c r="U38" s="199" t="s">
        <v>464</v>
      </c>
      <c r="V38" s="199" t="s">
        <v>994</v>
      </c>
      <c r="W38" s="199" t="s">
        <v>848</v>
      </c>
      <c r="X38" s="199" t="s">
        <v>742</v>
      </c>
      <c r="Y38" s="673">
        <v>40848</v>
      </c>
      <c r="Z38" s="673" t="s">
        <v>424</v>
      </c>
      <c r="AA38" s="197" t="s">
        <v>774</v>
      </c>
      <c r="AB38" s="210">
        <v>42432</v>
      </c>
      <c r="AC38" s="211" t="s">
        <v>1086</v>
      </c>
      <c r="AD38" s="199" t="str">
        <f ca="1">IFERROR(OFFSET(DistanceToCamp[Nearest Town],MATCH(CampList[[#This Row],[CP_Pcode]],DistanceToCamp[CP_Pcode],0)-1,0,1,1),"")</f>
        <v>Waingmaw Town</v>
      </c>
      <c r="AE38" s="212">
        <f ca="1">IFERROR(OFFSET(DistanceToCamp[distance],MATCH(CampList[[#This Row],[CP_Pcode]],DistanceToCamp[CP_Pcode],0)-1,0,1,1),"")</f>
        <v>0.70725493400809891</v>
      </c>
      <c r="AF38" s="213">
        <f ca="1">IFERROR(INT(CampList[[#This Row],[Distance]]/5)+1,"")</f>
        <v>1</v>
      </c>
    </row>
    <row r="39" spans="2:32" ht="15.75" customHeight="1" x14ac:dyDescent="0.25">
      <c r="B39" s="203" t="s">
        <v>1740</v>
      </c>
      <c r="C39" s="197" t="s">
        <v>378</v>
      </c>
      <c r="D39" s="197" t="s">
        <v>478</v>
      </c>
      <c r="E39" s="197" t="s">
        <v>237</v>
      </c>
      <c r="F39" s="197" t="s">
        <v>484</v>
      </c>
      <c r="G39" s="197" t="s">
        <v>309</v>
      </c>
      <c r="H39" s="197" t="s">
        <v>485</v>
      </c>
      <c r="I39" s="197" t="s">
        <v>635</v>
      </c>
      <c r="J39" s="197" t="s">
        <v>636</v>
      </c>
      <c r="K39" s="197" t="s">
        <v>654</v>
      </c>
      <c r="L39" s="197" t="s">
        <v>655</v>
      </c>
      <c r="M39" s="197" t="s">
        <v>315</v>
      </c>
      <c r="N39" s="197" t="s">
        <v>314</v>
      </c>
      <c r="O39" s="204">
        <v>97.444283730158702</v>
      </c>
      <c r="P39" s="204">
        <v>25.351250396825399</v>
      </c>
      <c r="Q39" s="205">
        <v>476</v>
      </c>
      <c r="R39" s="274">
        <v>67</v>
      </c>
      <c r="S39" s="274">
        <v>273</v>
      </c>
      <c r="T39" s="207">
        <f>IF(CampList[[#This Row],[HH]]&gt;0,CampList[[#This Row],[Total]]/CampList[[#This Row],[HH]],"NA")</f>
        <v>4.0746268656716422</v>
      </c>
      <c r="U39" s="199" t="s">
        <v>464</v>
      </c>
      <c r="V39" s="199" t="s">
        <v>994</v>
      </c>
      <c r="W39" s="199" t="s">
        <v>507</v>
      </c>
      <c r="X39" s="199" t="s">
        <v>742</v>
      </c>
      <c r="Y39" s="312">
        <v>40848</v>
      </c>
      <c r="Z39" s="673" t="s">
        <v>462</v>
      </c>
      <c r="AA39" s="197" t="s">
        <v>774</v>
      </c>
      <c r="AB39" s="210">
        <v>43405</v>
      </c>
      <c r="AC39" s="211" t="s">
        <v>1805</v>
      </c>
      <c r="AD39" s="199" t="str">
        <f ca="1">IFERROR(OFFSET(DistanceToCamp[Nearest Town],MATCH(CampList[[#This Row],[CP_Pcode]],DistanceToCamp[CP_Pcode],0)-1,0,1,1),"")</f>
        <v>Waingmaw Town</v>
      </c>
      <c r="AE39" s="212">
        <f ca="1">IFERROR(OFFSET(DistanceToCamp[distance],MATCH(CampList[[#This Row],[CP_Pcode]],DistanceToCamp[CP_Pcode],0)-1,0,1,1),"")</f>
        <v>0.15089472113650237</v>
      </c>
      <c r="AF39" s="213">
        <f ca="1">IFERROR(INT(CampList[[#This Row],[Distance]]/5)+1,"")</f>
        <v>1</v>
      </c>
    </row>
    <row r="40" spans="2:32" ht="15.75" customHeight="1" x14ac:dyDescent="0.25">
      <c r="B40" s="203" t="s">
        <v>1740</v>
      </c>
      <c r="C40" s="197" t="s">
        <v>378</v>
      </c>
      <c r="D40" s="197" t="s">
        <v>478</v>
      </c>
      <c r="E40" s="197" t="s">
        <v>237</v>
      </c>
      <c r="F40" s="197" t="s">
        <v>484</v>
      </c>
      <c r="G40" s="197" t="s">
        <v>27</v>
      </c>
      <c r="H40" s="197" t="s">
        <v>487</v>
      </c>
      <c r="I40" s="197" t="s">
        <v>731</v>
      </c>
      <c r="J40" s="197" t="s">
        <v>732</v>
      </c>
      <c r="K40" s="197" t="s">
        <v>1094</v>
      </c>
      <c r="L40" s="215" t="s">
        <v>1093</v>
      </c>
      <c r="M40" s="197" t="s">
        <v>28</v>
      </c>
      <c r="N40" s="197" t="s">
        <v>30</v>
      </c>
      <c r="O40" s="204">
        <v>98.131550000000004</v>
      </c>
      <c r="P40" s="204">
        <v>25.889410000000002</v>
      </c>
      <c r="Q40" s="205">
        <v>304</v>
      </c>
      <c r="R40" s="274">
        <v>161</v>
      </c>
      <c r="S40" s="274">
        <v>804</v>
      </c>
      <c r="T40" s="207">
        <f>IF(CampList[[#This Row],[HH]]&gt;0,CampList[[#This Row],[Total]]/CampList[[#This Row],[HH]],"NA")</f>
        <v>4.9937888198757765</v>
      </c>
      <c r="U40" s="199" t="s">
        <v>464</v>
      </c>
      <c r="V40" s="199" t="s">
        <v>994</v>
      </c>
      <c r="W40" s="199" t="s">
        <v>507</v>
      </c>
      <c r="X40" s="199" t="s">
        <v>742</v>
      </c>
      <c r="Y40" s="312">
        <v>41244</v>
      </c>
      <c r="Z40" s="208" t="s">
        <v>462</v>
      </c>
      <c r="AA40" s="223" t="s">
        <v>774</v>
      </c>
      <c r="AB40" s="210">
        <v>43405</v>
      </c>
      <c r="AC40" s="203" t="s">
        <v>1806</v>
      </c>
      <c r="AD40" s="199" t="str">
        <f ca="1">IFERROR(OFFSET(DistanceToCamp[Nearest Town],MATCH(CampList[[#This Row],[CP_Pcode]],DistanceToCamp[CP_Pcode],0)-1,0,1,1),"")</f>
        <v>Chipwi Town</v>
      </c>
      <c r="AE40" s="212">
        <f ca="1">IFERROR(OFFSET(DistanceToCamp[distance],MATCH(CampList[[#This Row],[CP_Pcode]],DistanceToCamp[CP_Pcode],0)-1,0,1,1),"")</f>
        <v>0.15809623370782155</v>
      </c>
      <c r="AF40" s="213">
        <f ca="1">IFERROR(INT(CampList[[#This Row],[Distance]]/5)+1,"")</f>
        <v>1</v>
      </c>
    </row>
    <row r="41" spans="2:32" ht="15.75" customHeight="1" x14ac:dyDescent="0.25">
      <c r="B41" s="203" t="s">
        <v>1740</v>
      </c>
      <c r="C41" s="197" t="s">
        <v>378</v>
      </c>
      <c r="D41" s="197" t="s">
        <v>478</v>
      </c>
      <c r="E41" s="197" t="s">
        <v>5</v>
      </c>
      <c r="F41" s="197" t="s">
        <v>482</v>
      </c>
      <c r="G41" s="197" t="s">
        <v>5</v>
      </c>
      <c r="H41" s="197" t="s">
        <v>483</v>
      </c>
      <c r="I41" s="211" t="s">
        <v>1089</v>
      </c>
      <c r="J41" s="211" t="s">
        <v>1090</v>
      </c>
      <c r="K41" s="211" t="s">
        <v>1089</v>
      </c>
      <c r="L41" s="222">
        <v>166836</v>
      </c>
      <c r="M41" s="197" t="s">
        <v>18</v>
      </c>
      <c r="N41" s="197" t="s">
        <v>17</v>
      </c>
      <c r="O41" s="204">
        <v>97.240183461538507</v>
      </c>
      <c r="P41" s="204">
        <v>24.2631743589744</v>
      </c>
      <c r="Q41" s="205">
        <v>0</v>
      </c>
      <c r="R41" s="274">
        <v>132</v>
      </c>
      <c r="S41" s="274">
        <v>774</v>
      </c>
      <c r="T41" s="207">
        <f>IF(CampList[[#This Row],[HH]]&gt;0,CampList[[#This Row],[Total]]/CampList[[#This Row],[HH]],"NA")</f>
        <v>5.8636363636363633</v>
      </c>
      <c r="U41" s="199" t="s">
        <v>464</v>
      </c>
      <c r="V41" s="199" t="s">
        <v>994</v>
      </c>
      <c r="W41" s="199" t="s">
        <v>507</v>
      </c>
      <c r="X41" s="199" t="s">
        <v>742</v>
      </c>
      <c r="Y41" s="312">
        <v>40695</v>
      </c>
      <c r="Z41" s="208" t="s">
        <v>462</v>
      </c>
      <c r="AA41" s="223" t="s">
        <v>774</v>
      </c>
      <c r="AB41" s="210">
        <v>43405</v>
      </c>
      <c r="AC41" s="203" t="s">
        <v>1807</v>
      </c>
      <c r="AD41" s="199" t="str">
        <f ca="1">IFERROR(OFFSET(DistanceToCamp[Nearest Town],MATCH(CampList[[#This Row],[CP_Pcode]],DistanceToCamp[CP_Pcode],0)-1,0,1,1),"")</f>
        <v>Bhamo Town</v>
      </c>
      <c r="AE41" s="212">
        <f ca="1">IFERROR(OFFSET(DistanceToCamp[distance],MATCH(CampList[[#This Row],[CP_Pcode]],DistanceToCamp[CP_Pcode],0)-1,0,1,1),"")</f>
        <v>1.0876401420946245</v>
      </c>
      <c r="AF41" s="213">
        <f ca="1">IFERROR(INT(CampList[[#This Row],[Distance]]/5)+1,"")</f>
        <v>1</v>
      </c>
    </row>
    <row r="42" spans="2:32" ht="15.75" customHeight="1" x14ac:dyDescent="0.25">
      <c r="B42" s="203" t="s">
        <v>1740</v>
      </c>
      <c r="C42" s="198" t="s">
        <v>378</v>
      </c>
      <c r="D42" s="198" t="s">
        <v>478</v>
      </c>
      <c r="E42" s="198" t="s">
        <v>5</v>
      </c>
      <c r="F42" s="198" t="s">
        <v>482</v>
      </c>
      <c r="G42" s="198" t="s">
        <v>5</v>
      </c>
      <c r="H42" s="198" t="s">
        <v>483</v>
      </c>
      <c r="I42" s="198" t="s">
        <v>1089</v>
      </c>
      <c r="J42" s="216" t="s">
        <v>1090</v>
      </c>
      <c r="K42" s="198" t="s">
        <v>1089</v>
      </c>
      <c r="L42" s="198">
        <v>166836</v>
      </c>
      <c r="M42" s="198" t="s">
        <v>6</v>
      </c>
      <c r="N42" s="198" t="s">
        <v>4</v>
      </c>
      <c r="O42" s="206">
        <v>97.238829999999993</v>
      </c>
      <c r="P42" s="206">
        <v>24.260719999999999</v>
      </c>
      <c r="Q42" s="217"/>
      <c r="R42" s="206">
        <v>235</v>
      </c>
      <c r="S42" s="206">
        <v>1166</v>
      </c>
      <c r="T42" s="207">
        <f>IF(CampList[[#This Row],[HH]]&gt;0,CampList[[#This Row],[Total]]/CampList[[#This Row],[HH]],"NA")</f>
        <v>4.9617021276595743</v>
      </c>
      <c r="U42" s="183" t="s">
        <v>464</v>
      </c>
      <c r="V42" s="199" t="s">
        <v>994</v>
      </c>
      <c r="W42" s="183" t="s">
        <v>507</v>
      </c>
      <c r="X42" s="183" t="s">
        <v>742</v>
      </c>
      <c r="Y42" s="313">
        <v>40848</v>
      </c>
      <c r="Z42" s="217" t="s">
        <v>934</v>
      </c>
      <c r="AA42" s="198" t="s">
        <v>774</v>
      </c>
      <c r="AB42" s="210">
        <v>43405</v>
      </c>
      <c r="AC42" s="219" t="s">
        <v>1848</v>
      </c>
      <c r="AD42" s="220" t="str">
        <f ca="1">IFERROR(OFFSET(DistanceToCamp[Nearest Town],MATCH(CampList[[#This Row],[CP_Pcode]],DistanceToCamp[CP_Pcode],0)-1,0,1,1),"")</f>
        <v>Bhamo Town</v>
      </c>
      <c r="AE42" s="212">
        <f ca="1">IFERROR(OFFSET(DistanceToCamp[distance],MATCH(CampList[[#This Row],[CP_Pcode]],DistanceToCamp[CP_Pcode],0)-1,0,1,1),"")</f>
        <v>0.78440046838596356</v>
      </c>
      <c r="AF42" s="221">
        <f ca="1">IFERROR(INT(CampList[[#This Row],[Distance]]/5)+1,"")</f>
        <v>1</v>
      </c>
    </row>
    <row r="43" spans="2:32" ht="15.75" customHeight="1" x14ac:dyDescent="0.25">
      <c r="B43" s="203" t="s">
        <v>1740</v>
      </c>
      <c r="C43" s="197" t="s">
        <v>378</v>
      </c>
      <c r="D43" s="197" t="s">
        <v>478</v>
      </c>
      <c r="E43" s="197" t="s">
        <v>5</v>
      </c>
      <c r="F43" s="197" t="s">
        <v>482</v>
      </c>
      <c r="G43" s="197" t="s">
        <v>5</v>
      </c>
      <c r="H43" s="197" t="s">
        <v>483</v>
      </c>
      <c r="I43" s="211" t="s">
        <v>577</v>
      </c>
      <c r="J43" s="211" t="s">
        <v>578</v>
      </c>
      <c r="K43" s="211" t="s">
        <v>583</v>
      </c>
      <c r="L43" s="211" t="s">
        <v>584</v>
      </c>
      <c r="M43" s="197" t="s">
        <v>8</v>
      </c>
      <c r="N43" s="197" t="s">
        <v>7</v>
      </c>
      <c r="O43" s="204">
        <v>97.234200000000001</v>
      </c>
      <c r="P43" s="204">
        <v>24.253067000000001</v>
      </c>
      <c r="Q43" s="205">
        <v>0</v>
      </c>
      <c r="R43" s="274">
        <v>13</v>
      </c>
      <c r="S43" s="274">
        <v>57</v>
      </c>
      <c r="T43" s="207">
        <f>IF(CampList[[#This Row],[HH]]&gt;0,CampList[[#This Row],[Total]]/CampList[[#This Row],[HH]],"NA")</f>
        <v>4.384615384615385</v>
      </c>
      <c r="U43" s="199" t="s">
        <v>464</v>
      </c>
      <c r="V43" s="199" t="s">
        <v>994</v>
      </c>
      <c r="W43" s="199" t="s">
        <v>507</v>
      </c>
      <c r="X43" s="199" t="s">
        <v>742</v>
      </c>
      <c r="Y43" s="312">
        <v>41183</v>
      </c>
      <c r="Z43" s="208" t="s">
        <v>462</v>
      </c>
      <c r="AA43" s="223" t="s">
        <v>774</v>
      </c>
      <c r="AB43" s="210">
        <v>43405</v>
      </c>
      <c r="AC43" s="203" t="s">
        <v>1808</v>
      </c>
      <c r="AD43" s="199" t="str">
        <f ca="1">IFERROR(OFFSET(DistanceToCamp[Nearest Town],MATCH(CampList[[#This Row],[CP_Pcode]],DistanceToCamp[CP_Pcode],0)-1,0,1,1),"")</f>
        <v>Bhamo Town</v>
      </c>
      <c r="AE43" s="212">
        <f ca="1">IFERROR(OFFSET(DistanceToCamp[distance],MATCH(CampList[[#This Row],[CP_Pcode]],DistanceToCamp[CP_Pcode],0)-1,0,1,1),"")</f>
        <v>0.20824727902294948</v>
      </c>
      <c r="AF43" s="213">
        <f ca="1">IFERROR(INT(CampList[[#This Row],[Distance]]/5)+1,"")</f>
        <v>1</v>
      </c>
    </row>
    <row r="44" spans="2:32" ht="15.75" customHeight="1" x14ac:dyDescent="0.25">
      <c r="B44" s="203" t="s">
        <v>1740</v>
      </c>
      <c r="C44" s="197" t="s">
        <v>378</v>
      </c>
      <c r="D44" s="197" t="s">
        <v>478</v>
      </c>
      <c r="E44" s="197" t="s">
        <v>5</v>
      </c>
      <c r="F44" s="197" t="s">
        <v>482</v>
      </c>
      <c r="G44" s="197" t="s">
        <v>5</v>
      </c>
      <c r="H44" s="197" t="s">
        <v>483</v>
      </c>
      <c r="I44" s="211" t="s">
        <v>577</v>
      </c>
      <c r="J44" s="211" t="s">
        <v>578</v>
      </c>
      <c r="K44" s="211" t="s">
        <v>583</v>
      </c>
      <c r="L44" s="211" t="s">
        <v>584</v>
      </c>
      <c r="M44" s="197" t="s">
        <v>14</v>
      </c>
      <c r="N44" s="197" t="s">
        <v>13</v>
      </c>
      <c r="O44" s="204">
        <v>97.236919999999998</v>
      </c>
      <c r="P44" s="204">
        <v>24.24766</v>
      </c>
      <c r="Q44" s="205">
        <v>0</v>
      </c>
      <c r="R44" s="274">
        <v>42</v>
      </c>
      <c r="S44" s="274">
        <v>234</v>
      </c>
      <c r="T44" s="207">
        <f>IF(CampList[[#This Row],[HH]]&gt;0,CampList[[#This Row],[Total]]/CampList[[#This Row],[HH]],"NA")</f>
        <v>5.5714285714285712</v>
      </c>
      <c r="U44" s="199" t="s">
        <v>464</v>
      </c>
      <c r="V44" s="199" t="s">
        <v>994</v>
      </c>
      <c r="W44" s="199" t="s">
        <v>507</v>
      </c>
      <c r="X44" s="199" t="s">
        <v>742</v>
      </c>
      <c r="Y44" s="312">
        <v>40878</v>
      </c>
      <c r="Z44" s="208" t="s">
        <v>424</v>
      </c>
      <c r="AA44" s="223" t="s">
        <v>774</v>
      </c>
      <c r="AB44" s="210">
        <v>43405</v>
      </c>
      <c r="AC44" s="203" t="s">
        <v>1872</v>
      </c>
      <c r="AD44" s="199" t="str">
        <f ca="1">IFERROR(OFFSET(DistanceToCamp[Nearest Town],MATCH(CampList[[#This Row],[CP_Pcode]],DistanceToCamp[CP_Pcode],0)-1,0,1,1),"")</f>
        <v>Bhamo Town</v>
      </c>
      <c r="AE44" s="212">
        <f ca="1">IFERROR(OFFSET(DistanceToCamp[distance],MATCH(CampList[[#This Row],[CP_Pcode]],DistanceToCamp[CP_Pcode],0)-1,0,1,1),"")</f>
        <v>0.84749304721635399</v>
      </c>
      <c r="AF44" s="213">
        <f ca="1">IFERROR(INT(CampList[[#This Row],[Distance]]/5)+1,"")</f>
        <v>1</v>
      </c>
    </row>
    <row r="45" spans="2:32" ht="15.75" customHeight="1" x14ac:dyDescent="0.25">
      <c r="B45" s="203" t="s">
        <v>1740</v>
      </c>
      <c r="C45" s="197" t="s">
        <v>378</v>
      </c>
      <c r="D45" s="197" t="s">
        <v>478</v>
      </c>
      <c r="E45" s="197" t="s">
        <v>5</v>
      </c>
      <c r="F45" s="197" t="s">
        <v>482</v>
      </c>
      <c r="G45" s="197" t="s">
        <v>5</v>
      </c>
      <c r="H45" s="197" t="s">
        <v>483</v>
      </c>
      <c r="I45" s="211" t="s">
        <v>585</v>
      </c>
      <c r="J45" s="211" t="s">
        <v>586</v>
      </c>
      <c r="K45" s="197" t="s">
        <v>585</v>
      </c>
      <c r="L45" s="216">
        <v>166851</v>
      </c>
      <c r="M45" s="197" t="s">
        <v>26</v>
      </c>
      <c r="N45" s="197" t="s">
        <v>25</v>
      </c>
      <c r="O45" s="204">
        <v>97.240639999999999</v>
      </c>
      <c r="P45" s="204">
        <v>24.24953</v>
      </c>
      <c r="Q45" s="205">
        <v>0</v>
      </c>
      <c r="R45" s="274">
        <v>13</v>
      </c>
      <c r="S45" s="274">
        <v>63</v>
      </c>
      <c r="T45" s="207">
        <f>IF(CampList[[#This Row],[HH]]&gt;0,CampList[[#This Row],[Total]]/CampList[[#This Row],[HH]],"NA")</f>
        <v>4.8461538461538458</v>
      </c>
      <c r="U45" s="199" t="s">
        <v>464</v>
      </c>
      <c r="V45" s="199" t="s">
        <v>994</v>
      </c>
      <c r="W45" s="199" t="s">
        <v>507</v>
      </c>
      <c r="X45" s="199" t="s">
        <v>742</v>
      </c>
      <c r="Y45" s="312">
        <v>41122</v>
      </c>
      <c r="Z45" s="208" t="s">
        <v>462</v>
      </c>
      <c r="AA45" s="197" t="s">
        <v>774</v>
      </c>
      <c r="AB45" s="210">
        <v>43405</v>
      </c>
      <c r="AC45" s="211" t="s">
        <v>1809</v>
      </c>
      <c r="AD45" s="199" t="str">
        <f ca="1">IFERROR(OFFSET(DistanceToCamp[Nearest Town],MATCH(CampList[[#This Row],[CP_Pcode]],DistanceToCamp[CP_Pcode],0)-1,0,1,1),"")</f>
        <v>Bhamo Town</v>
      </c>
      <c r="AE45" s="212">
        <f ca="1">IFERROR(OFFSET(DistanceToCamp[distance],MATCH(CampList[[#This Row],[CP_Pcode]],DistanceToCamp[CP_Pcode],0)-1,0,1,1),"")</f>
        <v>0.87147615879849294</v>
      </c>
      <c r="AF45" s="213">
        <f ca="1">IFERROR(INT(CampList[[#This Row],[Distance]]/5)+1,"")</f>
        <v>1</v>
      </c>
    </row>
    <row r="46" spans="2:32" ht="15.75" hidden="1" customHeight="1" x14ac:dyDescent="0.25">
      <c r="B46" s="203" t="s">
        <v>775</v>
      </c>
      <c r="C46" s="197" t="s">
        <v>378</v>
      </c>
      <c r="D46" s="197" t="s">
        <v>478</v>
      </c>
      <c r="E46" s="197" t="s">
        <v>237</v>
      </c>
      <c r="F46" s="197" t="s">
        <v>484</v>
      </c>
      <c r="G46" s="197" t="s">
        <v>27</v>
      </c>
      <c r="H46" s="197" t="s">
        <v>487</v>
      </c>
      <c r="I46" s="197"/>
      <c r="J46" s="197"/>
      <c r="K46" s="197"/>
      <c r="L46" s="197"/>
      <c r="M46" s="197" t="s">
        <v>37</v>
      </c>
      <c r="N46" s="197" t="s">
        <v>36</v>
      </c>
      <c r="O46" s="204"/>
      <c r="P46" s="204"/>
      <c r="Q46" s="217"/>
      <c r="R46" s="284"/>
      <c r="S46" s="285"/>
      <c r="T46" s="207" t="str">
        <f>IF(CampList[[#This Row],[HH]]&gt;0,CampList[[#This Row],[Total]]/CampList[[#This Row],[HH]],"NA")</f>
        <v>NA</v>
      </c>
      <c r="U46" s="199" t="s">
        <v>464</v>
      </c>
      <c r="V46" s="199" t="s">
        <v>994</v>
      </c>
      <c r="W46" s="199" t="s">
        <v>507</v>
      </c>
      <c r="X46" s="199"/>
      <c r="Y46" s="218"/>
      <c r="Z46" s="209"/>
      <c r="AA46" s="303"/>
      <c r="AB46" s="226"/>
      <c r="AC46" s="203" t="s">
        <v>541</v>
      </c>
      <c r="AD46" s="199" t="str">
        <f ca="1">IFERROR(OFFSET(DistanceToCamp[Nearest Town],MATCH(CampList[[#This Row],[CP_Pcode]],DistanceToCamp[CP_Pcode],0)-1,0,1,1),"")</f>
        <v/>
      </c>
      <c r="AE46" s="212" t="str">
        <f ca="1">IFERROR(OFFSET(DistanceToCamp[distance],MATCH(CampList[[#This Row],[CP_Pcode]],DistanceToCamp[CP_Pcode],0)-1,0,1,1),"")</f>
        <v/>
      </c>
      <c r="AF46" s="213" t="str">
        <f ca="1">IFERROR(INT(CampList[[#This Row],[Distance]]/5)+1,"")</f>
        <v/>
      </c>
    </row>
    <row r="47" spans="2:32" ht="15.75" hidden="1" customHeight="1" x14ac:dyDescent="0.25">
      <c r="B47" s="203" t="s">
        <v>775</v>
      </c>
      <c r="C47" s="197" t="s">
        <v>378</v>
      </c>
      <c r="D47" s="197" t="s">
        <v>478</v>
      </c>
      <c r="E47" s="197" t="s">
        <v>237</v>
      </c>
      <c r="F47" s="197" t="s">
        <v>484</v>
      </c>
      <c r="G47" s="197" t="s">
        <v>27</v>
      </c>
      <c r="H47" s="197" t="s">
        <v>487</v>
      </c>
      <c r="I47" s="211" t="s">
        <v>728</v>
      </c>
      <c r="J47" s="211" t="s">
        <v>729</v>
      </c>
      <c r="K47" s="211" t="s">
        <v>730</v>
      </c>
      <c r="L47" s="211">
        <v>166337</v>
      </c>
      <c r="M47" s="197" t="s">
        <v>34</v>
      </c>
      <c r="N47" s="197" t="s">
        <v>33</v>
      </c>
      <c r="O47" s="204">
        <v>98.354146999999998</v>
      </c>
      <c r="P47" s="204">
        <v>25.708763000000001</v>
      </c>
      <c r="Q47" s="217"/>
      <c r="R47" s="310"/>
      <c r="S47" s="311"/>
      <c r="T47" s="207" t="str">
        <f>IF(CampList[[#This Row],[HH]]&gt;0,CampList[[#This Row],[Total]]/CampList[[#This Row],[HH]],"NA")</f>
        <v>NA</v>
      </c>
      <c r="U47" s="199" t="s">
        <v>464</v>
      </c>
      <c r="V47" s="199" t="s">
        <v>994</v>
      </c>
      <c r="W47" s="227" t="s">
        <v>12</v>
      </c>
      <c r="X47" s="199" t="s">
        <v>784</v>
      </c>
      <c r="Y47" s="313"/>
      <c r="Z47" s="209"/>
      <c r="AA47" s="303" t="s">
        <v>774</v>
      </c>
      <c r="AB47" s="323">
        <v>42927</v>
      </c>
      <c r="AC47" s="203" t="s">
        <v>1277</v>
      </c>
      <c r="AD47" s="199" t="str">
        <f ca="1">IFERROR(OFFSET(DistanceToCamp[Nearest Town],MATCH(CampList[[#This Row],[CP_Pcode]],DistanceToCamp[CP_Pcode],0)-1,0,1,1),"")</f>
        <v>Pang War Town</v>
      </c>
      <c r="AE47" s="212">
        <f ca="1">IFERROR(OFFSET(DistanceToCamp[distance],MATCH(CampList[[#This Row],[CP_Pcode]],DistanceToCamp[CP_Pcode],0)-1,0,1,1),"")</f>
        <v>12.486065224161463</v>
      </c>
      <c r="AF47" s="213">
        <f ca="1">IFERROR(INT(CampList[[#This Row],[Distance]]/5)+1,"")</f>
        <v>3</v>
      </c>
    </row>
    <row r="48" spans="2:32" ht="15.75" hidden="1" customHeight="1" x14ac:dyDescent="0.25">
      <c r="B48" s="203" t="s">
        <v>775</v>
      </c>
      <c r="C48" s="197" t="s">
        <v>378</v>
      </c>
      <c r="D48" s="197" t="s">
        <v>478</v>
      </c>
      <c r="E48" s="197" t="s">
        <v>237</v>
      </c>
      <c r="F48" s="197" t="s">
        <v>484</v>
      </c>
      <c r="G48" s="197" t="s">
        <v>27</v>
      </c>
      <c r="H48" s="197" t="s">
        <v>487</v>
      </c>
      <c r="I48" s="197"/>
      <c r="J48" s="197"/>
      <c r="K48" s="197"/>
      <c r="L48" s="197"/>
      <c r="M48" s="197" t="s">
        <v>32</v>
      </c>
      <c r="N48" s="197" t="s">
        <v>31</v>
      </c>
      <c r="O48" s="204"/>
      <c r="P48" s="204"/>
      <c r="Q48" s="217"/>
      <c r="R48" s="284"/>
      <c r="S48" s="285"/>
      <c r="T48" s="207" t="str">
        <f>IF(CampList[[#This Row],[HH]]&gt;0,CampList[[#This Row],[Total]]/CampList[[#This Row],[HH]],"NA")</f>
        <v>NA</v>
      </c>
      <c r="U48" s="199" t="s">
        <v>464</v>
      </c>
      <c r="V48" s="199" t="s">
        <v>994</v>
      </c>
      <c r="W48" s="199" t="s">
        <v>507</v>
      </c>
      <c r="X48" s="199" t="s">
        <v>784</v>
      </c>
      <c r="Y48" s="218"/>
      <c r="Z48" s="673" t="s">
        <v>935</v>
      </c>
      <c r="AA48" s="223" t="s">
        <v>774</v>
      </c>
      <c r="AB48" s="210">
        <v>42096</v>
      </c>
      <c r="AC48" s="203" t="s">
        <v>1027</v>
      </c>
      <c r="AD48" s="199" t="str">
        <f ca="1">IFERROR(OFFSET(DistanceToCamp[Nearest Town],MATCH(CampList[[#This Row],[CP_Pcode]],DistanceToCamp[CP_Pcode],0)-1,0,1,1),"")</f>
        <v/>
      </c>
      <c r="AE48" s="212" t="str">
        <f ca="1">IFERROR(OFFSET(DistanceToCamp[distance],MATCH(CampList[[#This Row],[CP_Pcode]],DistanceToCamp[CP_Pcode],0)-1,0,1,1),"")</f>
        <v/>
      </c>
      <c r="AF48" s="213" t="str">
        <f ca="1">IFERROR(INT(CampList[[#This Row],[Distance]]/5)+1,"")</f>
        <v/>
      </c>
    </row>
    <row r="49" spans="2:32" ht="15.75" customHeight="1" x14ac:dyDescent="0.25">
      <c r="B49" s="203" t="s">
        <v>1740</v>
      </c>
      <c r="C49" s="198" t="s">
        <v>378</v>
      </c>
      <c r="D49" s="198" t="s">
        <v>478</v>
      </c>
      <c r="E49" s="198" t="s">
        <v>5</v>
      </c>
      <c r="F49" s="198" t="s">
        <v>482</v>
      </c>
      <c r="G49" s="198" t="s">
        <v>5</v>
      </c>
      <c r="H49" s="198" t="s">
        <v>483</v>
      </c>
      <c r="I49" s="198" t="s">
        <v>594</v>
      </c>
      <c r="J49" s="216" t="s">
        <v>595</v>
      </c>
      <c r="K49" s="198" t="s">
        <v>594</v>
      </c>
      <c r="L49" s="198">
        <v>166844</v>
      </c>
      <c r="M49" s="198" t="s">
        <v>20</v>
      </c>
      <c r="N49" s="198" t="s">
        <v>19</v>
      </c>
      <c r="O49" s="206">
        <v>97.315860000000001</v>
      </c>
      <c r="P49" s="206">
        <v>24.32638</v>
      </c>
      <c r="Q49" s="217"/>
      <c r="R49" s="206">
        <v>17</v>
      </c>
      <c r="S49" s="206">
        <v>76</v>
      </c>
      <c r="T49" s="207">
        <f>IF(CampList[[#This Row],[HH]]&gt;0,CampList[[#This Row],[Total]]/CampList[[#This Row],[HH]],"NA")</f>
        <v>4.4705882352941178</v>
      </c>
      <c r="U49" s="183" t="s">
        <v>464</v>
      </c>
      <c r="V49" s="199" t="s">
        <v>994</v>
      </c>
      <c r="W49" s="183" t="s">
        <v>507</v>
      </c>
      <c r="X49" s="183" t="s">
        <v>742</v>
      </c>
      <c r="Y49" s="313">
        <v>40848</v>
      </c>
      <c r="Z49" s="217" t="s">
        <v>934</v>
      </c>
      <c r="AA49" s="198" t="s">
        <v>774</v>
      </c>
      <c r="AB49" s="210">
        <v>43405</v>
      </c>
      <c r="AC49" s="219" t="s">
        <v>1849</v>
      </c>
      <c r="AD49" s="220" t="str">
        <f ca="1">IFERROR(OFFSET(DistanceToCamp[Nearest Town],MATCH(CampList[[#This Row],[CP_Pcode]],DistanceToCamp[CP_Pcode],0)-1,0,1,1),"")</f>
        <v>Momauk Town</v>
      </c>
      <c r="AE49" s="212">
        <f ca="1">IFERROR(OFFSET(DistanceToCamp[distance],MATCH(CampList[[#This Row],[CP_Pcode]],DistanceToCamp[CP_Pcode],0)-1,0,1,1),"")</f>
        <v>8.3788619521763046</v>
      </c>
      <c r="AF49" s="221">
        <f ca="1">IFERROR(INT(CampList[[#This Row],[Distance]]/5)+1,"")</f>
        <v>2</v>
      </c>
    </row>
    <row r="50" spans="2:32" ht="15.75" hidden="1" customHeight="1" x14ac:dyDescent="0.25">
      <c r="B50" s="203" t="s">
        <v>775</v>
      </c>
      <c r="C50" s="197" t="s">
        <v>378</v>
      </c>
      <c r="D50" s="197" t="s">
        <v>478</v>
      </c>
      <c r="E50" s="197" t="s">
        <v>5</v>
      </c>
      <c r="F50" s="197" t="s">
        <v>482</v>
      </c>
      <c r="G50" s="197" t="s">
        <v>5</v>
      </c>
      <c r="H50" s="197" t="s">
        <v>483</v>
      </c>
      <c r="I50" s="197"/>
      <c r="J50" s="197"/>
      <c r="K50" s="197"/>
      <c r="L50" s="197"/>
      <c r="M50" s="197" t="s">
        <v>16</v>
      </c>
      <c r="N50" s="197" t="s">
        <v>15</v>
      </c>
      <c r="O50" s="204">
        <v>97.221556500999995</v>
      </c>
      <c r="P50" s="204">
        <v>24.262418020999998</v>
      </c>
      <c r="Q50" s="217"/>
      <c r="R50" s="284"/>
      <c r="S50" s="285"/>
      <c r="T50" s="207" t="str">
        <f>IF(CampList[[#This Row],[HH]]&gt;0,CampList[[#This Row],[Total]]/CampList[[#This Row],[HH]],"NA")</f>
        <v>NA</v>
      </c>
      <c r="U50" s="199" t="s">
        <v>464</v>
      </c>
      <c r="V50" s="199" t="s">
        <v>994</v>
      </c>
      <c r="W50" s="199" t="s">
        <v>507</v>
      </c>
      <c r="X50" s="199"/>
      <c r="Y50" s="218"/>
      <c r="Z50" s="209"/>
      <c r="AA50" s="223" t="s">
        <v>774</v>
      </c>
      <c r="AB50" s="210">
        <v>41661</v>
      </c>
      <c r="AC50" s="203" t="s">
        <v>842</v>
      </c>
      <c r="AD50" s="199" t="str">
        <f ca="1">IFERROR(OFFSET(DistanceToCamp[Nearest Town],MATCH(CampList[[#This Row],[CP_Pcode]],DistanceToCamp[CP_Pcode],0)-1,0,1,1),"")</f>
        <v/>
      </c>
      <c r="AE50" s="212" t="str">
        <f ca="1">IFERROR(OFFSET(DistanceToCamp[distance],MATCH(CampList[[#This Row],[CP_Pcode]],DistanceToCamp[CP_Pcode],0)-1,0,1,1),"")</f>
        <v/>
      </c>
      <c r="AF50" s="213" t="str">
        <f ca="1">IFERROR(INT(CampList[[#This Row],[Distance]]/5)+1,"")</f>
        <v/>
      </c>
    </row>
    <row r="51" spans="2:32" ht="15.75" customHeight="1" x14ac:dyDescent="0.25">
      <c r="B51" s="203" t="s">
        <v>1740</v>
      </c>
      <c r="C51" s="197" t="s">
        <v>378</v>
      </c>
      <c r="D51" s="197" t="s">
        <v>478</v>
      </c>
      <c r="E51" s="197" t="s">
        <v>5</v>
      </c>
      <c r="F51" s="197" t="s">
        <v>482</v>
      </c>
      <c r="G51" s="197" t="s">
        <v>185</v>
      </c>
      <c r="H51" s="197" t="s">
        <v>486</v>
      </c>
      <c r="I51" s="211" t="s">
        <v>602</v>
      </c>
      <c r="J51" s="211" t="s">
        <v>603</v>
      </c>
      <c r="K51" s="211" t="s">
        <v>604</v>
      </c>
      <c r="L51" s="211" t="s">
        <v>605</v>
      </c>
      <c r="M51" s="197" t="s">
        <v>209</v>
      </c>
      <c r="N51" s="197" t="s">
        <v>208</v>
      </c>
      <c r="O51" s="204">
        <v>97.344359999999995</v>
      </c>
      <c r="P51" s="204">
        <v>24.250689999999999</v>
      </c>
      <c r="Q51" s="205">
        <v>0</v>
      </c>
      <c r="R51" s="274">
        <v>427</v>
      </c>
      <c r="S51" s="274">
        <v>2054</v>
      </c>
      <c r="T51" s="207">
        <f>IF(CampList[[#This Row],[HH]]&gt;0,CampList[[#This Row],[Total]]/CampList[[#This Row],[HH]],"NA")</f>
        <v>4.8103044496487115</v>
      </c>
      <c r="U51" s="199" t="s">
        <v>464</v>
      </c>
      <c r="V51" s="199" t="s">
        <v>994</v>
      </c>
      <c r="W51" s="199" t="s">
        <v>507</v>
      </c>
      <c r="X51" s="199" t="s">
        <v>742</v>
      </c>
      <c r="Y51" s="312">
        <v>40695</v>
      </c>
      <c r="Z51" s="673" t="s">
        <v>424</v>
      </c>
      <c r="AA51" s="223" t="s">
        <v>774</v>
      </c>
      <c r="AB51" s="210">
        <v>43405</v>
      </c>
      <c r="AC51" s="203" t="s">
        <v>1873</v>
      </c>
      <c r="AD51" s="199" t="str">
        <f ca="1">IFERROR(OFFSET(DistanceToCamp[Nearest Town],MATCH(CampList[[#This Row],[CP_Pcode]],DistanceToCamp[CP_Pcode],0)-1,0,1,1),"")</f>
        <v>Momauk Town</v>
      </c>
      <c r="AE51" s="212">
        <f ca="1">IFERROR(OFFSET(DistanceToCamp[distance],MATCH(CampList[[#This Row],[CP_Pcode]],DistanceToCamp[CP_Pcode],0)-1,0,1,1),"")</f>
        <v>0.62513510418653162</v>
      </c>
      <c r="AF51" s="213">
        <f ca="1">IFERROR(INT(CampList[[#This Row],[Distance]]/5)+1,"")</f>
        <v>1</v>
      </c>
    </row>
    <row r="52" spans="2:32" ht="15.75" customHeight="1" x14ac:dyDescent="0.25">
      <c r="B52" s="203" t="s">
        <v>1740</v>
      </c>
      <c r="C52" s="197" t="s">
        <v>378</v>
      </c>
      <c r="D52" s="197" t="s">
        <v>478</v>
      </c>
      <c r="E52" s="197" t="s">
        <v>5</v>
      </c>
      <c r="F52" s="197" t="s">
        <v>482</v>
      </c>
      <c r="G52" s="197" t="s">
        <v>185</v>
      </c>
      <c r="H52" s="197" t="s">
        <v>486</v>
      </c>
      <c r="I52" s="211" t="s">
        <v>738</v>
      </c>
      <c r="J52" s="211" t="s">
        <v>739</v>
      </c>
      <c r="K52" s="211" t="s">
        <v>738</v>
      </c>
      <c r="L52" s="211">
        <v>167048</v>
      </c>
      <c r="M52" s="197" t="s">
        <v>213</v>
      </c>
      <c r="N52" s="197" t="s">
        <v>212</v>
      </c>
      <c r="O52" s="204">
        <v>97.407787999999996</v>
      </c>
      <c r="P52" s="204">
        <v>24.404876999999999</v>
      </c>
      <c r="Q52" s="217"/>
      <c r="R52" s="310">
        <v>47</v>
      </c>
      <c r="S52" s="311">
        <v>153</v>
      </c>
      <c r="T52" s="207">
        <f>IF(CampList[[#This Row],[HH]]&gt;0,CampList[[#This Row],[Total]]/CampList[[#This Row],[HH]],"NA")</f>
        <v>3.2553191489361701</v>
      </c>
      <c r="U52" s="199" t="s">
        <v>464</v>
      </c>
      <c r="V52" s="199" t="s">
        <v>994</v>
      </c>
      <c r="W52" s="227" t="s">
        <v>12</v>
      </c>
      <c r="X52" s="199" t="s">
        <v>784</v>
      </c>
      <c r="Y52" s="313"/>
      <c r="Z52" s="209" t="s">
        <v>1314</v>
      </c>
      <c r="AA52" s="223" t="s">
        <v>773</v>
      </c>
      <c r="AB52" s="230">
        <v>43090</v>
      </c>
      <c r="AC52" s="203" t="s">
        <v>1548</v>
      </c>
      <c r="AD52" s="199" t="str">
        <f ca="1">IFERROR(OFFSET(DistanceToCamp[Nearest Town],MATCH(CampList[[#This Row],[CP_Pcode]],DistanceToCamp[CP_Pcode],0)-1,0,1,1),"")</f>
        <v>Momauk Town</v>
      </c>
      <c r="AE52" s="212">
        <f ca="1">IFERROR(OFFSET(DistanceToCamp[distance],MATCH(CampList[[#This Row],[CP_Pcode]],DistanceToCamp[CP_Pcode],0)-1,0,1,1),"")</f>
        <v>17.689123339899055</v>
      </c>
      <c r="AF52" s="213">
        <f ca="1">IFERROR(INT(CampList[[#This Row],[Distance]]/5)+1,"")</f>
        <v>4</v>
      </c>
    </row>
    <row r="53" spans="2:32" ht="15.75" customHeight="1" x14ac:dyDescent="0.25">
      <c r="B53" s="203" t="s">
        <v>1740</v>
      </c>
      <c r="C53" s="198" t="s">
        <v>378</v>
      </c>
      <c r="D53" s="198" t="s">
        <v>478</v>
      </c>
      <c r="E53" s="198" t="s">
        <v>5</v>
      </c>
      <c r="F53" s="198" t="s">
        <v>482</v>
      </c>
      <c r="G53" s="198" t="s">
        <v>185</v>
      </c>
      <c r="H53" s="198" t="s">
        <v>486</v>
      </c>
      <c r="I53" s="198" t="s">
        <v>598</v>
      </c>
      <c r="J53" s="216" t="s">
        <v>599</v>
      </c>
      <c r="K53" s="198" t="s">
        <v>598</v>
      </c>
      <c r="L53" s="198">
        <v>167009</v>
      </c>
      <c r="M53" s="198" t="s">
        <v>202</v>
      </c>
      <c r="N53" s="198" t="s">
        <v>201</v>
      </c>
      <c r="O53" s="206">
        <v>97.325019999999995</v>
      </c>
      <c r="P53" s="206">
        <v>24.245100000000001</v>
      </c>
      <c r="Q53" s="217"/>
      <c r="R53" s="206">
        <v>304</v>
      </c>
      <c r="S53" s="206">
        <v>1389</v>
      </c>
      <c r="T53" s="207">
        <f>IF(CampList[[#This Row],[HH]]&gt;0,CampList[[#This Row],[Total]]/CampList[[#This Row],[HH]],"NA")</f>
        <v>4.5690789473684212</v>
      </c>
      <c r="U53" s="183" t="s">
        <v>464</v>
      </c>
      <c r="V53" s="199" t="s">
        <v>994</v>
      </c>
      <c r="W53" s="183" t="s">
        <v>507</v>
      </c>
      <c r="X53" s="183" t="s">
        <v>742</v>
      </c>
      <c r="Y53" s="313">
        <v>41030</v>
      </c>
      <c r="Z53" s="217" t="s">
        <v>934</v>
      </c>
      <c r="AA53" s="198" t="s">
        <v>774</v>
      </c>
      <c r="AB53" s="210">
        <v>43405</v>
      </c>
      <c r="AC53" s="219" t="s">
        <v>1850</v>
      </c>
      <c r="AD53" s="220" t="str">
        <f ca="1">IFERROR(OFFSET(DistanceToCamp[Nearest Town],MATCH(CampList[[#This Row],[CP_Pcode]],DistanceToCamp[CP_Pcode],0)-1,0,1,1),"")</f>
        <v>Momauk Town</v>
      </c>
      <c r="AE53" s="212">
        <f ca="1">IFERROR(OFFSET(DistanceToCamp[distance],MATCH(CampList[[#This Row],[CP_Pcode]],DistanceToCamp[CP_Pcode],0)-1,0,1,1),"")</f>
        <v>2.4411071835305544</v>
      </c>
      <c r="AF53" s="221">
        <f ca="1">IFERROR(INT(CampList[[#This Row],[Distance]]/5)+1,"")</f>
        <v>1</v>
      </c>
    </row>
    <row r="54" spans="2:32" ht="15.75" customHeight="1" x14ac:dyDescent="0.25">
      <c r="B54" s="203" t="s">
        <v>1740</v>
      </c>
      <c r="C54" s="197" t="s">
        <v>378</v>
      </c>
      <c r="D54" s="197" t="s">
        <v>478</v>
      </c>
      <c r="E54" s="197" t="s">
        <v>5</v>
      </c>
      <c r="F54" s="197" t="s">
        <v>482</v>
      </c>
      <c r="G54" s="197" t="s">
        <v>151</v>
      </c>
      <c r="H54" s="197" t="s">
        <v>492</v>
      </c>
      <c r="I54" s="211" t="s">
        <v>590</v>
      </c>
      <c r="J54" s="211" t="s">
        <v>591</v>
      </c>
      <c r="K54" s="211" t="s">
        <v>592</v>
      </c>
      <c r="L54" s="211" t="s">
        <v>593</v>
      </c>
      <c r="M54" s="197" t="s">
        <v>152</v>
      </c>
      <c r="N54" s="197" t="s">
        <v>150</v>
      </c>
      <c r="O54" s="204">
        <v>97.291820000000001</v>
      </c>
      <c r="P54" s="204">
        <v>24.129059999999999</v>
      </c>
      <c r="Q54" s="205">
        <v>0</v>
      </c>
      <c r="R54" s="274">
        <v>189</v>
      </c>
      <c r="S54" s="274">
        <v>834</v>
      </c>
      <c r="T54" s="207">
        <f>IF(CampList[[#This Row],[HH]]&gt;0,CampList[[#This Row],[Total]]/CampList[[#This Row],[HH]],"NA")</f>
        <v>4.412698412698413</v>
      </c>
      <c r="U54" s="199" t="s">
        <v>464</v>
      </c>
      <c r="V54" s="199" t="s">
        <v>994</v>
      </c>
      <c r="W54" s="199" t="s">
        <v>507</v>
      </c>
      <c r="X54" s="199" t="s">
        <v>742</v>
      </c>
      <c r="Y54" s="312">
        <v>41579</v>
      </c>
      <c r="Z54" s="208" t="s">
        <v>424</v>
      </c>
      <c r="AA54" s="223" t="s">
        <v>774</v>
      </c>
      <c r="AB54" s="210">
        <v>43405</v>
      </c>
      <c r="AC54" s="203" t="s">
        <v>1874</v>
      </c>
      <c r="AD54" s="199" t="str">
        <f ca="1">IFERROR(OFFSET(DistanceToCamp[Nearest Town],MATCH(CampList[[#This Row],[CP_Pcode]],DistanceToCamp[CP_Pcode],0)-1,0,1,1),"")</f>
        <v>Mansi Town</v>
      </c>
      <c r="AE54" s="212">
        <f ca="1">IFERROR(OFFSET(DistanceToCamp[distance],MATCH(CampList[[#This Row],[CP_Pcode]],DistanceToCamp[CP_Pcode],0)-1,0,1,1),"")</f>
        <v>1.0576516850656514</v>
      </c>
      <c r="AF54" s="213">
        <f ca="1">IFERROR(INT(CampList[[#This Row],[Distance]]/5)+1,"")</f>
        <v>1</v>
      </c>
    </row>
    <row r="55" spans="2:32" ht="15.75" customHeight="1" x14ac:dyDescent="0.25">
      <c r="B55" s="203" t="s">
        <v>1740</v>
      </c>
      <c r="C55" s="197" t="s">
        <v>378</v>
      </c>
      <c r="D55" s="197" t="s">
        <v>478</v>
      </c>
      <c r="E55" s="197" t="s">
        <v>5</v>
      </c>
      <c r="F55" s="197" t="s">
        <v>482</v>
      </c>
      <c r="G55" s="197" t="s">
        <v>301</v>
      </c>
      <c r="H55" s="197" t="s">
        <v>493</v>
      </c>
      <c r="I55" s="197" t="s">
        <v>561</v>
      </c>
      <c r="J55" s="197" t="s">
        <v>562</v>
      </c>
      <c r="K55" s="197" t="s">
        <v>561</v>
      </c>
      <c r="L55" s="197" t="s">
        <v>563</v>
      </c>
      <c r="M55" s="197" t="s">
        <v>305</v>
      </c>
      <c r="N55" s="197" t="s">
        <v>304</v>
      </c>
      <c r="O55" s="204">
        <v>96.807353000000006</v>
      </c>
      <c r="P55" s="204">
        <v>24.200361000000001</v>
      </c>
      <c r="Q55" s="205">
        <v>0</v>
      </c>
      <c r="R55" s="274">
        <v>47</v>
      </c>
      <c r="S55" s="274">
        <v>345</v>
      </c>
      <c r="T55" s="207">
        <f>IF(CampList[[#This Row],[HH]]&gt;0,CampList[[#This Row],[Total]]/CampList[[#This Row],[HH]],"NA")</f>
        <v>7.3404255319148932</v>
      </c>
      <c r="U55" s="199" t="s">
        <v>464</v>
      </c>
      <c r="V55" s="199" t="s">
        <v>994</v>
      </c>
      <c r="W55" s="199" t="s">
        <v>507</v>
      </c>
      <c r="X55" s="199" t="s">
        <v>742</v>
      </c>
      <c r="Y55" s="312">
        <v>40725</v>
      </c>
      <c r="Z55" s="208" t="s">
        <v>424</v>
      </c>
      <c r="AA55" s="197" t="s">
        <v>774</v>
      </c>
      <c r="AB55" s="210">
        <v>43405</v>
      </c>
      <c r="AC55" s="211" t="s">
        <v>1875</v>
      </c>
      <c r="AD55" s="199" t="str">
        <f ca="1">IFERROR(OFFSET(DistanceToCamp[Nearest Town],MATCH(CampList[[#This Row],[CP_Pcode]],DistanceToCamp[CP_Pcode],0)-1,0,1,1),"")</f>
        <v>Shwegu Town</v>
      </c>
      <c r="AE55" s="212">
        <f ca="1">IFERROR(OFFSET(DistanceToCamp[distance],MATCH(CampList[[#This Row],[CP_Pcode]],DistanceToCamp[CP_Pcode],0)-1,0,1,1),"")</f>
        <v>0.74396039478864395</v>
      </c>
      <c r="AF55" s="213">
        <f ca="1">IFERROR(INT(CampList[[#This Row],[Distance]]/5)+1,"")</f>
        <v>1</v>
      </c>
    </row>
    <row r="56" spans="2:32" ht="15.75" customHeight="1" x14ac:dyDescent="0.25">
      <c r="B56" s="203" t="s">
        <v>1740</v>
      </c>
      <c r="C56" s="198" t="s">
        <v>378</v>
      </c>
      <c r="D56" s="198" t="s">
        <v>478</v>
      </c>
      <c r="E56" s="198" t="s">
        <v>5</v>
      </c>
      <c r="F56" s="198" t="s">
        <v>482</v>
      </c>
      <c r="G56" s="198" t="s">
        <v>301</v>
      </c>
      <c r="H56" s="198" t="s">
        <v>493</v>
      </c>
      <c r="I56" s="198" t="s">
        <v>561</v>
      </c>
      <c r="J56" s="216" t="s">
        <v>562</v>
      </c>
      <c r="K56" s="198" t="s">
        <v>561</v>
      </c>
      <c r="L56" s="198" t="s">
        <v>563</v>
      </c>
      <c r="M56" s="198" t="s">
        <v>307</v>
      </c>
      <c r="N56" s="198" t="s">
        <v>306</v>
      </c>
      <c r="O56" s="206">
        <v>96.807353000000006</v>
      </c>
      <c r="P56" s="206">
        <v>24.200367</v>
      </c>
      <c r="Q56" s="217"/>
      <c r="R56" s="206">
        <v>47</v>
      </c>
      <c r="S56" s="206">
        <v>197</v>
      </c>
      <c r="T56" s="207">
        <f>IF(CampList[[#This Row],[HH]]&gt;0,CampList[[#This Row],[Total]]/CampList[[#This Row],[HH]],"NA")</f>
        <v>4.1914893617021276</v>
      </c>
      <c r="U56" s="183" t="s">
        <v>464</v>
      </c>
      <c r="V56" s="199" t="s">
        <v>994</v>
      </c>
      <c r="W56" s="183" t="s">
        <v>507</v>
      </c>
      <c r="X56" s="183" t="s">
        <v>742</v>
      </c>
      <c r="Y56" s="313">
        <v>40725</v>
      </c>
      <c r="Z56" s="217" t="s">
        <v>934</v>
      </c>
      <c r="AA56" s="198" t="s">
        <v>774</v>
      </c>
      <c r="AB56" s="210">
        <v>43405</v>
      </c>
      <c r="AC56" s="219" t="s">
        <v>1851</v>
      </c>
      <c r="AD56" s="220" t="str">
        <f ca="1">IFERROR(OFFSET(DistanceToCamp[Nearest Town],MATCH(CampList[[#This Row],[CP_Pcode]],DistanceToCamp[CP_Pcode],0)-1,0,1,1),"")</f>
        <v>Shwegu Town</v>
      </c>
      <c r="AE56" s="212">
        <f ca="1">IFERROR(OFFSET(DistanceToCamp[distance],MATCH(CampList[[#This Row],[CP_Pcode]],DistanceToCamp[CP_Pcode],0)-1,0,1,1),"")</f>
        <v>0.74330366237812662</v>
      </c>
      <c r="AF56" s="221">
        <f ca="1">IFERROR(INT(CampList[[#This Row],[Distance]]/5)+1,"")</f>
        <v>1</v>
      </c>
    </row>
    <row r="57" spans="2:32" ht="15.75" hidden="1" customHeight="1" x14ac:dyDescent="0.25">
      <c r="B57" s="203" t="s">
        <v>775</v>
      </c>
      <c r="C57" s="197" t="s">
        <v>378</v>
      </c>
      <c r="D57" s="197" t="s">
        <v>478</v>
      </c>
      <c r="E57" s="197" t="s">
        <v>5</v>
      </c>
      <c r="F57" s="197" t="s">
        <v>482</v>
      </c>
      <c r="G57" s="197" t="s">
        <v>5</v>
      </c>
      <c r="H57" s="197" t="s">
        <v>483</v>
      </c>
      <c r="I57" s="197" t="s">
        <v>577</v>
      </c>
      <c r="J57" s="197" t="s">
        <v>578</v>
      </c>
      <c r="K57" s="197" t="s">
        <v>579</v>
      </c>
      <c r="L57" s="197" t="s">
        <v>580</v>
      </c>
      <c r="M57" s="197" t="s">
        <v>24</v>
      </c>
      <c r="N57" s="197" t="s">
        <v>23</v>
      </c>
      <c r="O57" s="204">
        <v>97.227789999999999</v>
      </c>
      <c r="P57" s="204">
        <v>24.29138</v>
      </c>
      <c r="Q57" s="205">
        <v>0</v>
      </c>
      <c r="R57" s="274">
        <v>20</v>
      </c>
      <c r="S57" s="274">
        <v>95</v>
      </c>
      <c r="T57" s="207">
        <f>IF(CampList[[#This Row],[HH]]&gt;0,CampList[[#This Row],[Total]]/CampList[[#This Row],[HH]],"NA")</f>
        <v>4.75</v>
      </c>
      <c r="U57" s="199" t="s">
        <v>464</v>
      </c>
      <c r="V57" s="199" t="s">
        <v>994</v>
      </c>
      <c r="W57" s="199" t="s">
        <v>507</v>
      </c>
      <c r="X57" s="199" t="s">
        <v>742</v>
      </c>
      <c r="Y57" s="312">
        <v>41030</v>
      </c>
      <c r="Z57" s="673" t="s">
        <v>462</v>
      </c>
      <c r="AA57" s="197" t="s">
        <v>774</v>
      </c>
      <c r="AB57" s="210">
        <v>43251</v>
      </c>
      <c r="AC57" s="211" t="s">
        <v>1712</v>
      </c>
      <c r="AD57" s="199" t="str">
        <f ca="1">IFERROR(OFFSET(DistanceToCamp[Nearest Town],MATCH(CampList[[#This Row],[CP_Pcode]],DistanceToCamp[CP_Pcode],0)-1,0,1,1),"")</f>
        <v>Bhamo Town</v>
      </c>
      <c r="AE57" s="212">
        <f ca="1">IFERROR(OFFSET(DistanceToCamp[distance],MATCH(CampList[[#This Row],[CP_Pcode]],DistanceToCamp[CP_Pcode],0)-1,0,1,1),"")</f>
        <v>4.108228790802368</v>
      </c>
      <c r="AF57" s="213">
        <f ca="1">IFERROR(INT(CampList[[#This Row],[Distance]]/5)+1,"")</f>
        <v>1</v>
      </c>
    </row>
    <row r="58" spans="2:32" ht="15.75" customHeight="1" x14ac:dyDescent="0.25">
      <c r="B58" s="203" t="s">
        <v>1740</v>
      </c>
      <c r="C58" s="198" t="s">
        <v>378</v>
      </c>
      <c r="D58" s="198" t="s">
        <v>478</v>
      </c>
      <c r="E58" s="198" t="s">
        <v>5</v>
      </c>
      <c r="F58" s="198" t="s">
        <v>482</v>
      </c>
      <c r="G58" s="198" t="s">
        <v>185</v>
      </c>
      <c r="H58" s="198" t="s">
        <v>486</v>
      </c>
      <c r="I58" s="198" t="s">
        <v>693</v>
      </c>
      <c r="J58" s="216" t="s">
        <v>694</v>
      </c>
      <c r="K58" s="228" t="s">
        <v>1100</v>
      </c>
      <c r="L58" s="228" t="s">
        <v>1101</v>
      </c>
      <c r="M58" s="198" t="s">
        <v>223</v>
      </c>
      <c r="N58" s="198" t="s">
        <v>222</v>
      </c>
      <c r="O58" s="206">
        <v>97.724566999999993</v>
      </c>
      <c r="P58" s="206">
        <v>24.205417000000001</v>
      </c>
      <c r="Q58" s="217"/>
      <c r="R58" s="206">
        <v>129</v>
      </c>
      <c r="S58" s="740">
        <v>643</v>
      </c>
      <c r="T58" s="207">
        <f>IF(CampList[[#This Row],[HH]]&gt;0,CampList[[#This Row],[Total]]/CampList[[#This Row],[HH]],"NA")</f>
        <v>4.9844961240310077</v>
      </c>
      <c r="U58" s="183" t="s">
        <v>464</v>
      </c>
      <c r="V58" s="199" t="s">
        <v>994</v>
      </c>
      <c r="W58" s="183" t="s">
        <v>507</v>
      </c>
      <c r="X58" s="183" t="s">
        <v>742</v>
      </c>
      <c r="Y58" s="313">
        <v>40848</v>
      </c>
      <c r="Z58" s="217" t="s">
        <v>934</v>
      </c>
      <c r="AA58" s="198" t="s">
        <v>774</v>
      </c>
      <c r="AB58" s="210">
        <v>43405</v>
      </c>
      <c r="AC58" s="219" t="s">
        <v>1852</v>
      </c>
      <c r="AD58" s="220" t="str">
        <f ca="1">IFERROR(OFFSET(DistanceToCamp[Nearest Town],MATCH(CampList[[#This Row],[CP_Pcode]],DistanceToCamp[CP_Pcode],0)-1,0,1,1),"")</f>
        <v>Lwegel Town</v>
      </c>
      <c r="AE58" s="212">
        <f ca="1">IFERROR(OFFSET(DistanceToCamp[distance],MATCH(CampList[[#This Row],[CP_Pcode]],DistanceToCamp[CP_Pcode],0)-1,0,1,1),"")</f>
        <v>0.77978735578277303</v>
      </c>
      <c r="AF58" s="221">
        <f ca="1">IFERROR(INT(CampList[[#This Row],[Distance]]/5)+1,"")</f>
        <v>1</v>
      </c>
    </row>
    <row r="59" spans="2:32" ht="15.75" hidden="1" customHeight="1" x14ac:dyDescent="0.25">
      <c r="B59" s="203" t="s">
        <v>775</v>
      </c>
      <c r="C59" s="197" t="s">
        <v>378</v>
      </c>
      <c r="D59" s="197" t="s">
        <v>478</v>
      </c>
      <c r="E59" s="197" t="s">
        <v>5</v>
      </c>
      <c r="F59" s="197" t="s">
        <v>482</v>
      </c>
      <c r="G59" s="197" t="s">
        <v>185</v>
      </c>
      <c r="H59" s="197" t="s">
        <v>486</v>
      </c>
      <c r="I59" s="211" t="s">
        <v>602</v>
      </c>
      <c r="J59" s="211" t="s">
        <v>603</v>
      </c>
      <c r="K59" s="211" t="s">
        <v>607</v>
      </c>
      <c r="L59" s="211" t="s">
        <v>608</v>
      </c>
      <c r="M59" s="197" t="s">
        <v>211</v>
      </c>
      <c r="N59" s="197" t="s">
        <v>210</v>
      </c>
      <c r="O59" s="204">
        <v>97.346950000000007</v>
      </c>
      <c r="P59" s="204">
        <v>24.25177</v>
      </c>
      <c r="Q59" s="205">
        <v>0</v>
      </c>
      <c r="R59" s="284"/>
      <c r="S59" s="285"/>
      <c r="T59" s="207" t="str">
        <f>IF(CampList[[#This Row],[HH]]&gt;0,CampList[[#This Row],[Total]]/CampList[[#This Row],[HH]],"NA")</f>
        <v>NA</v>
      </c>
      <c r="U59" s="199" t="s">
        <v>464</v>
      </c>
      <c r="V59" s="199" t="s">
        <v>994</v>
      </c>
      <c r="W59" s="199" t="s">
        <v>507</v>
      </c>
      <c r="X59" s="199" t="s">
        <v>742</v>
      </c>
      <c r="Y59" s="673">
        <v>40756</v>
      </c>
      <c r="Z59" s="208" t="s">
        <v>934</v>
      </c>
      <c r="AA59" s="223" t="s">
        <v>774</v>
      </c>
      <c r="AB59" s="210">
        <v>41971</v>
      </c>
      <c r="AC59" s="203" t="s">
        <v>954</v>
      </c>
      <c r="AD59" s="199" t="str">
        <f ca="1">IFERROR(OFFSET(DistanceToCamp[Nearest Town],MATCH(CampList[[#This Row],[CP_Pcode]],DistanceToCamp[CP_Pcode],0)-1,0,1,1),"")</f>
        <v/>
      </c>
      <c r="AE59" s="212" t="str">
        <f ca="1">IFERROR(OFFSET(DistanceToCamp[distance],MATCH(CampList[[#This Row],[CP_Pcode]],DistanceToCamp[CP_Pcode],0)-1,0,1,1),"")</f>
        <v/>
      </c>
      <c r="AF59" s="213" t="str">
        <f ca="1">IFERROR(INT(CampList[[#This Row],[Distance]]/5)+1,"")</f>
        <v/>
      </c>
    </row>
    <row r="60" spans="2:32" ht="15.75" hidden="1" customHeight="1" x14ac:dyDescent="0.25">
      <c r="B60" s="203" t="s">
        <v>775</v>
      </c>
      <c r="C60" s="197" t="s">
        <v>378</v>
      </c>
      <c r="D60" s="197" t="s">
        <v>478</v>
      </c>
      <c r="E60" s="197" t="s">
        <v>5</v>
      </c>
      <c r="F60" s="197" t="s">
        <v>482</v>
      </c>
      <c r="G60" s="197" t="s">
        <v>185</v>
      </c>
      <c r="H60" s="197" t="s">
        <v>486</v>
      </c>
      <c r="I60" s="211" t="s">
        <v>602</v>
      </c>
      <c r="J60" s="211" t="s">
        <v>603</v>
      </c>
      <c r="K60" s="211" t="s">
        <v>604</v>
      </c>
      <c r="L60" s="211" t="s">
        <v>605</v>
      </c>
      <c r="M60" s="197" t="s">
        <v>207</v>
      </c>
      <c r="N60" s="197" t="s">
        <v>206</v>
      </c>
      <c r="O60" s="204">
        <v>97.346940000000004</v>
      </c>
      <c r="P60" s="204">
        <v>24.251860000000001</v>
      </c>
      <c r="Q60" s="205">
        <v>0</v>
      </c>
      <c r="R60" s="284"/>
      <c r="S60" s="285"/>
      <c r="T60" s="207" t="str">
        <f>IF(CampList[[#This Row],[HH]]&gt;0,CampList[[#This Row],[Total]]/CampList[[#This Row],[HH]],"NA")</f>
        <v>NA</v>
      </c>
      <c r="U60" s="199" t="s">
        <v>464</v>
      </c>
      <c r="V60" s="199" t="s">
        <v>994</v>
      </c>
      <c r="W60" s="199" t="s">
        <v>507</v>
      </c>
      <c r="X60" s="199" t="s">
        <v>742</v>
      </c>
      <c r="Y60" s="673">
        <v>40817</v>
      </c>
      <c r="Z60" s="673"/>
      <c r="AA60" s="223" t="s">
        <v>774</v>
      </c>
      <c r="AB60" s="210">
        <v>42317</v>
      </c>
      <c r="AC60" s="203" t="s">
        <v>1077</v>
      </c>
      <c r="AD60" s="199"/>
      <c r="AE60" s="212"/>
      <c r="AF60" s="213"/>
    </row>
    <row r="61" spans="2:32" ht="15.75" hidden="1" customHeight="1" x14ac:dyDescent="0.25">
      <c r="B61" s="203" t="s">
        <v>775</v>
      </c>
      <c r="C61" s="197" t="s">
        <v>378</v>
      </c>
      <c r="D61" s="197" t="s">
        <v>478</v>
      </c>
      <c r="E61" s="197" t="s">
        <v>5</v>
      </c>
      <c r="F61" s="197" t="s">
        <v>482</v>
      </c>
      <c r="G61" s="197" t="s">
        <v>185</v>
      </c>
      <c r="H61" s="197" t="s">
        <v>486</v>
      </c>
      <c r="I61" s="197" t="s">
        <v>602</v>
      </c>
      <c r="J61" s="197" t="s">
        <v>603</v>
      </c>
      <c r="K61" s="197" t="s">
        <v>604</v>
      </c>
      <c r="L61" s="197" t="s">
        <v>605</v>
      </c>
      <c r="M61" s="197" t="s">
        <v>217</v>
      </c>
      <c r="N61" s="197" t="s">
        <v>216</v>
      </c>
      <c r="O61" s="204">
        <v>97.347740000000002</v>
      </c>
      <c r="P61" s="204">
        <v>24.253769999999999</v>
      </c>
      <c r="Q61" s="205">
        <v>0</v>
      </c>
      <c r="R61" s="220"/>
      <c r="S61" s="225"/>
      <c r="T61" s="207" t="str">
        <f>IF(CampList[[#This Row],[HH]]&gt;0,CampList[[#This Row],[Total]]/CampList[[#This Row],[HH]],"NA")</f>
        <v>NA</v>
      </c>
      <c r="U61" s="199" t="s">
        <v>464</v>
      </c>
      <c r="V61" s="199" t="s">
        <v>994</v>
      </c>
      <c r="W61" s="199" t="s">
        <v>507</v>
      </c>
      <c r="X61" s="199" t="s">
        <v>742</v>
      </c>
      <c r="Y61" s="208">
        <v>40817</v>
      </c>
      <c r="Z61" s="208" t="s">
        <v>462</v>
      </c>
      <c r="AA61" s="197" t="s">
        <v>774</v>
      </c>
      <c r="AB61" s="210">
        <v>42537</v>
      </c>
      <c r="AC61" s="211" t="s">
        <v>1115</v>
      </c>
      <c r="AD61" s="199" t="str">
        <f ca="1">IFERROR(OFFSET(DistanceToCamp[Nearest Town],MATCH(CampList[[#This Row],[CP_Pcode]],DistanceToCamp[CP_Pcode],0)-1,0,1,1),"")</f>
        <v>Momauk Town</v>
      </c>
      <c r="AE61" s="212">
        <f ca="1">IFERROR(OFFSET(DistanceToCamp[distance],MATCH(CampList[[#This Row],[CP_Pcode]],DistanceToCamp[CP_Pcode],0)-1,0,1,1),"")</f>
        <v>0.32830807173487342</v>
      </c>
      <c r="AF61" s="213">
        <f ca="1">IFERROR(INT(CampList[[#This Row],[Distance]]/5)+1,"")</f>
        <v>1</v>
      </c>
    </row>
    <row r="62" spans="2:32" ht="15.75" hidden="1" customHeight="1" x14ac:dyDescent="0.25">
      <c r="B62" s="203" t="s">
        <v>775</v>
      </c>
      <c r="C62" s="197" t="s">
        <v>378</v>
      </c>
      <c r="D62" s="197" t="s">
        <v>478</v>
      </c>
      <c r="E62" s="197" t="s">
        <v>5</v>
      </c>
      <c r="F62" s="197" t="s">
        <v>482</v>
      </c>
      <c r="G62" s="197" t="s">
        <v>185</v>
      </c>
      <c r="H62" s="197" t="s">
        <v>486</v>
      </c>
      <c r="I62" s="197" t="s">
        <v>736</v>
      </c>
      <c r="J62" s="197" t="s">
        <v>737</v>
      </c>
      <c r="K62" s="197" t="s">
        <v>736</v>
      </c>
      <c r="L62" s="197">
        <v>167086</v>
      </c>
      <c r="M62" s="197" t="s">
        <v>227</v>
      </c>
      <c r="N62" s="197" t="s">
        <v>226</v>
      </c>
      <c r="O62" s="204">
        <v>97.416826999999998</v>
      </c>
      <c r="P62" s="204">
        <v>24.492493</v>
      </c>
      <c r="Q62" s="205"/>
      <c r="R62" s="205"/>
      <c r="S62" s="217"/>
      <c r="T62" s="207" t="str">
        <f>IF(CampList[[#This Row],[HH]]&gt;0,CampList[[#This Row],[Total]]/CampList[[#This Row],[HH]],"NA")</f>
        <v>NA</v>
      </c>
      <c r="U62" s="199" t="s">
        <v>464</v>
      </c>
      <c r="V62" s="199" t="s">
        <v>994</v>
      </c>
      <c r="W62" s="199" t="s">
        <v>12</v>
      </c>
      <c r="X62" s="199" t="s">
        <v>784</v>
      </c>
      <c r="Y62" s="312"/>
      <c r="Z62" s="673"/>
      <c r="AA62" s="223" t="s">
        <v>773</v>
      </c>
      <c r="AB62" s="210">
        <v>42927</v>
      </c>
      <c r="AC62" s="211" t="s">
        <v>1278</v>
      </c>
      <c r="AD62" s="199" t="str">
        <f ca="1">IFERROR(OFFSET(DistanceToCamp[Nearest Town],MATCH(CampList[[#This Row],[CP_Pcode]],DistanceToCamp[CP_Pcode],0)-1,0,1,1),"")</f>
        <v>Dawthponeyan  Town</v>
      </c>
      <c r="AE62" s="212">
        <f ca="1">IFERROR(OFFSET(DistanceToCamp[distance],MATCH(CampList[[#This Row],[CP_Pcode]],DistanceToCamp[CP_Pcode],0)-1,0,1,1),"")</f>
        <v>14.236592976936194</v>
      </c>
      <c r="AF62" s="213">
        <f ca="1">IFERROR(INT(CampList[[#This Row],[Distance]]/5)+1,"")</f>
        <v>3</v>
      </c>
    </row>
    <row r="63" spans="2:32" ht="15.75" customHeight="1" x14ac:dyDescent="0.25">
      <c r="B63" s="203" t="s">
        <v>1740</v>
      </c>
      <c r="C63" s="197" t="s">
        <v>378</v>
      </c>
      <c r="D63" s="197" t="s">
        <v>478</v>
      </c>
      <c r="E63" s="197" t="s">
        <v>5</v>
      </c>
      <c r="F63" s="197" t="s">
        <v>482</v>
      </c>
      <c r="G63" s="197" t="s">
        <v>185</v>
      </c>
      <c r="H63" s="197" t="s">
        <v>486</v>
      </c>
      <c r="I63" s="211" t="s">
        <v>693</v>
      </c>
      <c r="J63" s="211" t="s">
        <v>694</v>
      </c>
      <c r="K63" s="211" t="s">
        <v>698</v>
      </c>
      <c r="L63" s="211" t="s">
        <v>699</v>
      </c>
      <c r="M63" s="197" t="s">
        <v>190</v>
      </c>
      <c r="N63" s="197" t="s">
        <v>189</v>
      </c>
      <c r="O63" s="204">
        <v>97.717133000000004</v>
      </c>
      <c r="P63" s="204">
        <v>24.200433</v>
      </c>
      <c r="Q63" s="205">
        <v>0</v>
      </c>
      <c r="R63" s="274">
        <v>204</v>
      </c>
      <c r="S63" s="274">
        <v>1146</v>
      </c>
      <c r="T63" s="207">
        <f>IF(CampList[[#This Row],[HH]]&gt;0,CampList[[#This Row],[Total]]/CampList[[#This Row],[HH]],"NA")</f>
        <v>5.617647058823529</v>
      </c>
      <c r="U63" s="199" t="s">
        <v>464</v>
      </c>
      <c r="V63" s="199" t="s">
        <v>994</v>
      </c>
      <c r="W63" s="199" t="s">
        <v>507</v>
      </c>
      <c r="X63" s="199" t="s">
        <v>742</v>
      </c>
      <c r="Y63" s="312">
        <v>41000</v>
      </c>
      <c r="Z63" s="673" t="s">
        <v>424</v>
      </c>
      <c r="AA63" s="223" t="s">
        <v>774</v>
      </c>
      <c r="AB63" s="210">
        <v>43405</v>
      </c>
      <c r="AC63" s="203" t="s">
        <v>1876</v>
      </c>
      <c r="AD63" s="199" t="str">
        <f ca="1">IFERROR(OFFSET(DistanceToCamp[Nearest Town],MATCH(CampList[[#This Row],[CP_Pcode]],DistanceToCamp[CP_Pcode],0)-1,0,1,1),"")</f>
        <v>Lwegel Town</v>
      </c>
      <c r="AE63" s="212">
        <f ca="1">IFERROR(OFFSET(DistanceToCamp[distance],MATCH(CampList[[#This Row],[CP_Pcode]],DistanceToCamp[CP_Pcode],0)-1,0,1,1),"")</f>
        <v>0.38934692601696641</v>
      </c>
      <c r="AF63" s="213">
        <f ca="1">IFERROR(INT(CampList[[#This Row],[Distance]]/5)+1,"")</f>
        <v>1</v>
      </c>
    </row>
    <row r="64" spans="2:32" ht="15.75" customHeight="1" x14ac:dyDescent="0.25">
      <c r="B64" s="203" t="s">
        <v>1740</v>
      </c>
      <c r="C64" s="197" t="s">
        <v>378</v>
      </c>
      <c r="D64" s="197" t="s">
        <v>478</v>
      </c>
      <c r="E64" s="197" t="s">
        <v>5</v>
      </c>
      <c r="F64" s="197" t="s">
        <v>482</v>
      </c>
      <c r="G64" s="197" t="s">
        <v>185</v>
      </c>
      <c r="H64" s="197" t="s">
        <v>486</v>
      </c>
      <c r="I64" s="211" t="s">
        <v>693</v>
      </c>
      <c r="J64" s="211" t="s">
        <v>694</v>
      </c>
      <c r="K64" s="228" t="s">
        <v>1100</v>
      </c>
      <c r="L64" s="228" t="s">
        <v>1101</v>
      </c>
      <c r="M64" s="197" t="s">
        <v>186</v>
      </c>
      <c r="N64" s="197" t="s">
        <v>184</v>
      </c>
      <c r="O64" s="204">
        <v>97.718582999999995</v>
      </c>
      <c r="P64" s="204">
        <v>24.200972</v>
      </c>
      <c r="Q64" s="217"/>
      <c r="R64" s="274">
        <v>41</v>
      </c>
      <c r="S64" s="274">
        <v>241</v>
      </c>
      <c r="T64" s="207">
        <f>IF(CampList[[#This Row],[HH]]&gt;0,CampList[[#This Row],[Total]]/CampList[[#This Row],[HH]],"NA")</f>
        <v>5.8780487804878048</v>
      </c>
      <c r="U64" s="199" t="s">
        <v>464</v>
      </c>
      <c r="V64" s="199" t="s">
        <v>994</v>
      </c>
      <c r="W64" s="199" t="s">
        <v>507</v>
      </c>
      <c r="X64" s="199" t="s">
        <v>742</v>
      </c>
      <c r="Y64" s="313">
        <v>41030</v>
      </c>
      <c r="Z64" s="673" t="s">
        <v>424</v>
      </c>
      <c r="AA64" s="223" t="s">
        <v>774</v>
      </c>
      <c r="AB64" s="210">
        <v>43405</v>
      </c>
      <c r="AC64" s="203" t="s">
        <v>1877</v>
      </c>
      <c r="AD64" s="199" t="str">
        <f ca="1">IFERROR(OFFSET(DistanceToCamp[Nearest Town],MATCH(CampList[[#This Row],[CP_Pcode]],DistanceToCamp[CP_Pcode],0)-1,0,1,1),"")</f>
        <v>Lwegel Town</v>
      </c>
      <c r="AE64" s="212">
        <f ca="1">IFERROR(OFFSET(DistanceToCamp[distance],MATCH(CampList[[#This Row],[CP_Pcode]],DistanceToCamp[CP_Pcode],0)-1,0,1,1),"")</f>
        <v>0.28829825866869707</v>
      </c>
      <c r="AF64" s="213">
        <f ca="1">IFERROR(INT(CampList[[#This Row],[Distance]]/5)+1,"")</f>
        <v>1</v>
      </c>
    </row>
    <row r="65" spans="2:32" ht="15.75" hidden="1" customHeight="1" x14ac:dyDescent="0.25">
      <c r="B65" s="203" t="s">
        <v>775</v>
      </c>
      <c r="C65" s="197" t="s">
        <v>378</v>
      </c>
      <c r="D65" s="197" t="s">
        <v>478</v>
      </c>
      <c r="E65" s="197" t="s">
        <v>5</v>
      </c>
      <c r="F65" s="197" t="s">
        <v>482</v>
      </c>
      <c r="G65" s="197" t="s">
        <v>185</v>
      </c>
      <c r="H65" s="197" t="s">
        <v>486</v>
      </c>
      <c r="I65" s="211" t="s">
        <v>596</v>
      </c>
      <c r="J65" s="211" t="s">
        <v>597</v>
      </c>
      <c r="K65" s="211" t="s">
        <v>596</v>
      </c>
      <c r="L65" s="211">
        <v>167063</v>
      </c>
      <c r="M65" s="197" t="s">
        <v>204</v>
      </c>
      <c r="N65" s="197" t="s">
        <v>203</v>
      </c>
      <c r="O65" s="204">
        <v>97.321659999999994</v>
      </c>
      <c r="P65" s="204">
        <v>24.410008999999999</v>
      </c>
      <c r="Q65" s="217"/>
      <c r="R65" s="310"/>
      <c r="S65" s="311"/>
      <c r="T65" s="207" t="str">
        <f>IF(CampList[[#This Row],[HH]]&gt;0,CampList[[#This Row],[Total]]/CampList[[#This Row],[HH]],"NA")</f>
        <v>NA</v>
      </c>
      <c r="U65" s="199" t="s">
        <v>464</v>
      </c>
      <c r="V65" s="199" t="s">
        <v>994</v>
      </c>
      <c r="W65" s="227" t="s">
        <v>12</v>
      </c>
      <c r="X65" s="199" t="s">
        <v>784</v>
      </c>
      <c r="Y65" s="313"/>
      <c r="Z65" s="209"/>
      <c r="AA65" s="223" t="s">
        <v>773</v>
      </c>
      <c r="AB65" s="210">
        <v>42927</v>
      </c>
      <c r="AC65" s="203" t="s">
        <v>1279</v>
      </c>
      <c r="AD65" s="199" t="str">
        <f ca="1">IFERROR(OFFSET(DistanceToCamp[Nearest Town],MATCH(CampList[[#This Row],[CP_Pcode]],DistanceToCamp[CP_Pcode],0)-1,0,1,1),"")</f>
        <v>Momauk Town</v>
      </c>
      <c r="AE65" s="212">
        <f ca="1">IFERROR(OFFSET(DistanceToCamp[distance],MATCH(CampList[[#This Row],[CP_Pcode]],DistanceToCamp[CP_Pcode],0)-1,0,1,1),"")</f>
        <v>17.282528446236295</v>
      </c>
      <c r="AF65" s="213">
        <f ca="1">IFERROR(INT(CampList[[#This Row],[Distance]]/5)+1,"")</f>
        <v>4</v>
      </c>
    </row>
    <row r="66" spans="2:32" ht="15.75" hidden="1" customHeight="1" x14ac:dyDescent="0.25">
      <c r="B66" s="203" t="s">
        <v>775</v>
      </c>
      <c r="C66" s="197" t="s">
        <v>378</v>
      </c>
      <c r="D66" s="197" t="s">
        <v>478</v>
      </c>
      <c r="E66" s="197" t="s">
        <v>5</v>
      </c>
      <c r="F66" s="197" t="s">
        <v>482</v>
      </c>
      <c r="G66" s="197" t="s">
        <v>185</v>
      </c>
      <c r="H66" s="197" t="s">
        <v>486</v>
      </c>
      <c r="I66" s="211" t="s">
        <v>1112</v>
      </c>
      <c r="J66" s="211" t="s">
        <v>1113</v>
      </c>
      <c r="K66" s="211" t="s">
        <v>1112</v>
      </c>
      <c r="L66" s="222">
        <v>167078</v>
      </c>
      <c r="M66" s="197" t="s">
        <v>200</v>
      </c>
      <c r="N66" s="197" t="s">
        <v>199</v>
      </c>
      <c r="O66" s="204">
        <v>97.409474000000003</v>
      </c>
      <c r="P66" s="204">
        <v>24.441697000000001</v>
      </c>
      <c r="Q66" s="217"/>
      <c r="R66" s="274"/>
      <c r="S66" s="274"/>
      <c r="T66" s="207" t="str">
        <f>IF(CampList[[#This Row],[HH]]&gt;0,CampList[[#This Row],[Total]]/CampList[[#This Row],[HH]],"NA")</f>
        <v>NA</v>
      </c>
      <c r="U66" s="199" t="s">
        <v>464</v>
      </c>
      <c r="V66" s="199" t="s">
        <v>994</v>
      </c>
      <c r="W66" s="227" t="s">
        <v>12</v>
      </c>
      <c r="X66" s="199" t="s">
        <v>784</v>
      </c>
      <c r="Y66" s="313"/>
      <c r="Z66" s="209"/>
      <c r="AA66" s="223" t="s">
        <v>773</v>
      </c>
      <c r="AB66" s="210">
        <v>42927</v>
      </c>
      <c r="AC66" s="203" t="s">
        <v>1280</v>
      </c>
      <c r="AD66" s="199" t="str">
        <f ca="1">IFERROR(OFFSET(DistanceToCamp[Nearest Town],MATCH(CampList[[#This Row],[CP_Pcode]],DistanceToCamp[CP_Pcode],0)-1,0,1,1),"")</f>
        <v>Dawthponeyan  Town</v>
      </c>
      <c r="AE66" s="212">
        <f ca="1">IFERROR(OFFSET(DistanceToCamp[distance],MATCH(CampList[[#This Row],[CP_Pcode]],DistanceToCamp[CP_Pcode],0)-1,0,1,1),"")</f>
        <v>19.860265975801305</v>
      </c>
      <c r="AF66" s="213">
        <f ca="1">IFERROR(INT(CampList[[#This Row],[Distance]]/5)+1,"")</f>
        <v>4</v>
      </c>
    </row>
    <row r="67" spans="2:32" ht="15.75" hidden="1" customHeight="1" x14ac:dyDescent="0.25">
      <c r="B67" s="203" t="s">
        <v>775</v>
      </c>
      <c r="C67" s="197" t="s">
        <v>378</v>
      </c>
      <c r="D67" s="197" t="s">
        <v>478</v>
      </c>
      <c r="E67" s="197" t="s">
        <v>5</v>
      </c>
      <c r="F67" s="197" t="s">
        <v>482</v>
      </c>
      <c r="G67" s="197" t="s">
        <v>185</v>
      </c>
      <c r="H67" s="197" t="s">
        <v>486</v>
      </c>
      <c r="I67" s="197" t="s">
        <v>645</v>
      </c>
      <c r="J67" s="197" t="s">
        <v>646</v>
      </c>
      <c r="K67" s="197" t="s">
        <v>647</v>
      </c>
      <c r="L67" s="197">
        <v>167242</v>
      </c>
      <c r="M67" s="197" t="s">
        <v>221</v>
      </c>
      <c r="N67" s="197" t="s">
        <v>220</v>
      </c>
      <c r="O67" s="204">
        <v>97.429860000000005</v>
      </c>
      <c r="P67" s="204">
        <v>24.630859999999998</v>
      </c>
      <c r="Q67" s="205"/>
      <c r="R67" s="205"/>
      <c r="S67" s="217"/>
      <c r="T67" s="207" t="str">
        <f>IF(CampList[[#This Row],[HH]]&gt;0,CampList[[#This Row],[Total]]/CampList[[#This Row],[HH]],"NA")</f>
        <v>NA</v>
      </c>
      <c r="U67" s="199" t="s">
        <v>464</v>
      </c>
      <c r="V67" s="199" t="s">
        <v>994</v>
      </c>
      <c r="W67" s="199" t="s">
        <v>12</v>
      </c>
      <c r="X67" s="199" t="s">
        <v>784</v>
      </c>
      <c r="Y67" s="312"/>
      <c r="Z67" s="673"/>
      <c r="AA67" s="223" t="s">
        <v>773</v>
      </c>
      <c r="AB67" s="210">
        <v>42927</v>
      </c>
      <c r="AC67" s="211" t="s">
        <v>1281</v>
      </c>
      <c r="AD67" s="199" t="str">
        <f ca="1">IFERROR(OFFSET(DistanceToCamp[Nearest Town],MATCH(CampList[[#This Row],[CP_Pcode]],DistanceToCamp[CP_Pcode],0)-1,0,1,1),"")</f>
        <v>Dawthponeyan  Town</v>
      </c>
      <c r="AE67" s="212">
        <f ca="1">IFERROR(OFFSET(DistanceToCamp[distance],MATCH(CampList[[#This Row],[CP_Pcode]],DistanceToCamp[CP_Pcode],0)-1,0,1,1),"")</f>
        <v>3.6887624513681017</v>
      </c>
      <c r="AF67" s="213">
        <f ca="1">IFERROR(INT(CampList[[#This Row],[Distance]]/5)+1,"")</f>
        <v>1</v>
      </c>
    </row>
    <row r="68" spans="2:32" ht="15.75" customHeight="1" x14ac:dyDescent="0.25">
      <c r="B68" s="203" t="s">
        <v>1740</v>
      </c>
      <c r="C68" s="197" t="s">
        <v>378</v>
      </c>
      <c r="D68" s="197" t="s">
        <v>478</v>
      </c>
      <c r="E68" s="197" t="s">
        <v>5</v>
      </c>
      <c r="F68" s="197" t="s">
        <v>482</v>
      </c>
      <c r="G68" s="197" t="s">
        <v>185</v>
      </c>
      <c r="H68" s="197" t="s">
        <v>486</v>
      </c>
      <c r="I68" s="197" t="s">
        <v>693</v>
      </c>
      <c r="J68" s="197" t="s">
        <v>1042</v>
      </c>
      <c r="K68" s="228" t="s">
        <v>698</v>
      </c>
      <c r="L68" s="228" t="s">
        <v>699</v>
      </c>
      <c r="M68" s="197" t="s">
        <v>229</v>
      </c>
      <c r="N68" s="197" t="s">
        <v>228</v>
      </c>
      <c r="O68" s="204">
        <v>97.724483000000006</v>
      </c>
      <c r="P68" s="204">
        <v>24.205417000000001</v>
      </c>
      <c r="Q68" s="205">
        <v>0</v>
      </c>
      <c r="R68" s="274">
        <v>48</v>
      </c>
      <c r="S68" s="274">
        <v>294</v>
      </c>
      <c r="T68" s="207">
        <f>IF(CampList[[#This Row],[HH]]&gt;0,CampList[[#This Row],[Total]]/CampList[[#This Row],[HH]],"NA")</f>
        <v>6.125</v>
      </c>
      <c r="U68" s="199" t="s">
        <v>464</v>
      </c>
      <c r="V68" s="199" t="s">
        <v>994</v>
      </c>
      <c r="W68" s="199" t="s">
        <v>507</v>
      </c>
      <c r="X68" s="199" t="s">
        <v>742</v>
      </c>
      <c r="Y68" s="312">
        <v>41122</v>
      </c>
      <c r="Z68" s="673" t="s">
        <v>424</v>
      </c>
      <c r="AA68" s="197" t="s">
        <v>774</v>
      </c>
      <c r="AB68" s="210">
        <v>43405</v>
      </c>
      <c r="AC68" s="211" t="s">
        <v>1878</v>
      </c>
      <c r="AD68" s="199" t="str">
        <f ca="1">IFERROR(OFFSET(DistanceToCamp[Nearest Town],MATCH(CampList[[#This Row],[CP_Pcode]],DistanceToCamp[CP_Pcode],0)-1,0,1,1),"")</f>
        <v>Lwegel Town</v>
      </c>
      <c r="AE68" s="212">
        <f ca="1">IFERROR(OFFSET(DistanceToCamp[distance],MATCH(CampList[[#This Row],[CP_Pcode]],DistanceToCamp[CP_Pcode],0)-1,0,1,1),"")</f>
        <v>0.77561767807574999</v>
      </c>
      <c r="AF68" s="213">
        <f ca="1">IFERROR(INT(CampList[[#This Row],[Distance]]/5)+1,"")</f>
        <v>1</v>
      </c>
    </row>
    <row r="69" spans="2:32" ht="15.75" customHeight="1" x14ac:dyDescent="0.25">
      <c r="B69" s="203" t="s">
        <v>1740</v>
      </c>
      <c r="C69" s="197" t="s">
        <v>378</v>
      </c>
      <c r="D69" s="197" t="s">
        <v>478</v>
      </c>
      <c r="E69" s="197" t="s">
        <v>5</v>
      </c>
      <c r="F69" s="197" t="s">
        <v>482</v>
      </c>
      <c r="G69" s="197" t="s">
        <v>185</v>
      </c>
      <c r="H69" s="197" t="s">
        <v>486</v>
      </c>
      <c r="I69" s="197" t="s">
        <v>693</v>
      </c>
      <c r="J69" s="197" t="s">
        <v>694</v>
      </c>
      <c r="K69" s="197" t="s">
        <v>1105</v>
      </c>
      <c r="L69" s="197" t="s">
        <v>1106</v>
      </c>
      <c r="M69" s="197" t="s">
        <v>225</v>
      </c>
      <c r="N69" s="197" t="s">
        <v>224</v>
      </c>
      <c r="O69" s="204">
        <v>97.710864000000001</v>
      </c>
      <c r="P69" s="204">
        <v>24.207332999999998</v>
      </c>
      <c r="Q69" s="205">
        <v>0</v>
      </c>
      <c r="R69" s="274">
        <v>43</v>
      </c>
      <c r="S69" s="274">
        <v>269</v>
      </c>
      <c r="T69" s="207">
        <f>IF(CampList[[#This Row],[HH]]&gt;0,CampList[[#This Row],[Total]]/CampList[[#This Row],[HH]],"NA")</f>
        <v>6.2558139534883717</v>
      </c>
      <c r="U69" s="199" t="s">
        <v>464</v>
      </c>
      <c r="V69" s="199" t="s">
        <v>994</v>
      </c>
      <c r="W69" s="199" t="s">
        <v>507</v>
      </c>
      <c r="X69" s="199" t="s">
        <v>742</v>
      </c>
      <c r="Y69" s="312">
        <v>41122</v>
      </c>
      <c r="Z69" s="673" t="s">
        <v>424</v>
      </c>
      <c r="AA69" s="197" t="s">
        <v>774</v>
      </c>
      <c r="AB69" s="210">
        <v>43405</v>
      </c>
      <c r="AC69" s="211" t="s">
        <v>1873</v>
      </c>
      <c r="AD69" s="199" t="str">
        <f ca="1">IFERROR(OFFSET(DistanceToCamp[Nearest Town],MATCH(CampList[[#This Row],[CP_Pcode]],DistanceToCamp[CP_Pcode],0)-1,0,1,1),"")</f>
        <v>Lwegel Town</v>
      </c>
      <c r="AE69" s="212">
        <f ca="1">IFERROR(OFFSET(DistanceToCamp[distance],MATCH(CampList[[#This Row],[CP_Pcode]],DistanceToCamp[CP_Pcode],0)-1,0,1,1),"")</f>
        <v>1.343152344964242</v>
      </c>
      <c r="AF69" s="213">
        <f ca="1">IFERROR(INT(CampList[[#This Row],[Distance]]/5)+1,"")</f>
        <v>1</v>
      </c>
    </row>
    <row r="70" spans="2:32" ht="15.75" customHeight="1" x14ac:dyDescent="0.25">
      <c r="B70" s="203" t="s">
        <v>1740</v>
      </c>
      <c r="C70" s="197" t="s">
        <v>378</v>
      </c>
      <c r="D70" s="197" t="s">
        <v>478</v>
      </c>
      <c r="E70" s="197" t="s">
        <v>299</v>
      </c>
      <c r="F70" s="197" t="s">
        <v>499</v>
      </c>
      <c r="G70" s="197" t="s">
        <v>299</v>
      </c>
      <c r="H70" s="197" t="s">
        <v>505</v>
      </c>
      <c r="I70" s="197" t="s">
        <v>740</v>
      </c>
      <c r="J70" s="197" t="s">
        <v>741</v>
      </c>
      <c r="K70" s="197" t="s">
        <v>885</v>
      </c>
      <c r="L70" s="197" t="s">
        <v>886</v>
      </c>
      <c r="M70" s="197" t="s">
        <v>300</v>
      </c>
      <c r="N70" s="197" t="s">
        <v>298</v>
      </c>
      <c r="O70" s="204">
        <v>97.415289999999999</v>
      </c>
      <c r="P70" s="204">
        <v>27.311699999999998</v>
      </c>
      <c r="Q70" s="205">
        <v>476.7</v>
      </c>
      <c r="R70" s="205">
        <v>14</v>
      </c>
      <c r="S70" s="217">
        <v>75</v>
      </c>
      <c r="T70" s="207">
        <f>IF(CampList[[#This Row],[HH]]&gt;0,CampList[[#This Row],[Total]]/CampList[[#This Row],[HH]],"NA")</f>
        <v>5.3571428571428568</v>
      </c>
      <c r="U70" s="199" t="s">
        <v>464</v>
      </c>
      <c r="V70" s="199" t="s">
        <v>994</v>
      </c>
      <c r="W70" s="199" t="s">
        <v>12</v>
      </c>
      <c r="X70" s="199" t="s">
        <v>784</v>
      </c>
      <c r="Y70" s="312"/>
      <c r="Z70" s="209" t="s">
        <v>1314</v>
      </c>
      <c r="AA70" s="197" t="s">
        <v>774</v>
      </c>
      <c r="AB70" s="210">
        <v>42874</v>
      </c>
      <c r="AC70" s="211" t="s">
        <v>1264</v>
      </c>
      <c r="AD70" s="199" t="str">
        <f ca="1">IFERROR(OFFSET(DistanceToCamp[Nearest Town],MATCH(CampList[[#This Row],[CP_Pcode]],DistanceToCamp[CP_Pcode],0)-1,0,1,1),"")</f>
        <v>Puta-O Town</v>
      </c>
      <c r="AE70" s="212">
        <f ca="1">IFERROR(OFFSET(DistanceToCamp[distance],MATCH(CampList[[#This Row],[CP_Pcode]],DistanceToCamp[CP_Pcode],0)-1,0,1,1),"")</f>
        <v>1.3759254000531889</v>
      </c>
      <c r="AF70" s="213">
        <f ca="1">IFERROR(INT(CampList[[#This Row],[Distance]]/5)+1,"")</f>
        <v>1</v>
      </c>
    </row>
    <row r="71" spans="2:32" ht="15.75" customHeight="1" x14ac:dyDescent="0.25">
      <c r="B71" s="203" t="s">
        <v>1740</v>
      </c>
      <c r="C71" s="197" t="s">
        <v>378</v>
      </c>
      <c r="D71" s="197" t="s">
        <v>478</v>
      </c>
      <c r="E71" s="197" t="s">
        <v>180</v>
      </c>
      <c r="F71" s="197" t="s">
        <v>479</v>
      </c>
      <c r="G71" s="197" t="s">
        <v>173</v>
      </c>
      <c r="H71" s="197" t="s">
        <v>498</v>
      </c>
      <c r="I71" s="211" t="s">
        <v>572</v>
      </c>
      <c r="J71" s="211" t="s">
        <v>573</v>
      </c>
      <c r="K71" s="211" t="s">
        <v>574</v>
      </c>
      <c r="L71" s="211">
        <v>166676</v>
      </c>
      <c r="M71" s="197" t="s">
        <v>1486</v>
      </c>
      <c r="N71" s="197" t="s">
        <v>175</v>
      </c>
      <c r="O71" s="204">
        <v>96.942279999999997</v>
      </c>
      <c r="P71" s="204">
        <v>25.296579999999999</v>
      </c>
      <c r="Q71" s="205">
        <v>0</v>
      </c>
      <c r="R71" s="274">
        <v>15</v>
      </c>
      <c r="S71" s="274">
        <v>75</v>
      </c>
      <c r="T71" s="207">
        <f>IF(CampList[[#This Row],[HH]]&gt;0,CampList[[#This Row],[Total]]/CampList[[#This Row],[HH]],"NA")</f>
        <v>5</v>
      </c>
      <c r="U71" s="199" t="s">
        <v>464</v>
      </c>
      <c r="V71" s="199" t="s">
        <v>994</v>
      </c>
      <c r="W71" s="199" t="s">
        <v>507</v>
      </c>
      <c r="X71" s="199" t="s">
        <v>742</v>
      </c>
      <c r="Y71" s="312">
        <v>41030</v>
      </c>
      <c r="Z71" s="673" t="s">
        <v>424</v>
      </c>
      <c r="AA71" s="223" t="s">
        <v>774</v>
      </c>
      <c r="AB71" s="210">
        <v>43405</v>
      </c>
      <c r="AC71" s="203" t="s">
        <v>1879</v>
      </c>
      <c r="AD71" s="199" t="str">
        <f ca="1">IFERROR(OFFSET(DistanceToCamp[Nearest Town],MATCH(CampList[[#This Row],[CP_Pcode]],DistanceToCamp[CP_Pcode],0)-1,0,1,1),"")</f>
        <v>Mogaung Town</v>
      </c>
      <c r="AE71" s="212">
        <f ca="1">IFERROR(OFFSET(DistanceToCamp[distance],MATCH(CampList[[#This Row],[CP_Pcode]],DistanceToCamp[CP_Pcode],0)-1,0,1,1),"")</f>
        <v>0.71141459237180937</v>
      </c>
      <c r="AF71" s="213">
        <f ca="1">IFERROR(INT(CampList[[#This Row],[Distance]]/5)+1,"")</f>
        <v>1</v>
      </c>
    </row>
    <row r="72" spans="2:32" ht="15.75" customHeight="1" x14ac:dyDescent="0.25">
      <c r="B72" s="203" t="s">
        <v>1740</v>
      </c>
      <c r="C72" s="197" t="s">
        <v>378</v>
      </c>
      <c r="D72" s="197" t="s">
        <v>478</v>
      </c>
      <c r="E72" s="197" t="s">
        <v>180</v>
      </c>
      <c r="F72" s="197" t="s">
        <v>479</v>
      </c>
      <c r="G72" s="197" t="s">
        <v>173</v>
      </c>
      <c r="H72" s="197" t="s">
        <v>498</v>
      </c>
      <c r="I72" s="211" t="s">
        <v>570</v>
      </c>
      <c r="J72" s="211" t="s">
        <v>571</v>
      </c>
      <c r="K72" s="228" t="s">
        <v>1098</v>
      </c>
      <c r="L72" s="228" t="s">
        <v>1099</v>
      </c>
      <c r="M72" s="197" t="s">
        <v>174</v>
      </c>
      <c r="N72" s="197" t="s">
        <v>172</v>
      </c>
      <c r="O72" s="204">
        <v>96.922619999999995</v>
      </c>
      <c r="P72" s="204">
        <v>25.305669999999999</v>
      </c>
      <c r="Q72" s="205">
        <v>470</v>
      </c>
      <c r="R72" s="274">
        <v>13</v>
      </c>
      <c r="S72" s="274">
        <v>71</v>
      </c>
      <c r="T72" s="207">
        <f>IF(CampList[[#This Row],[HH]]&gt;0,CampList[[#This Row],[Total]]/CampList[[#This Row],[HH]],"NA")</f>
        <v>5.4615384615384617</v>
      </c>
      <c r="U72" s="199" t="s">
        <v>464</v>
      </c>
      <c r="V72" s="199" t="s">
        <v>994</v>
      </c>
      <c r="W72" s="199" t="s">
        <v>507</v>
      </c>
      <c r="X72" s="199" t="s">
        <v>742</v>
      </c>
      <c r="Y72" s="312">
        <v>41030</v>
      </c>
      <c r="Z72" s="673" t="s">
        <v>424</v>
      </c>
      <c r="AA72" s="223" t="s">
        <v>774</v>
      </c>
      <c r="AB72" s="210">
        <v>43405</v>
      </c>
      <c r="AC72" s="203" t="s">
        <v>1879</v>
      </c>
      <c r="AD72" s="199" t="str">
        <f ca="1">IFERROR(OFFSET(DistanceToCamp[Nearest Town],MATCH(CampList[[#This Row],[CP_Pcode]],DistanceToCamp[CP_Pcode],0)-1,0,1,1),"")</f>
        <v>Mogaung Town</v>
      </c>
      <c r="AE72" s="212">
        <f ca="1">IFERROR(OFFSET(DistanceToCamp[distance],MATCH(CampList[[#This Row],[CP_Pcode]],DistanceToCamp[CP_Pcode],0)-1,0,1,1),"")</f>
        <v>1.815139598767344</v>
      </c>
      <c r="AF72" s="213">
        <f ca="1">IFERROR(INT(CampList[[#This Row],[Distance]]/5)+1,"")</f>
        <v>1</v>
      </c>
    </row>
    <row r="73" spans="2:32" ht="15.75" customHeight="1" x14ac:dyDescent="0.25">
      <c r="B73" s="203" t="s">
        <v>1740</v>
      </c>
      <c r="C73" s="197" t="s">
        <v>378</v>
      </c>
      <c r="D73" s="197" t="s">
        <v>478</v>
      </c>
      <c r="E73" s="197" t="s">
        <v>180</v>
      </c>
      <c r="F73" s="197" t="s">
        <v>479</v>
      </c>
      <c r="G73" s="197" t="s">
        <v>173</v>
      </c>
      <c r="H73" s="197" t="s">
        <v>498</v>
      </c>
      <c r="I73" s="197" t="s">
        <v>570</v>
      </c>
      <c r="J73" s="197" t="s">
        <v>571</v>
      </c>
      <c r="K73" s="197" t="s">
        <v>575</v>
      </c>
      <c r="L73" s="197" t="s">
        <v>576</v>
      </c>
      <c r="M73" s="197" t="s">
        <v>178</v>
      </c>
      <c r="N73" s="197" t="s">
        <v>177</v>
      </c>
      <c r="O73" s="204">
        <v>96.948740000000001</v>
      </c>
      <c r="P73" s="204">
        <v>25.30442</v>
      </c>
      <c r="Q73" s="205">
        <v>100</v>
      </c>
      <c r="R73" s="274">
        <v>10</v>
      </c>
      <c r="S73" s="274">
        <v>42</v>
      </c>
      <c r="T73" s="207">
        <f>IF(CampList[[#This Row],[HH]]&gt;0,CampList[[#This Row],[Total]]/CampList[[#This Row],[HH]],"NA")</f>
        <v>4.2</v>
      </c>
      <c r="U73" s="199" t="s">
        <v>464</v>
      </c>
      <c r="V73" s="199" t="s">
        <v>994</v>
      </c>
      <c r="W73" s="199" t="s">
        <v>507</v>
      </c>
      <c r="X73" s="199" t="s">
        <v>742</v>
      </c>
      <c r="Y73" s="312">
        <v>40969</v>
      </c>
      <c r="Z73" s="673" t="s">
        <v>424</v>
      </c>
      <c r="AA73" s="197" t="s">
        <v>774</v>
      </c>
      <c r="AB73" s="210">
        <v>43405</v>
      </c>
      <c r="AC73" s="211" t="s">
        <v>1880</v>
      </c>
      <c r="AD73" s="199" t="str">
        <f ca="1">IFERROR(OFFSET(DistanceToCamp[Nearest Town],MATCH(CampList[[#This Row],[CP_Pcode]],DistanceToCamp[CP_Pcode],0)-1,0,1,1),"")</f>
        <v>Mogaung Town</v>
      </c>
      <c r="AE73" s="212">
        <f ca="1">IFERROR(OFFSET(DistanceToCamp[distance],MATCH(CampList[[#This Row],[CP_Pcode]],DistanceToCamp[CP_Pcode],0)-1,0,1,1),"")</f>
        <v>0.86042374061342075</v>
      </c>
      <c r="AF73" s="213">
        <f ca="1">IFERROR(INT(CampList[[#This Row],[Distance]]/5)+1,"")</f>
        <v>1</v>
      </c>
    </row>
    <row r="74" spans="2:32" ht="15.75" customHeight="1" x14ac:dyDescent="0.25">
      <c r="B74" s="203" t="s">
        <v>1740</v>
      </c>
      <c r="C74" s="198" t="s">
        <v>378</v>
      </c>
      <c r="D74" s="198" t="s">
        <v>478</v>
      </c>
      <c r="E74" s="198" t="s">
        <v>180</v>
      </c>
      <c r="F74" s="198" t="s">
        <v>479</v>
      </c>
      <c r="G74" s="198" t="s">
        <v>180</v>
      </c>
      <c r="H74" s="198" t="s">
        <v>504</v>
      </c>
      <c r="I74" s="198" t="s">
        <v>959</v>
      </c>
      <c r="J74" s="216" t="s">
        <v>1037</v>
      </c>
      <c r="K74" s="228" t="s">
        <v>1116</v>
      </c>
      <c r="L74" s="228" t="s">
        <v>1117</v>
      </c>
      <c r="M74" s="198" t="s">
        <v>181</v>
      </c>
      <c r="N74" s="198" t="s">
        <v>179</v>
      </c>
      <c r="O74" s="206">
        <v>96.367059999999995</v>
      </c>
      <c r="P74" s="206">
        <v>24.764800000000001</v>
      </c>
      <c r="Q74" s="217"/>
      <c r="R74" s="274">
        <v>11</v>
      </c>
      <c r="S74" s="274">
        <v>55</v>
      </c>
      <c r="T74" s="207">
        <f>IF(CampList[[#This Row],[HH]]&gt;0,CampList[[#This Row],[Total]]/CampList[[#This Row],[HH]],"NA")</f>
        <v>5</v>
      </c>
      <c r="U74" s="183" t="s">
        <v>464</v>
      </c>
      <c r="V74" s="199" t="s">
        <v>994</v>
      </c>
      <c r="W74" s="183" t="s">
        <v>507</v>
      </c>
      <c r="X74" s="183" t="s">
        <v>742</v>
      </c>
      <c r="Y74" s="313">
        <v>41061</v>
      </c>
      <c r="Z74" s="217" t="s">
        <v>935</v>
      </c>
      <c r="AA74" s="198" t="s">
        <v>774</v>
      </c>
      <c r="AB74" s="210">
        <v>43405</v>
      </c>
      <c r="AC74" s="219" t="s">
        <v>1819</v>
      </c>
      <c r="AD74" s="220" t="str">
        <f ca="1">IFERROR(OFFSET(DistanceToCamp[Nearest Town],MATCH(CampList[[#This Row],[CP_Pcode]],DistanceToCamp[CP_Pcode],0)-1,0,1,1),"")</f>
        <v>Mohnyin Town</v>
      </c>
      <c r="AE74" s="212">
        <f ca="1">IFERROR(OFFSET(DistanceToCamp[distance],MATCH(CampList[[#This Row],[CP_Pcode]],DistanceToCamp[CP_Pcode],0)-1,0,1,1),"")</f>
        <v>1.7021273757523427</v>
      </c>
      <c r="AF74" s="221">
        <f ca="1">IFERROR(INT(CampList[[#This Row],[Distance]]/5)+1,"")</f>
        <v>1</v>
      </c>
    </row>
    <row r="75" spans="2:32" ht="15.75" customHeight="1" x14ac:dyDescent="0.25">
      <c r="B75" s="203" t="s">
        <v>1740</v>
      </c>
      <c r="C75" s="197" t="s">
        <v>378</v>
      </c>
      <c r="D75" s="197" t="s">
        <v>478</v>
      </c>
      <c r="E75" s="197" t="s">
        <v>180</v>
      </c>
      <c r="F75" s="197" t="s">
        <v>479</v>
      </c>
      <c r="G75" s="197" t="s">
        <v>480</v>
      </c>
      <c r="H75" s="197" t="s">
        <v>481</v>
      </c>
      <c r="I75" s="211" t="s">
        <v>543</v>
      </c>
      <c r="J75" s="211" t="s">
        <v>544</v>
      </c>
      <c r="K75" s="211" t="s">
        <v>547</v>
      </c>
      <c r="L75" s="211" t="s">
        <v>548</v>
      </c>
      <c r="M75" s="197" t="s">
        <v>100</v>
      </c>
      <c r="N75" s="197" t="s">
        <v>99</v>
      </c>
      <c r="O75" s="204">
        <v>96.319829999999996</v>
      </c>
      <c r="P75" s="204">
        <v>25.6145</v>
      </c>
      <c r="Q75" s="205">
        <v>65</v>
      </c>
      <c r="R75" s="274">
        <v>3</v>
      </c>
      <c r="S75" s="274">
        <v>15</v>
      </c>
      <c r="T75" s="207">
        <f>IF(CampList[[#This Row],[HH]]&gt;0,CampList[[#This Row],[Total]]/CampList[[#This Row],[HH]],"NA")</f>
        <v>5</v>
      </c>
      <c r="U75" s="199" t="s">
        <v>464</v>
      </c>
      <c r="V75" s="199" t="s">
        <v>994</v>
      </c>
      <c r="W75" s="199" t="s">
        <v>1381</v>
      </c>
      <c r="X75" s="199" t="s">
        <v>742</v>
      </c>
      <c r="Y75" s="312">
        <v>41122</v>
      </c>
      <c r="Z75" s="208" t="s">
        <v>1314</v>
      </c>
      <c r="AA75" s="223" t="s">
        <v>774</v>
      </c>
      <c r="AB75" s="210">
        <v>43405</v>
      </c>
      <c r="AC75" s="203" t="s">
        <v>1937</v>
      </c>
      <c r="AD75" s="199" t="str">
        <f ca="1">IFERROR(OFFSET(DistanceToCamp[Nearest Town],MATCH(CampList[[#This Row],[CP_Pcode]],DistanceToCamp[CP_Pcode],0)-1,0,1,1),"")</f>
        <v>Hpakant Town</v>
      </c>
      <c r="AE75" s="212">
        <f ca="1">IFERROR(OFFSET(DistanceToCamp[distance],MATCH(CampList[[#This Row],[CP_Pcode]],DistanceToCamp[CP_Pcode],0)-1,0,1,1),"")</f>
        <v>0.79577754007276646</v>
      </c>
      <c r="AF75" s="213">
        <f ca="1">IFERROR(INT(CampList[[#This Row],[Distance]]/5)+1,"")</f>
        <v>1</v>
      </c>
    </row>
    <row r="76" spans="2:32" ht="15.75" hidden="1" customHeight="1" x14ac:dyDescent="0.25">
      <c r="B76" s="203" t="s">
        <v>775</v>
      </c>
      <c r="C76" s="197" t="s">
        <v>378</v>
      </c>
      <c r="D76" s="197" t="s">
        <v>478</v>
      </c>
      <c r="E76" s="197" t="s">
        <v>299</v>
      </c>
      <c r="F76" s="197" t="s">
        <v>499</v>
      </c>
      <c r="G76" s="197" t="s">
        <v>144</v>
      </c>
      <c r="H76" s="197" t="s">
        <v>500</v>
      </c>
      <c r="I76" s="211" t="s">
        <v>723</v>
      </c>
      <c r="J76" s="211" t="s">
        <v>724</v>
      </c>
      <c r="K76" s="211" t="s">
        <v>145</v>
      </c>
      <c r="L76" s="211">
        <v>168236</v>
      </c>
      <c r="M76" s="197" t="s">
        <v>145</v>
      </c>
      <c r="N76" s="197" t="s">
        <v>143</v>
      </c>
      <c r="O76" s="204">
        <v>98.144502500000002</v>
      </c>
      <c r="P76" s="204">
        <v>26.890058</v>
      </c>
      <c r="Q76" s="217">
        <v>1393</v>
      </c>
      <c r="R76" s="284"/>
      <c r="S76" s="285"/>
      <c r="T76" s="207" t="str">
        <f>IF(CampList[[#This Row],[HH]]&gt;0,CampList[[#This Row],[Total]]/CampList[[#This Row],[HH]],"NA")</f>
        <v>NA</v>
      </c>
      <c r="U76" s="199" t="s">
        <v>464</v>
      </c>
      <c r="V76" s="199" t="s">
        <v>994</v>
      </c>
      <c r="W76" s="199" t="s">
        <v>507</v>
      </c>
      <c r="X76" s="199" t="s">
        <v>784</v>
      </c>
      <c r="Y76" s="218"/>
      <c r="Z76" s="209"/>
      <c r="AA76" s="223" t="s">
        <v>773</v>
      </c>
      <c r="AB76" s="210">
        <v>42768</v>
      </c>
      <c r="AC76" s="203" t="s">
        <v>1217</v>
      </c>
      <c r="AD76" s="199" t="str">
        <f ca="1">IFERROR(OFFSET(DistanceToCamp[Nearest Town],MATCH(CampList[[#This Row],[CP_Pcode]],DistanceToCamp[CP_Pcode],0)-1,0,1,1),"")</f>
        <v>Khaunglanhpu Town</v>
      </c>
      <c r="AE76" s="212">
        <f ca="1">IFERROR(OFFSET(DistanceToCamp[distance],MATCH(CampList[[#This Row],[CP_Pcode]],DistanceToCamp[CP_Pcode],0)-1,0,1,1),"")</f>
        <v>28.422357500443528</v>
      </c>
      <c r="AF76" s="213">
        <f ca="1">IFERROR(INT(CampList[[#This Row],[Distance]]/5)+1,"")</f>
        <v>6</v>
      </c>
    </row>
    <row r="77" spans="2:32" ht="15.75" customHeight="1" x14ac:dyDescent="0.25">
      <c r="B77" s="203" t="s">
        <v>1740</v>
      </c>
      <c r="C77" s="197" t="s">
        <v>378</v>
      </c>
      <c r="D77" s="197" t="s">
        <v>478</v>
      </c>
      <c r="E77" s="197" t="s">
        <v>180</v>
      </c>
      <c r="F77" s="197" t="s">
        <v>479</v>
      </c>
      <c r="G77" s="197" t="s">
        <v>480</v>
      </c>
      <c r="H77" s="197" t="s">
        <v>481</v>
      </c>
      <c r="I77" s="211" t="s">
        <v>549</v>
      </c>
      <c r="J77" s="211" t="s">
        <v>550</v>
      </c>
      <c r="K77" s="211" t="s">
        <v>549</v>
      </c>
      <c r="L77" s="211">
        <v>166776</v>
      </c>
      <c r="M77" s="197" t="s">
        <v>108</v>
      </c>
      <c r="N77" s="197" t="s">
        <v>107</v>
      </c>
      <c r="O77" s="204">
        <v>96.341352999999998</v>
      </c>
      <c r="P77" s="204">
        <v>25.613894999999999</v>
      </c>
      <c r="Q77" s="205">
        <v>251</v>
      </c>
      <c r="R77" s="274">
        <v>50</v>
      </c>
      <c r="S77" s="274">
        <v>237</v>
      </c>
      <c r="T77" s="207">
        <f>IF(CampList[[#This Row],[HH]]&gt;0,CampList[[#This Row],[Total]]/CampList[[#This Row],[HH]],"NA")</f>
        <v>4.74</v>
      </c>
      <c r="U77" s="199" t="s">
        <v>464</v>
      </c>
      <c r="V77" s="199" t="s">
        <v>994</v>
      </c>
      <c r="W77" s="199" t="s">
        <v>507</v>
      </c>
      <c r="X77" s="199" t="s">
        <v>742</v>
      </c>
      <c r="Y77" s="312">
        <v>41487</v>
      </c>
      <c r="Z77" s="673" t="s">
        <v>935</v>
      </c>
      <c r="AA77" s="223" t="s">
        <v>774</v>
      </c>
      <c r="AB77" s="210">
        <v>43405</v>
      </c>
      <c r="AC77" s="203" t="s">
        <v>1820</v>
      </c>
      <c r="AD77" s="199" t="str">
        <f ca="1">IFERROR(OFFSET(DistanceToCamp[Nearest Town],MATCH(CampList[[#This Row],[CP_Pcode]],DistanceToCamp[CP_Pcode],0)-1,0,1,1),"")</f>
        <v>Hpakant Town</v>
      </c>
      <c r="AE77" s="212">
        <f ca="1">IFERROR(OFFSET(DistanceToCamp[distance],MATCH(CampList[[#This Row],[CP_Pcode]],DistanceToCamp[CP_Pcode],0)-1,0,1,1),"")</f>
        <v>2.9334852607184256</v>
      </c>
      <c r="AF77" s="213">
        <f ca="1">IFERROR(INT(CampList[[#This Row],[Distance]]/5)+1,"")</f>
        <v>1</v>
      </c>
    </row>
    <row r="78" spans="2:32" ht="15.75" customHeight="1" x14ac:dyDescent="0.25">
      <c r="B78" s="203" t="s">
        <v>1740</v>
      </c>
      <c r="C78" s="197" t="s">
        <v>378</v>
      </c>
      <c r="D78" s="197" t="s">
        <v>478</v>
      </c>
      <c r="E78" s="197" t="s">
        <v>180</v>
      </c>
      <c r="F78" s="197" t="s">
        <v>479</v>
      </c>
      <c r="G78" s="197" t="s">
        <v>480</v>
      </c>
      <c r="H78" s="197" t="s">
        <v>481</v>
      </c>
      <c r="I78" s="211" t="s">
        <v>549</v>
      </c>
      <c r="J78" s="211" t="s">
        <v>550</v>
      </c>
      <c r="K78" s="197" t="s">
        <v>549</v>
      </c>
      <c r="L78" s="216">
        <v>166776</v>
      </c>
      <c r="M78" s="197" t="s">
        <v>140</v>
      </c>
      <c r="N78" s="197" t="s">
        <v>139</v>
      </c>
      <c r="O78" s="204">
        <v>96.306910999999999</v>
      </c>
      <c r="P78" s="204">
        <v>25.599250000000001</v>
      </c>
      <c r="Q78" s="205">
        <v>0</v>
      </c>
      <c r="R78" s="274">
        <v>16</v>
      </c>
      <c r="S78" s="274">
        <v>68</v>
      </c>
      <c r="T78" s="207">
        <f>IF(CampList[[#This Row],[HH]]&gt;0,CampList[[#This Row],[Total]]/CampList[[#This Row],[HH]],"NA")</f>
        <v>4.25</v>
      </c>
      <c r="U78" s="199" t="s">
        <v>464</v>
      </c>
      <c r="V78" s="199" t="s">
        <v>994</v>
      </c>
      <c r="W78" s="199" t="s">
        <v>507</v>
      </c>
      <c r="X78" s="199" t="s">
        <v>742</v>
      </c>
      <c r="Y78" s="312">
        <v>41122</v>
      </c>
      <c r="Z78" s="673" t="s">
        <v>424</v>
      </c>
      <c r="AA78" s="197" t="s">
        <v>774</v>
      </c>
      <c r="AB78" s="210">
        <v>43405</v>
      </c>
      <c r="AC78" s="211" t="s">
        <v>1881</v>
      </c>
      <c r="AD78" s="199" t="str">
        <f ca="1">IFERROR(OFFSET(DistanceToCamp[Nearest Town],MATCH(CampList[[#This Row],[CP_Pcode]],DistanceToCamp[CP_Pcode],0)-1,0,1,1),"")</f>
        <v>Hpakant Town</v>
      </c>
      <c r="AE78" s="212">
        <f ca="1">IFERROR(OFFSET(DistanceToCamp[distance],MATCH(CampList[[#This Row],[CP_Pcode]],DistanceToCamp[CP_Pcode],0)-1,0,1,1),"")</f>
        <v>1.5942018764815451</v>
      </c>
      <c r="AF78" s="213">
        <f ca="1">IFERROR(INT(CampList[[#This Row],[Distance]]/5)+1,"")</f>
        <v>1</v>
      </c>
    </row>
    <row r="79" spans="2:32" ht="15.75" customHeight="1" x14ac:dyDescent="0.25">
      <c r="B79" s="203" t="s">
        <v>1740</v>
      </c>
      <c r="C79" s="197" t="s">
        <v>378</v>
      </c>
      <c r="D79" s="197" t="s">
        <v>478</v>
      </c>
      <c r="E79" s="197" t="s">
        <v>180</v>
      </c>
      <c r="F79" s="197" t="s">
        <v>479</v>
      </c>
      <c r="G79" s="197" t="s">
        <v>480</v>
      </c>
      <c r="H79" s="197" t="s">
        <v>481</v>
      </c>
      <c r="I79" s="211" t="s">
        <v>538</v>
      </c>
      <c r="J79" s="211" t="s">
        <v>539</v>
      </c>
      <c r="K79" s="211" t="s">
        <v>538</v>
      </c>
      <c r="L79" s="211">
        <v>166783</v>
      </c>
      <c r="M79" s="197" t="s">
        <v>72</v>
      </c>
      <c r="N79" s="197" t="s">
        <v>71</v>
      </c>
      <c r="O79" s="204">
        <v>96.283377000000002</v>
      </c>
      <c r="P79" s="204">
        <v>25.582065</v>
      </c>
      <c r="Q79" s="205">
        <v>0</v>
      </c>
      <c r="R79" s="274">
        <v>6</v>
      </c>
      <c r="S79" s="274">
        <v>31</v>
      </c>
      <c r="T79" s="207">
        <f>IF(CampList[[#This Row],[HH]]&gt;0,CampList[[#This Row],[Total]]/CampList[[#This Row],[HH]],"NA")</f>
        <v>5.166666666666667</v>
      </c>
      <c r="U79" s="199" t="s">
        <v>464</v>
      </c>
      <c r="V79" s="199" t="s">
        <v>994</v>
      </c>
      <c r="W79" s="199" t="s">
        <v>1381</v>
      </c>
      <c r="X79" s="183" t="s">
        <v>742</v>
      </c>
      <c r="Y79" s="312">
        <v>41487</v>
      </c>
      <c r="Z79" s="673" t="s">
        <v>1314</v>
      </c>
      <c r="AA79" s="223" t="s">
        <v>774</v>
      </c>
      <c r="AB79" s="210">
        <v>43405</v>
      </c>
      <c r="AC79" s="203" t="s">
        <v>1938</v>
      </c>
      <c r="AD79" s="199" t="str">
        <f ca="1">IFERROR(OFFSET(DistanceToCamp[Nearest Town],MATCH(CampList[[#This Row],[CP_Pcode]],DistanceToCamp[CP_Pcode],0)-1,0,1,1),"")</f>
        <v>Hpakant Town</v>
      </c>
      <c r="AE79" s="212">
        <f ca="1">IFERROR(OFFSET(DistanceToCamp[distance],MATCH(CampList[[#This Row],[CP_Pcode]],DistanceToCamp[CP_Pcode],0)-1,0,1,1),"")</f>
        <v>4.4704963044882238</v>
      </c>
      <c r="AF79" s="213">
        <f ca="1">IFERROR(INT(CampList[[#This Row],[Distance]]/5)+1,"")</f>
        <v>1</v>
      </c>
    </row>
    <row r="80" spans="2:32" ht="15.75" customHeight="1" x14ac:dyDescent="0.25">
      <c r="B80" s="203" t="s">
        <v>1740</v>
      </c>
      <c r="C80" s="198" t="s">
        <v>378</v>
      </c>
      <c r="D80" s="198" t="s">
        <v>478</v>
      </c>
      <c r="E80" s="198" t="s">
        <v>237</v>
      </c>
      <c r="F80" s="198" t="s">
        <v>484</v>
      </c>
      <c r="G80" s="198" t="s">
        <v>309</v>
      </c>
      <c r="H80" s="198" t="s">
        <v>485</v>
      </c>
      <c r="I80" s="198" t="s">
        <v>658</v>
      </c>
      <c r="J80" s="216" t="s">
        <v>709</v>
      </c>
      <c r="K80" s="198" t="s">
        <v>710</v>
      </c>
      <c r="L80" s="198">
        <v>165895</v>
      </c>
      <c r="M80" s="198" t="s">
        <v>333</v>
      </c>
      <c r="N80" s="198" t="s">
        <v>332</v>
      </c>
      <c r="O80" s="206">
        <v>97.915833000000006</v>
      </c>
      <c r="P80" s="206">
        <v>25.220278</v>
      </c>
      <c r="Q80" s="217">
        <v>2404</v>
      </c>
      <c r="R80" s="274">
        <v>125</v>
      </c>
      <c r="S80" s="274">
        <v>486</v>
      </c>
      <c r="T80" s="207">
        <f>IF(CampList[[#This Row],[HH]]&gt;0,CampList[[#This Row],[Total]]/CampList[[#This Row],[HH]],"NA")</f>
        <v>3.8879999999999999</v>
      </c>
      <c r="U80" s="183" t="s">
        <v>466</v>
      </c>
      <c r="V80" s="199" t="s">
        <v>994</v>
      </c>
      <c r="W80" s="183" t="s">
        <v>507</v>
      </c>
      <c r="X80" s="183" t="s">
        <v>785</v>
      </c>
      <c r="Y80" s="313">
        <v>40848</v>
      </c>
      <c r="Z80" s="217" t="s">
        <v>935</v>
      </c>
      <c r="AA80" s="198" t="s">
        <v>774</v>
      </c>
      <c r="AB80" s="210">
        <v>43405</v>
      </c>
      <c r="AC80" s="219" t="s">
        <v>1821</v>
      </c>
      <c r="AD80" s="220" t="str">
        <f ca="1">IFERROR(OFFSET(DistanceToCamp[Nearest Town],MATCH(CampList[[#This Row],[CP_Pcode]],DistanceToCamp[CP_Pcode],0)-1,0,1,1),"")</f>
        <v>Sadung Town</v>
      </c>
      <c r="AE80" s="212">
        <f ca="1">IFERROR(OFFSET(DistanceToCamp[distance],MATCH(CampList[[#This Row],[CP_Pcode]],DistanceToCamp[CP_Pcode],0)-1,0,1,1),"")</f>
        <v>18.198335991626355</v>
      </c>
      <c r="AF80" s="221">
        <f ca="1">IFERROR(INT(CampList[[#This Row],[Distance]]/5)+1,"")</f>
        <v>4</v>
      </c>
    </row>
    <row r="81" spans="2:32" ht="15.75" customHeight="1" x14ac:dyDescent="0.25">
      <c r="B81" s="203" t="s">
        <v>1740</v>
      </c>
      <c r="C81" s="197" t="s">
        <v>378</v>
      </c>
      <c r="D81" s="197" t="s">
        <v>478</v>
      </c>
      <c r="E81" s="197" t="s">
        <v>237</v>
      </c>
      <c r="F81" s="197" t="s">
        <v>484</v>
      </c>
      <c r="G81" s="197" t="s">
        <v>309</v>
      </c>
      <c r="H81" s="197" t="s">
        <v>485</v>
      </c>
      <c r="I81" s="197" t="s">
        <v>710</v>
      </c>
      <c r="J81" s="197" t="s">
        <v>709</v>
      </c>
      <c r="K81" s="215" t="s">
        <v>1096</v>
      </c>
      <c r="L81" s="215"/>
      <c r="M81" s="197" t="s">
        <v>335</v>
      </c>
      <c r="N81" s="197" t="s">
        <v>334</v>
      </c>
      <c r="O81" s="204">
        <v>97.807182999999995</v>
      </c>
      <c r="P81" s="204">
        <v>25.200333000000001</v>
      </c>
      <c r="Q81" s="205">
        <v>1023</v>
      </c>
      <c r="R81" s="274">
        <v>136</v>
      </c>
      <c r="S81" s="274">
        <v>985</v>
      </c>
      <c r="T81" s="207">
        <f>IF(CampList[[#This Row],[HH]]&gt;0,CampList[[#This Row],[Total]]/CampList[[#This Row],[HH]],"NA")</f>
        <v>7.242647058823529</v>
      </c>
      <c r="U81" s="199" t="s">
        <v>466</v>
      </c>
      <c r="V81" s="199" t="s">
        <v>994</v>
      </c>
      <c r="W81" s="199" t="s">
        <v>507</v>
      </c>
      <c r="X81" s="199" t="s">
        <v>784</v>
      </c>
      <c r="Y81" s="312">
        <v>40878</v>
      </c>
      <c r="Z81" s="673" t="s">
        <v>424</v>
      </c>
      <c r="AA81" s="223" t="s">
        <v>774</v>
      </c>
      <c r="AB81" s="210">
        <v>43405</v>
      </c>
      <c r="AC81" s="203" t="s">
        <v>1882</v>
      </c>
      <c r="AD81" s="199" t="str">
        <f ca="1">IFERROR(OFFSET(DistanceToCamp[Nearest Town],MATCH(CampList[[#This Row],[CP_Pcode]],DistanceToCamp[CP_Pcode],0)-1,0,1,1),"")</f>
        <v>Sadung Town</v>
      </c>
      <c r="AE81" s="212">
        <f ca="1">IFERROR(OFFSET(DistanceToCamp[distance],MATCH(CampList[[#This Row],[CP_Pcode]],DistanceToCamp[CP_Pcode],0)-1,0,1,1),"")</f>
        <v>21.287604662770121</v>
      </c>
      <c r="AF81" s="213">
        <f ca="1">IFERROR(INT(CampList[[#This Row],[Distance]]/5)+1,"")</f>
        <v>5</v>
      </c>
    </row>
    <row r="82" spans="2:32" ht="15.75" hidden="1" customHeight="1" x14ac:dyDescent="0.25">
      <c r="B82" s="203" t="s">
        <v>775</v>
      </c>
      <c r="C82" s="197" t="s">
        <v>378</v>
      </c>
      <c r="D82" s="197" t="s">
        <v>478</v>
      </c>
      <c r="E82" s="197" t="s">
        <v>180</v>
      </c>
      <c r="F82" s="197" t="s">
        <v>479</v>
      </c>
      <c r="G82" s="197" t="s">
        <v>180</v>
      </c>
      <c r="H82" s="197" t="s">
        <v>504</v>
      </c>
      <c r="I82" s="211" t="s">
        <v>556</v>
      </c>
      <c r="J82" s="211" t="s">
        <v>557</v>
      </c>
      <c r="K82" s="211" t="s">
        <v>556</v>
      </c>
      <c r="L82" s="211">
        <v>166591</v>
      </c>
      <c r="M82" s="197" t="s">
        <v>183</v>
      </c>
      <c r="N82" s="197" t="s">
        <v>182</v>
      </c>
      <c r="O82" s="204">
        <v>96.364949999999993</v>
      </c>
      <c r="P82" s="204">
        <v>24.998349999999999</v>
      </c>
      <c r="Q82" s="205">
        <v>0</v>
      </c>
      <c r="R82" s="284">
        <v>0</v>
      </c>
      <c r="S82" s="285">
        <v>0</v>
      </c>
      <c r="T82" s="207" t="str">
        <f>IF(CampList[[#This Row],[HH]]&gt;0,CampList[[#This Row],[Total]]/CampList[[#This Row],[HH]],"NA")</f>
        <v>NA</v>
      </c>
      <c r="U82" s="199" t="s">
        <v>464</v>
      </c>
      <c r="V82" s="199" t="s">
        <v>994</v>
      </c>
      <c r="W82" s="199" t="s">
        <v>507</v>
      </c>
      <c r="X82" s="199" t="s">
        <v>784</v>
      </c>
      <c r="Y82" s="673">
        <v>40969</v>
      </c>
      <c r="Z82" s="673" t="s">
        <v>424</v>
      </c>
      <c r="AA82" s="223" t="s">
        <v>773</v>
      </c>
      <c r="AB82" s="210">
        <v>41837</v>
      </c>
      <c r="AC82" s="203" t="s">
        <v>939</v>
      </c>
      <c r="AD82" s="199" t="str">
        <f ca="1">IFERROR(OFFSET(DistanceToCamp[Nearest Town],MATCH(CampList[[#This Row],[CP_Pcode]],DistanceToCamp[CP_Pcode],0)-1,0,1,1),"")</f>
        <v/>
      </c>
      <c r="AE82" s="212" t="str">
        <f ca="1">IFERROR(OFFSET(DistanceToCamp[distance],MATCH(CampList[[#This Row],[CP_Pcode]],DistanceToCamp[CP_Pcode],0)-1,0,1,1),"")</f>
        <v/>
      </c>
      <c r="AF82" s="213" t="str">
        <f ca="1">IFERROR(INT(CampList[[#This Row],[Distance]]/5)+1,"")</f>
        <v/>
      </c>
    </row>
    <row r="83" spans="2:32" ht="15.75" hidden="1" customHeight="1" x14ac:dyDescent="0.25">
      <c r="B83" s="203" t="s">
        <v>775</v>
      </c>
      <c r="C83" s="197" t="s">
        <v>378</v>
      </c>
      <c r="D83" s="197" t="s">
        <v>478</v>
      </c>
      <c r="E83" s="197" t="s">
        <v>180</v>
      </c>
      <c r="F83" s="197" t="s">
        <v>479</v>
      </c>
      <c r="G83" s="197" t="s">
        <v>480</v>
      </c>
      <c r="H83" s="197" t="s">
        <v>481</v>
      </c>
      <c r="I83" s="211" t="s">
        <v>543</v>
      </c>
      <c r="J83" s="211" t="s">
        <v>544</v>
      </c>
      <c r="K83" s="211" t="s">
        <v>545</v>
      </c>
      <c r="L83" s="211" t="s">
        <v>546</v>
      </c>
      <c r="M83" s="197" t="s">
        <v>110</v>
      </c>
      <c r="N83" s="197" t="s">
        <v>109</v>
      </c>
      <c r="O83" s="204">
        <v>96.312790000000007</v>
      </c>
      <c r="P83" s="204">
        <v>25.611160000000002</v>
      </c>
      <c r="Q83" s="205">
        <v>0</v>
      </c>
      <c r="R83" s="284">
        <v>0</v>
      </c>
      <c r="S83" s="285">
        <v>0</v>
      </c>
      <c r="T83" s="207" t="str">
        <f>IF(CampList[[#This Row],[HH]]&gt;0,CampList[[#This Row],[Total]]/CampList[[#This Row],[HH]],"NA")</f>
        <v>NA</v>
      </c>
      <c r="U83" s="199" t="s">
        <v>464</v>
      </c>
      <c r="V83" s="199" t="s">
        <v>994</v>
      </c>
      <c r="W83" s="199" t="s">
        <v>507</v>
      </c>
      <c r="X83" s="199" t="s">
        <v>742</v>
      </c>
      <c r="Y83" s="673">
        <v>41122</v>
      </c>
      <c r="Z83" s="208" t="s">
        <v>424</v>
      </c>
      <c r="AA83" s="223" t="s">
        <v>774</v>
      </c>
      <c r="AB83" s="210">
        <v>41774</v>
      </c>
      <c r="AC83" s="203" t="s">
        <v>896</v>
      </c>
      <c r="AD83" s="199" t="str">
        <f ca="1">IFERROR(OFFSET(DistanceToCamp[Nearest Town],MATCH(CampList[[#This Row],[CP_Pcode]],DistanceToCamp[CP_Pcode],0)-1,0,1,1),"")</f>
        <v/>
      </c>
      <c r="AE83" s="212" t="str">
        <f ca="1">IFERROR(OFFSET(DistanceToCamp[distance],MATCH(CampList[[#This Row],[CP_Pcode]],DistanceToCamp[CP_Pcode],0)-1,0,1,1),"")</f>
        <v/>
      </c>
      <c r="AF83" s="213" t="str">
        <f ca="1">IFERROR(INT(CampList[[#This Row],[Distance]]/5)+1,"")</f>
        <v/>
      </c>
    </row>
    <row r="84" spans="2:32" ht="15.75" hidden="1" customHeight="1" x14ac:dyDescent="0.25">
      <c r="B84" s="203" t="s">
        <v>775</v>
      </c>
      <c r="C84" s="197" t="s">
        <v>378</v>
      </c>
      <c r="D84" s="197" t="s">
        <v>478</v>
      </c>
      <c r="E84" s="197" t="s">
        <v>180</v>
      </c>
      <c r="F84" s="197" t="s">
        <v>479</v>
      </c>
      <c r="G84" s="197" t="s">
        <v>480</v>
      </c>
      <c r="H84" s="197" t="s">
        <v>481</v>
      </c>
      <c r="I84" s="211" t="s">
        <v>543</v>
      </c>
      <c r="J84" s="211" t="s">
        <v>544</v>
      </c>
      <c r="K84" s="211" t="s">
        <v>545</v>
      </c>
      <c r="L84" s="211" t="s">
        <v>546</v>
      </c>
      <c r="M84" s="197" t="s">
        <v>112</v>
      </c>
      <c r="N84" s="197" t="s">
        <v>111</v>
      </c>
      <c r="O84" s="204">
        <v>96.31326</v>
      </c>
      <c r="P84" s="204">
        <v>25.611899999999999</v>
      </c>
      <c r="Q84" s="217"/>
      <c r="R84" s="284">
        <v>0</v>
      </c>
      <c r="S84" s="285">
        <v>0</v>
      </c>
      <c r="T84" s="207" t="str">
        <f>IF(CampList[[#This Row],[HH]]&gt;0,CampList[[#This Row],[Total]]/CampList[[#This Row],[HH]],"NA")</f>
        <v>NA</v>
      </c>
      <c r="U84" s="199" t="s">
        <v>464</v>
      </c>
      <c r="V84" s="199" t="s">
        <v>994</v>
      </c>
      <c r="W84" s="199" t="s">
        <v>507</v>
      </c>
      <c r="X84" s="199"/>
      <c r="Y84" s="218"/>
      <c r="Z84" s="209"/>
      <c r="AA84" s="223"/>
      <c r="AB84" s="226"/>
      <c r="AC84" s="203" t="s">
        <v>541</v>
      </c>
      <c r="AD84" s="199" t="str">
        <f ca="1">IFERROR(OFFSET(DistanceToCamp[Nearest Town],MATCH(CampList[[#This Row],[CP_Pcode]],DistanceToCamp[CP_Pcode],0)-1,0,1,1),"")</f>
        <v/>
      </c>
      <c r="AE84" s="212" t="str">
        <f ca="1">IFERROR(OFFSET(DistanceToCamp[distance],MATCH(CampList[[#This Row],[CP_Pcode]],DistanceToCamp[CP_Pcode],0)-1,0,1,1),"")</f>
        <v/>
      </c>
      <c r="AF84" s="213" t="str">
        <f ca="1">IFERROR(INT(CampList[[#This Row],[Distance]]/5)+1,"")</f>
        <v/>
      </c>
    </row>
    <row r="85" spans="2:32" ht="15.75" hidden="1" customHeight="1" x14ac:dyDescent="0.25">
      <c r="B85" s="203" t="s">
        <v>775</v>
      </c>
      <c r="C85" s="197" t="s">
        <v>378</v>
      </c>
      <c r="D85" s="197" t="s">
        <v>478</v>
      </c>
      <c r="E85" s="197" t="s">
        <v>180</v>
      </c>
      <c r="F85" s="197" t="s">
        <v>479</v>
      </c>
      <c r="G85" s="197" t="s">
        <v>480</v>
      </c>
      <c r="H85" s="197" t="s">
        <v>481</v>
      </c>
      <c r="I85" s="211" t="s">
        <v>543</v>
      </c>
      <c r="J85" s="211" t="s">
        <v>544</v>
      </c>
      <c r="K85" s="211" t="s">
        <v>547</v>
      </c>
      <c r="L85" s="211" t="s">
        <v>548</v>
      </c>
      <c r="M85" s="197" t="s">
        <v>86</v>
      </c>
      <c r="N85" s="197" t="s">
        <v>85</v>
      </c>
      <c r="O85" s="204"/>
      <c r="P85" s="204"/>
      <c r="Q85" s="217"/>
      <c r="R85" s="284">
        <v>0</v>
      </c>
      <c r="S85" s="285">
        <v>0</v>
      </c>
      <c r="T85" s="207" t="str">
        <f>IF(CampList[[#This Row],[HH]]&gt;0,CampList[[#This Row],[Total]]/CampList[[#This Row],[HH]],"NA")</f>
        <v>NA</v>
      </c>
      <c r="U85" s="199" t="s">
        <v>464</v>
      </c>
      <c r="V85" s="199" t="s">
        <v>994</v>
      </c>
      <c r="W85" s="199" t="s">
        <v>507</v>
      </c>
      <c r="X85" s="199"/>
      <c r="Y85" s="218"/>
      <c r="Z85" s="209"/>
      <c r="AA85" s="223"/>
      <c r="AB85" s="226"/>
      <c r="AC85" s="203" t="s">
        <v>541</v>
      </c>
      <c r="AD85" s="199" t="str">
        <f ca="1">IFERROR(OFFSET(DistanceToCamp[Nearest Town],MATCH(CampList[[#This Row],[CP_Pcode]],DistanceToCamp[CP_Pcode],0)-1,0,1,1),"")</f>
        <v/>
      </c>
      <c r="AE85" s="212" t="str">
        <f ca="1">IFERROR(OFFSET(DistanceToCamp[distance],MATCH(CampList[[#This Row],[CP_Pcode]],DistanceToCamp[CP_Pcode],0)-1,0,1,1),"")</f>
        <v/>
      </c>
      <c r="AF85" s="213" t="str">
        <f ca="1">IFERROR(INT(CampList[[#This Row],[Distance]]/5)+1,"")</f>
        <v/>
      </c>
    </row>
    <row r="86" spans="2:32" ht="15.75" hidden="1" customHeight="1" x14ac:dyDescent="0.25">
      <c r="B86" s="203" t="s">
        <v>775</v>
      </c>
      <c r="C86" s="197" t="s">
        <v>378</v>
      </c>
      <c r="D86" s="197" t="s">
        <v>478</v>
      </c>
      <c r="E86" s="197" t="s">
        <v>180</v>
      </c>
      <c r="F86" s="197" t="s">
        <v>479</v>
      </c>
      <c r="G86" s="197" t="s">
        <v>480</v>
      </c>
      <c r="H86" s="197" t="s">
        <v>481</v>
      </c>
      <c r="I86" s="211" t="s">
        <v>543</v>
      </c>
      <c r="J86" s="211" t="s">
        <v>544</v>
      </c>
      <c r="K86" s="211" t="s">
        <v>547</v>
      </c>
      <c r="L86" s="211" t="s">
        <v>548</v>
      </c>
      <c r="M86" s="197" t="s">
        <v>84</v>
      </c>
      <c r="N86" s="197" t="s">
        <v>83</v>
      </c>
      <c r="O86" s="204">
        <v>96.316210999999996</v>
      </c>
      <c r="P86" s="204">
        <v>25.619221</v>
      </c>
      <c r="Q86" s="217"/>
      <c r="R86" s="284">
        <v>0</v>
      </c>
      <c r="S86" s="285">
        <v>0</v>
      </c>
      <c r="T86" s="207" t="str">
        <f>IF(CampList[[#This Row],[HH]]&gt;0,CampList[[#This Row],[Total]]/CampList[[#This Row],[HH]],"NA")</f>
        <v>NA</v>
      </c>
      <c r="U86" s="199" t="s">
        <v>464</v>
      </c>
      <c r="V86" s="199" t="s">
        <v>994</v>
      </c>
      <c r="W86" s="199" t="s">
        <v>507</v>
      </c>
      <c r="X86" s="199"/>
      <c r="Y86" s="218"/>
      <c r="Z86" s="209"/>
      <c r="AA86" s="223"/>
      <c r="AB86" s="226"/>
      <c r="AC86" s="203" t="s">
        <v>541</v>
      </c>
      <c r="AD86" s="199" t="str">
        <f ca="1">IFERROR(OFFSET(DistanceToCamp[Nearest Town],MATCH(CampList[[#This Row],[CP_Pcode]],DistanceToCamp[CP_Pcode],0)-1,0,1,1),"")</f>
        <v/>
      </c>
      <c r="AE86" s="212" t="str">
        <f ca="1">IFERROR(OFFSET(DistanceToCamp[distance],MATCH(CampList[[#This Row],[CP_Pcode]],DistanceToCamp[CP_Pcode],0)-1,0,1,1),"")</f>
        <v/>
      </c>
      <c r="AF86" s="213" t="str">
        <f ca="1">IFERROR(INT(CampList[[#This Row],[Distance]]/5)+1,"")</f>
        <v/>
      </c>
    </row>
    <row r="87" spans="2:32" ht="15.75" hidden="1" customHeight="1" x14ac:dyDescent="0.25">
      <c r="B87" s="203" t="s">
        <v>775</v>
      </c>
      <c r="C87" s="197" t="s">
        <v>378</v>
      </c>
      <c r="D87" s="197" t="s">
        <v>478</v>
      </c>
      <c r="E87" s="197" t="s">
        <v>180</v>
      </c>
      <c r="F87" s="197" t="s">
        <v>479</v>
      </c>
      <c r="G87" s="197" t="s">
        <v>480</v>
      </c>
      <c r="H87" s="197" t="s">
        <v>481</v>
      </c>
      <c r="I87" s="197"/>
      <c r="J87" s="197"/>
      <c r="K87" s="197"/>
      <c r="L87" s="197"/>
      <c r="M87" s="197" t="s">
        <v>70</v>
      </c>
      <c r="N87" s="197" t="s">
        <v>69</v>
      </c>
      <c r="O87" s="204"/>
      <c r="P87" s="204"/>
      <c r="Q87" s="217"/>
      <c r="R87" s="284"/>
      <c r="S87" s="285"/>
      <c r="T87" s="207" t="str">
        <f>IF(CampList[[#This Row],[HH]]&gt;0,CampList[[#This Row],[Total]]/CampList[[#This Row],[HH]],"NA")</f>
        <v>NA</v>
      </c>
      <c r="U87" s="199" t="s">
        <v>464</v>
      </c>
      <c r="V87" s="199" t="s">
        <v>994</v>
      </c>
      <c r="W87" s="199" t="s">
        <v>507</v>
      </c>
      <c r="X87" s="199"/>
      <c r="Y87" s="218"/>
      <c r="Z87" s="209"/>
      <c r="AA87" s="223"/>
      <c r="AB87" s="226"/>
      <c r="AC87" s="203" t="s">
        <v>541</v>
      </c>
      <c r="AD87" s="199" t="str">
        <f ca="1">IFERROR(OFFSET(DistanceToCamp[Nearest Town],MATCH(CampList[[#This Row],[CP_Pcode]],DistanceToCamp[CP_Pcode],0)-1,0,1,1),"")</f>
        <v/>
      </c>
      <c r="AE87" s="212" t="str">
        <f ca="1">IFERROR(OFFSET(DistanceToCamp[distance],MATCH(CampList[[#This Row],[CP_Pcode]],DistanceToCamp[CP_Pcode],0)-1,0,1,1),"")</f>
        <v/>
      </c>
      <c r="AF87" s="213" t="str">
        <f ca="1">IFERROR(INT(CampList[[#This Row],[Distance]]/5)+1,"")</f>
        <v/>
      </c>
    </row>
    <row r="88" spans="2:32" ht="15.75" hidden="1" customHeight="1" x14ac:dyDescent="0.25">
      <c r="B88" s="203" t="s">
        <v>775</v>
      </c>
      <c r="C88" s="197" t="s">
        <v>378</v>
      </c>
      <c r="D88" s="197" t="s">
        <v>478</v>
      </c>
      <c r="E88" s="197" t="s">
        <v>180</v>
      </c>
      <c r="F88" s="197" t="s">
        <v>479</v>
      </c>
      <c r="G88" s="197" t="s">
        <v>480</v>
      </c>
      <c r="H88" s="197" t="s">
        <v>481</v>
      </c>
      <c r="I88" s="211" t="s">
        <v>543</v>
      </c>
      <c r="J88" s="211" t="s">
        <v>544</v>
      </c>
      <c r="K88" s="211" t="s">
        <v>547</v>
      </c>
      <c r="L88" s="211" t="s">
        <v>548</v>
      </c>
      <c r="M88" s="197" t="s">
        <v>104</v>
      </c>
      <c r="N88" s="197" t="s">
        <v>103</v>
      </c>
      <c r="O88" s="204"/>
      <c r="P88" s="204"/>
      <c r="Q88" s="217"/>
      <c r="R88" s="284">
        <v>0</v>
      </c>
      <c r="S88" s="285">
        <v>0</v>
      </c>
      <c r="T88" s="207" t="str">
        <f>IF(CampList[[#This Row],[HH]]&gt;0,CampList[[#This Row],[Total]]/CampList[[#This Row],[HH]],"NA")</f>
        <v>NA</v>
      </c>
      <c r="U88" s="199" t="s">
        <v>464</v>
      </c>
      <c r="V88" s="199" t="s">
        <v>994</v>
      </c>
      <c r="W88" s="199" t="s">
        <v>507</v>
      </c>
      <c r="X88" s="199"/>
      <c r="Y88" s="218"/>
      <c r="Z88" s="209"/>
      <c r="AA88" s="223"/>
      <c r="AB88" s="226"/>
      <c r="AC88" s="203" t="s">
        <v>541</v>
      </c>
      <c r="AD88" s="199" t="str">
        <f ca="1">IFERROR(OFFSET(DistanceToCamp[Nearest Town],MATCH(CampList[[#This Row],[CP_Pcode]],DistanceToCamp[CP_Pcode],0)-1,0,1,1),"")</f>
        <v/>
      </c>
      <c r="AE88" s="212" t="str">
        <f ca="1">IFERROR(OFFSET(DistanceToCamp[distance],MATCH(CampList[[#This Row],[CP_Pcode]],DistanceToCamp[CP_Pcode],0)-1,0,1,1),"")</f>
        <v/>
      </c>
      <c r="AF88" s="213" t="str">
        <f ca="1">IFERROR(INT(CampList[[#This Row],[Distance]]/5)+1,"")</f>
        <v/>
      </c>
    </row>
    <row r="89" spans="2:32" ht="15.75" hidden="1" customHeight="1" x14ac:dyDescent="0.25">
      <c r="B89" s="203" t="s">
        <v>775</v>
      </c>
      <c r="C89" s="197" t="s">
        <v>378</v>
      </c>
      <c r="D89" s="197" t="s">
        <v>478</v>
      </c>
      <c r="E89" s="197" t="s">
        <v>180</v>
      </c>
      <c r="F89" s="197" t="s">
        <v>479</v>
      </c>
      <c r="G89" s="197" t="s">
        <v>480</v>
      </c>
      <c r="H89" s="197" t="s">
        <v>481</v>
      </c>
      <c r="I89" s="211" t="s">
        <v>543</v>
      </c>
      <c r="J89" s="211" t="s">
        <v>544</v>
      </c>
      <c r="K89" s="211" t="s">
        <v>547</v>
      </c>
      <c r="L89" s="211" t="s">
        <v>548</v>
      </c>
      <c r="M89" s="197" t="s">
        <v>68</v>
      </c>
      <c r="N89" s="197" t="s">
        <v>67</v>
      </c>
      <c r="O89" s="204"/>
      <c r="P89" s="204"/>
      <c r="Q89" s="217"/>
      <c r="R89" s="284">
        <v>0</v>
      </c>
      <c r="S89" s="285">
        <v>0</v>
      </c>
      <c r="T89" s="207" t="str">
        <f>IF(CampList[[#This Row],[HH]]&gt;0,CampList[[#This Row],[Total]]/CampList[[#This Row],[HH]],"NA")</f>
        <v>NA</v>
      </c>
      <c r="U89" s="199" t="s">
        <v>464</v>
      </c>
      <c r="V89" s="199" t="s">
        <v>994</v>
      </c>
      <c r="W89" s="199" t="s">
        <v>507</v>
      </c>
      <c r="X89" s="199"/>
      <c r="Y89" s="218"/>
      <c r="Z89" s="209"/>
      <c r="AA89" s="223"/>
      <c r="AB89" s="226"/>
      <c r="AC89" s="203" t="s">
        <v>541</v>
      </c>
      <c r="AD89" s="199" t="str">
        <f ca="1">IFERROR(OFFSET(DistanceToCamp[Nearest Town],MATCH(CampList[[#This Row],[CP_Pcode]],DistanceToCamp[CP_Pcode],0)-1,0,1,1),"")</f>
        <v/>
      </c>
      <c r="AE89" s="212" t="str">
        <f ca="1">IFERROR(OFFSET(DistanceToCamp[distance],MATCH(CampList[[#This Row],[CP_Pcode]],DistanceToCamp[CP_Pcode],0)-1,0,1,1),"")</f>
        <v/>
      </c>
      <c r="AF89" s="213" t="str">
        <f ca="1">IFERROR(INT(CampList[[#This Row],[Distance]]/5)+1,"")</f>
        <v/>
      </c>
    </row>
    <row r="90" spans="2:32" ht="15.75" customHeight="1" x14ac:dyDescent="0.25">
      <c r="B90" s="203" t="s">
        <v>1740</v>
      </c>
      <c r="C90" s="198" t="s">
        <v>378</v>
      </c>
      <c r="D90" s="198" t="s">
        <v>478</v>
      </c>
      <c r="E90" s="198" t="s">
        <v>237</v>
      </c>
      <c r="F90" s="198" t="s">
        <v>484</v>
      </c>
      <c r="G90" s="198" t="s">
        <v>309</v>
      </c>
      <c r="H90" s="198" t="s">
        <v>485</v>
      </c>
      <c r="I90" s="198" t="s">
        <v>695</v>
      </c>
      <c r="J90" s="216" t="s">
        <v>696</v>
      </c>
      <c r="K90" s="198" t="s">
        <v>697</v>
      </c>
      <c r="L90" s="198">
        <v>165790</v>
      </c>
      <c r="M90" s="198" t="s">
        <v>321</v>
      </c>
      <c r="N90" s="198" t="s">
        <v>320</v>
      </c>
      <c r="O90" s="206">
        <v>97.715230000000005</v>
      </c>
      <c r="P90" s="206">
        <v>24.980250000000002</v>
      </c>
      <c r="Q90" s="217">
        <v>984</v>
      </c>
      <c r="R90" s="274">
        <v>414</v>
      </c>
      <c r="S90" s="274">
        <v>1551</v>
      </c>
      <c r="T90" s="207">
        <f>IF(CampList[[#This Row],[HH]]&gt;0,CampList[[#This Row],[Total]]/CampList[[#This Row],[HH]],"NA")</f>
        <v>3.7463768115942031</v>
      </c>
      <c r="U90" s="183" t="s">
        <v>466</v>
      </c>
      <c r="V90" s="199" t="s">
        <v>994</v>
      </c>
      <c r="W90" s="183" t="s">
        <v>507</v>
      </c>
      <c r="X90" s="183" t="s">
        <v>784</v>
      </c>
      <c r="Y90" s="313">
        <v>40695</v>
      </c>
      <c r="Z90" s="217" t="s">
        <v>935</v>
      </c>
      <c r="AA90" s="198" t="s">
        <v>774</v>
      </c>
      <c r="AB90" s="210">
        <v>43405</v>
      </c>
      <c r="AC90" s="219" t="s">
        <v>1822</v>
      </c>
      <c r="AD90" s="220" t="str">
        <f ca="1">IFERROR(OFFSET(DistanceToCamp[Nearest Town],MATCH(CampList[[#This Row],[CP_Pcode]],DistanceToCamp[CP_Pcode],0)-1,0,1,1),"")</f>
        <v>Laiza town</v>
      </c>
      <c r="AE90" s="212">
        <f ca="1">IFERROR(OFFSET(DistanceToCamp[distance],MATCH(CampList[[#This Row],[CP_Pcode]],DistanceToCamp[CP_Pcode],0)-1,0,1,1),"")</f>
        <v>28.888856599204185</v>
      </c>
      <c r="AF90" s="221">
        <f ca="1">IFERROR(INT(CampList[[#This Row],[Distance]]/5)+1,"")</f>
        <v>6</v>
      </c>
    </row>
    <row r="91" spans="2:32" ht="15.75" hidden="1" customHeight="1" x14ac:dyDescent="0.25">
      <c r="B91" s="203" t="s">
        <v>775</v>
      </c>
      <c r="C91" s="197" t="s">
        <v>378</v>
      </c>
      <c r="D91" s="197" t="s">
        <v>478</v>
      </c>
      <c r="E91" s="197" t="s">
        <v>180</v>
      </c>
      <c r="F91" s="197" t="s">
        <v>479</v>
      </c>
      <c r="G91" s="197" t="s">
        <v>480</v>
      </c>
      <c r="H91" s="197" t="s">
        <v>481</v>
      </c>
      <c r="I91" s="211" t="s">
        <v>543</v>
      </c>
      <c r="J91" s="211" t="s">
        <v>544</v>
      </c>
      <c r="K91" s="211" t="s">
        <v>639</v>
      </c>
      <c r="L91" s="211" t="s">
        <v>640</v>
      </c>
      <c r="M91" s="197" t="s">
        <v>50</v>
      </c>
      <c r="N91" s="197" t="s">
        <v>49</v>
      </c>
      <c r="O91" s="204"/>
      <c r="P91" s="204"/>
      <c r="Q91" s="217"/>
      <c r="R91" s="284"/>
      <c r="S91" s="285"/>
      <c r="T91" s="207" t="str">
        <f>IF(CampList[[#This Row],[HH]]&gt;0,CampList[[#This Row],[Total]]/CampList[[#This Row],[HH]],"NA")</f>
        <v>NA</v>
      </c>
      <c r="U91" s="199" t="s">
        <v>464</v>
      </c>
      <c r="V91" s="199" t="s">
        <v>994</v>
      </c>
      <c r="W91" s="199" t="s">
        <v>507</v>
      </c>
      <c r="X91" s="199"/>
      <c r="Y91" s="218"/>
      <c r="Z91" s="209"/>
      <c r="AA91" s="223"/>
      <c r="AB91" s="226"/>
      <c r="AC91" s="203" t="s">
        <v>541</v>
      </c>
      <c r="AD91" s="199" t="str">
        <f ca="1">IFERROR(OFFSET(DistanceToCamp[Nearest Town],MATCH(CampList[[#This Row],[CP_Pcode]],DistanceToCamp[CP_Pcode],0)-1,0,1,1),"")</f>
        <v/>
      </c>
      <c r="AE91" s="212" t="str">
        <f ca="1">IFERROR(OFFSET(DistanceToCamp[distance],MATCH(CampList[[#This Row],[CP_Pcode]],DistanceToCamp[CP_Pcode],0)-1,0,1,1),"")</f>
        <v/>
      </c>
      <c r="AF91" s="213" t="str">
        <f ca="1">IFERROR(INT(CampList[[#This Row],[Distance]]/5)+1,"")</f>
        <v/>
      </c>
    </row>
    <row r="92" spans="2:32" ht="15.75" hidden="1" customHeight="1" x14ac:dyDescent="0.25">
      <c r="B92" s="203" t="s">
        <v>775</v>
      </c>
      <c r="C92" s="197" t="s">
        <v>378</v>
      </c>
      <c r="D92" s="197" t="s">
        <v>478</v>
      </c>
      <c r="E92" s="197" t="s">
        <v>180</v>
      </c>
      <c r="F92" s="197" t="s">
        <v>479</v>
      </c>
      <c r="G92" s="197" t="s">
        <v>480</v>
      </c>
      <c r="H92" s="197" t="s">
        <v>481</v>
      </c>
      <c r="I92" s="211" t="s">
        <v>543</v>
      </c>
      <c r="J92" s="211" t="s">
        <v>544</v>
      </c>
      <c r="K92" s="211" t="s">
        <v>641</v>
      </c>
      <c r="L92" s="211" t="s">
        <v>642</v>
      </c>
      <c r="M92" s="197" t="s">
        <v>66</v>
      </c>
      <c r="N92" s="197" t="s">
        <v>65</v>
      </c>
      <c r="O92" s="204"/>
      <c r="P92" s="204"/>
      <c r="Q92" s="217"/>
      <c r="R92" s="284">
        <v>0</v>
      </c>
      <c r="S92" s="285">
        <v>0</v>
      </c>
      <c r="T92" s="207" t="str">
        <f>IF(CampList[[#This Row],[HH]]&gt;0,CampList[[#This Row],[Total]]/CampList[[#This Row],[HH]],"NA")</f>
        <v>NA</v>
      </c>
      <c r="U92" s="199" t="s">
        <v>464</v>
      </c>
      <c r="V92" s="199" t="s">
        <v>994</v>
      </c>
      <c r="W92" s="199" t="s">
        <v>507</v>
      </c>
      <c r="X92" s="199"/>
      <c r="Y92" s="218"/>
      <c r="Z92" s="209"/>
      <c r="AA92" s="223"/>
      <c r="AB92" s="226"/>
      <c r="AC92" s="203" t="s">
        <v>541</v>
      </c>
      <c r="AD92" s="199" t="str">
        <f ca="1">IFERROR(OFFSET(DistanceToCamp[Nearest Town],MATCH(CampList[[#This Row],[CP_Pcode]],DistanceToCamp[CP_Pcode],0)-1,0,1,1),"")</f>
        <v/>
      </c>
      <c r="AE92" s="212" t="str">
        <f ca="1">IFERROR(OFFSET(DistanceToCamp[distance],MATCH(CampList[[#This Row],[CP_Pcode]],DistanceToCamp[CP_Pcode],0)-1,0,1,1),"")</f>
        <v/>
      </c>
      <c r="AF92" s="213" t="str">
        <f ca="1">IFERROR(INT(CampList[[#This Row],[Distance]]/5)+1,"")</f>
        <v/>
      </c>
    </row>
    <row r="93" spans="2:32" ht="15.75" hidden="1" customHeight="1" x14ac:dyDescent="0.25">
      <c r="B93" s="203" t="s">
        <v>775</v>
      </c>
      <c r="C93" s="197" t="s">
        <v>378</v>
      </c>
      <c r="D93" s="197" t="s">
        <v>478</v>
      </c>
      <c r="E93" s="197" t="s">
        <v>180</v>
      </c>
      <c r="F93" s="197" t="s">
        <v>479</v>
      </c>
      <c r="G93" s="197" t="s">
        <v>480</v>
      </c>
      <c r="H93" s="197" t="s">
        <v>481</v>
      </c>
      <c r="I93" s="211" t="s">
        <v>543</v>
      </c>
      <c r="J93" s="211" t="s">
        <v>544</v>
      </c>
      <c r="K93" s="211" t="s">
        <v>641</v>
      </c>
      <c r="L93" s="211" t="s">
        <v>642</v>
      </c>
      <c r="M93" s="197" t="s">
        <v>54</v>
      </c>
      <c r="N93" s="197" t="s">
        <v>53</v>
      </c>
      <c r="O93" s="204">
        <v>96.310928000000004</v>
      </c>
      <c r="P93" s="204">
        <v>25.609179999999999</v>
      </c>
      <c r="Q93" s="217"/>
      <c r="R93" s="284">
        <v>0</v>
      </c>
      <c r="S93" s="285">
        <v>0</v>
      </c>
      <c r="T93" s="207" t="str">
        <f>IF(CampList[[#This Row],[HH]]&gt;0,CampList[[#This Row],[Total]]/CampList[[#This Row],[HH]],"NA")</f>
        <v>NA</v>
      </c>
      <c r="U93" s="199" t="s">
        <v>464</v>
      </c>
      <c r="V93" s="199" t="s">
        <v>994</v>
      </c>
      <c r="W93" s="199" t="s">
        <v>507</v>
      </c>
      <c r="X93" s="199"/>
      <c r="Y93" s="218"/>
      <c r="Z93" s="209"/>
      <c r="AA93" s="223"/>
      <c r="AB93" s="226"/>
      <c r="AC93" s="203" t="s">
        <v>541</v>
      </c>
      <c r="AD93" s="199" t="str">
        <f ca="1">IFERROR(OFFSET(DistanceToCamp[Nearest Town],MATCH(CampList[[#This Row],[CP_Pcode]],DistanceToCamp[CP_Pcode],0)-1,0,1,1),"")</f>
        <v/>
      </c>
      <c r="AE93" s="212" t="str">
        <f ca="1">IFERROR(OFFSET(DistanceToCamp[distance],MATCH(CampList[[#This Row],[CP_Pcode]],DistanceToCamp[CP_Pcode],0)-1,0,1,1),"")</f>
        <v/>
      </c>
      <c r="AF93" s="213" t="str">
        <f ca="1">IFERROR(INT(CampList[[#This Row],[Distance]]/5)+1,"")</f>
        <v/>
      </c>
    </row>
    <row r="94" spans="2:32" ht="15.75" hidden="1" customHeight="1" x14ac:dyDescent="0.25">
      <c r="B94" s="203" t="s">
        <v>775</v>
      </c>
      <c r="C94" s="197" t="s">
        <v>378</v>
      </c>
      <c r="D94" s="197" t="s">
        <v>478</v>
      </c>
      <c r="E94" s="197" t="s">
        <v>180</v>
      </c>
      <c r="F94" s="197" t="s">
        <v>479</v>
      </c>
      <c r="G94" s="197" t="s">
        <v>480</v>
      </c>
      <c r="H94" s="197" t="s">
        <v>481</v>
      </c>
      <c r="I94" s="211" t="s">
        <v>543</v>
      </c>
      <c r="J94" s="211" t="s">
        <v>544</v>
      </c>
      <c r="K94" s="211" t="s">
        <v>641</v>
      </c>
      <c r="L94" s="211" t="s">
        <v>642</v>
      </c>
      <c r="M94" s="197" t="s">
        <v>116</v>
      </c>
      <c r="N94" s="197" t="s">
        <v>115</v>
      </c>
      <c r="O94" s="204"/>
      <c r="P94" s="204"/>
      <c r="Q94" s="217"/>
      <c r="R94" s="284">
        <v>0</v>
      </c>
      <c r="S94" s="285">
        <v>0</v>
      </c>
      <c r="T94" s="207" t="str">
        <f>IF(CampList[[#This Row],[HH]]&gt;0,CampList[[#This Row],[Total]]/CampList[[#This Row],[HH]],"NA")</f>
        <v>NA</v>
      </c>
      <c r="U94" s="199" t="s">
        <v>464</v>
      </c>
      <c r="V94" s="199" t="s">
        <v>994</v>
      </c>
      <c r="W94" s="199" t="s">
        <v>507</v>
      </c>
      <c r="X94" s="199"/>
      <c r="Y94" s="218"/>
      <c r="Z94" s="209"/>
      <c r="AA94" s="223"/>
      <c r="AB94" s="226"/>
      <c r="AC94" s="203" t="s">
        <v>541</v>
      </c>
      <c r="AD94" s="199" t="str">
        <f ca="1">IFERROR(OFFSET(DistanceToCamp[Nearest Town],MATCH(CampList[[#This Row],[CP_Pcode]],DistanceToCamp[CP_Pcode],0)-1,0,1,1),"")</f>
        <v/>
      </c>
      <c r="AE94" s="212" t="str">
        <f ca="1">IFERROR(OFFSET(DistanceToCamp[distance],MATCH(CampList[[#This Row],[CP_Pcode]],DistanceToCamp[CP_Pcode],0)-1,0,1,1),"")</f>
        <v/>
      </c>
      <c r="AF94" s="213" t="str">
        <f ca="1">IFERROR(INT(CampList[[#This Row],[Distance]]/5)+1,"")</f>
        <v/>
      </c>
    </row>
    <row r="95" spans="2:32" ht="15.75" hidden="1" customHeight="1" x14ac:dyDescent="0.25">
      <c r="B95" s="203" t="s">
        <v>775</v>
      </c>
      <c r="C95" s="197" t="s">
        <v>378</v>
      </c>
      <c r="D95" s="197" t="s">
        <v>478</v>
      </c>
      <c r="E95" s="197" t="s">
        <v>180</v>
      </c>
      <c r="F95" s="197" t="s">
        <v>479</v>
      </c>
      <c r="G95" s="197" t="s">
        <v>480</v>
      </c>
      <c r="H95" s="197" t="s">
        <v>481</v>
      </c>
      <c r="I95" s="211" t="s">
        <v>543</v>
      </c>
      <c r="J95" s="211" t="s">
        <v>544</v>
      </c>
      <c r="K95" s="211" t="s">
        <v>641</v>
      </c>
      <c r="L95" s="211" t="s">
        <v>642</v>
      </c>
      <c r="M95" s="197" t="s">
        <v>80</v>
      </c>
      <c r="N95" s="197" t="s">
        <v>79</v>
      </c>
      <c r="O95" s="204"/>
      <c r="P95" s="204"/>
      <c r="Q95" s="217"/>
      <c r="R95" s="284">
        <v>0</v>
      </c>
      <c r="S95" s="285">
        <v>0</v>
      </c>
      <c r="T95" s="207" t="str">
        <f>IF(CampList[[#This Row],[HH]]&gt;0,CampList[[#This Row],[Total]]/CampList[[#This Row],[HH]],"NA")</f>
        <v>NA</v>
      </c>
      <c r="U95" s="199" t="s">
        <v>464</v>
      </c>
      <c r="V95" s="199" t="s">
        <v>994</v>
      </c>
      <c r="W95" s="199" t="s">
        <v>507</v>
      </c>
      <c r="X95" s="199"/>
      <c r="Y95" s="218"/>
      <c r="Z95" s="209"/>
      <c r="AA95" s="223"/>
      <c r="AB95" s="226"/>
      <c r="AC95" s="203" t="s">
        <v>541</v>
      </c>
      <c r="AD95" s="199" t="str">
        <f ca="1">IFERROR(OFFSET(DistanceToCamp[Nearest Town],MATCH(CampList[[#This Row],[CP_Pcode]],DistanceToCamp[CP_Pcode],0)-1,0,1,1),"")</f>
        <v/>
      </c>
      <c r="AE95" s="212" t="str">
        <f ca="1">IFERROR(OFFSET(DistanceToCamp[distance],MATCH(CampList[[#This Row],[CP_Pcode]],DistanceToCamp[CP_Pcode],0)-1,0,1,1),"")</f>
        <v/>
      </c>
      <c r="AF95" s="213" t="str">
        <f ca="1">IFERROR(INT(CampList[[#This Row],[Distance]]/5)+1,"")</f>
        <v/>
      </c>
    </row>
    <row r="96" spans="2:32" ht="15.75" hidden="1" customHeight="1" x14ac:dyDescent="0.25">
      <c r="B96" s="203" t="s">
        <v>775</v>
      </c>
      <c r="C96" s="197" t="s">
        <v>378</v>
      </c>
      <c r="D96" s="197" t="s">
        <v>478</v>
      </c>
      <c r="E96" s="197" t="s">
        <v>180</v>
      </c>
      <c r="F96" s="197" t="s">
        <v>479</v>
      </c>
      <c r="G96" s="197" t="s">
        <v>480</v>
      </c>
      <c r="H96" s="197" t="s">
        <v>481</v>
      </c>
      <c r="I96" s="211" t="s">
        <v>543</v>
      </c>
      <c r="J96" s="211" t="s">
        <v>544</v>
      </c>
      <c r="K96" s="211" t="s">
        <v>641</v>
      </c>
      <c r="L96" s="211" t="s">
        <v>642</v>
      </c>
      <c r="M96" s="197" t="s">
        <v>138</v>
      </c>
      <c r="N96" s="197" t="s">
        <v>137</v>
      </c>
      <c r="O96" s="204"/>
      <c r="P96" s="204"/>
      <c r="Q96" s="217"/>
      <c r="R96" s="284">
        <v>0</v>
      </c>
      <c r="S96" s="285">
        <v>0</v>
      </c>
      <c r="T96" s="207" t="str">
        <f>IF(CampList[[#This Row],[HH]]&gt;0,CampList[[#This Row],[Total]]/CampList[[#This Row],[HH]],"NA")</f>
        <v>NA</v>
      </c>
      <c r="U96" s="199" t="s">
        <v>464</v>
      </c>
      <c r="V96" s="199" t="s">
        <v>994</v>
      </c>
      <c r="W96" s="199" t="s">
        <v>507</v>
      </c>
      <c r="X96" s="199"/>
      <c r="Y96" s="218"/>
      <c r="Z96" s="209"/>
      <c r="AA96" s="223"/>
      <c r="AB96" s="226"/>
      <c r="AC96" s="203" t="s">
        <v>541</v>
      </c>
      <c r="AD96" s="199" t="str">
        <f ca="1">IFERROR(OFFSET(DistanceToCamp[Nearest Town],MATCH(CampList[[#This Row],[CP_Pcode]],DistanceToCamp[CP_Pcode],0)-1,0,1,1),"")</f>
        <v/>
      </c>
      <c r="AE96" s="212" t="str">
        <f ca="1">IFERROR(OFFSET(DistanceToCamp[distance],MATCH(CampList[[#This Row],[CP_Pcode]],DistanceToCamp[CP_Pcode],0)-1,0,1,1),"")</f>
        <v/>
      </c>
      <c r="AF96" s="213" t="str">
        <f ca="1">IFERROR(INT(CampList[[#This Row],[Distance]]/5)+1,"")</f>
        <v/>
      </c>
    </row>
    <row r="97" spans="2:32" ht="15.75" hidden="1" customHeight="1" x14ac:dyDescent="0.25">
      <c r="B97" s="203" t="s">
        <v>775</v>
      </c>
      <c r="C97" s="197" t="s">
        <v>378</v>
      </c>
      <c r="D97" s="197" t="s">
        <v>478</v>
      </c>
      <c r="E97" s="197" t="s">
        <v>180</v>
      </c>
      <c r="F97" s="197" t="s">
        <v>479</v>
      </c>
      <c r="G97" s="197" t="s">
        <v>480</v>
      </c>
      <c r="H97" s="197" t="s">
        <v>481</v>
      </c>
      <c r="I97" s="211" t="s">
        <v>543</v>
      </c>
      <c r="J97" s="211" t="s">
        <v>544</v>
      </c>
      <c r="K97" s="211" t="s">
        <v>641</v>
      </c>
      <c r="L97" s="211" t="s">
        <v>642</v>
      </c>
      <c r="M97" s="197" t="s">
        <v>102</v>
      </c>
      <c r="N97" s="197" t="s">
        <v>101</v>
      </c>
      <c r="O97" s="204"/>
      <c r="P97" s="204"/>
      <c r="Q97" s="217"/>
      <c r="R97" s="284">
        <v>0</v>
      </c>
      <c r="S97" s="285">
        <v>0</v>
      </c>
      <c r="T97" s="207" t="str">
        <f>IF(CampList[[#This Row],[HH]]&gt;0,CampList[[#This Row],[Total]]/CampList[[#This Row],[HH]],"NA")</f>
        <v>NA</v>
      </c>
      <c r="U97" s="199" t="s">
        <v>464</v>
      </c>
      <c r="V97" s="199" t="s">
        <v>994</v>
      </c>
      <c r="W97" s="199" t="s">
        <v>507</v>
      </c>
      <c r="X97" s="199"/>
      <c r="Y97" s="218"/>
      <c r="Z97" s="209"/>
      <c r="AA97" s="223"/>
      <c r="AB97" s="226"/>
      <c r="AC97" s="203" t="s">
        <v>541</v>
      </c>
      <c r="AD97" s="199" t="str">
        <f ca="1">IFERROR(OFFSET(DistanceToCamp[Nearest Town],MATCH(CampList[[#This Row],[CP_Pcode]],DistanceToCamp[CP_Pcode],0)-1,0,1,1),"")</f>
        <v/>
      </c>
      <c r="AE97" s="212" t="str">
        <f ca="1">IFERROR(OFFSET(DistanceToCamp[distance],MATCH(CampList[[#This Row],[CP_Pcode]],DistanceToCamp[CP_Pcode],0)-1,0,1,1),"")</f>
        <v/>
      </c>
      <c r="AF97" s="213" t="str">
        <f ca="1">IFERROR(INT(CampList[[#This Row],[Distance]]/5)+1,"")</f>
        <v/>
      </c>
    </row>
    <row r="98" spans="2:32" ht="15.75" hidden="1" customHeight="1" x14ac:dyDescent="0.25">
      <c r="B98" s="203" t="s">
        <v>775</v>
      </c>
      <c r="C98" s="197" t="s">
        <v>378</v>
      </c>
      <c r="D98" s="197" t="s">
        <v>478</v>
      </c>
      <c r="E98" s="197" t="s">
        <v>180</v>
      </c>
      <c r="F98" s="197" t="s">
        <v>479</v>
      </c>
      <c r="G98" s="197" t="s">
        <v>480</v>
      </c>
      <c r="H98" s="197" t="s">
        <v>481</v>
      </c>
      <c r="I98" s="211" t="s">
        <v>543</v>
      </c>
      <c r="J98" s="211" t="s">
        <v>544</v>
      </c>
      <c r="K98" s="211" t="s">
        <v>641</v>
      </c>
      <c r="L98" s="211" t="s">
        <v>642</v>
      </c>
      <c r="M98" s="197" t="s">
        <v>106</v>
      </c>
      <c r="N98" s="197" t="s">
        <v>105</v>
      </c>
      <c r="O98" s="204"/>
      <c r="P98" s="204"/>
      <c r="Q98" s="217"/>
      <c r="R98" s="284">
        <v>0</v>
      </c>
      <c r="S98" s="285">
        <v>0</v>
      </c>
      <c r="T98" s="207" t="str">
        <f>IF(CampList[[#This Row],[HH]]&gt;0,CampList[[#This Row],[Total]]/CampList[[#This Row],[HH]],"NA")</f>
        <v>NA</v>
      </c>
      <c r="U98" s="199" t="s">
        <v>464</v>
      </c>
      <c r="V98" s="199" t="s">
        <v>994</v>
      </c>
      <c r="W98" s="199" t="s">
        <v>507</v>
      </c>
      <c r="X98" s="199"/>
      <c r="Y98" s="218"/>
      <c r="Z98" s="209"/>
      <c r="AA98" s="223"/>
      <c r="AB98" s="226"/>
      <c r="AC98" s="203" t="s">
        <v>541</v>
      </c>
      <c r="AD98" s="199" t="str">
        <f ca="1">IFERROR(OFFSET(DistanceToCamp[Nearest Town],MATCH(CampList[[#This Row],[CP_Pcode]],DistanceToCamp[CP_Pcode],0)-1,0,1,1),"")</f>
        <v/>
      </c>
      <c r="AE98" s="212" t="str">
        <f ca="1">IFERROR(OFFSET(DistanceToCamp[distance],MATCH(CampList[[#This Row],[CP_Pcode]],DistanceToCamp[CP_Pcode],0)-1,0,1,1),"")</f>
        <v/>
      </c>
      <c r="AF98" s="213" t="str">
        <f ca="1">IFERROR(INT(CampList[[#This Row],[Distance]]/5)+1,"")</f>
        <v/>
      </c>
    </row>
    <row r="99" spans="2:32" ht="15.75" hidden="1" customHeight="1" x14ac:dyDescent="0.25">
      <c r="B99" s="203" t="s">
        <v>775</v>
      </c>
      <c r="C99" s="197" t="s">
        <v>378</v>
      </c>
      <c r="D99" s="197" t="s">
        <v>478</v>
      </c>
      <c r="E99" s="197" t="s">
        <v>180</v>
      </c>
      <c r="F99" s="197" t="s">
        <v>479</v>
      </c>
      <c r="G99" s="197" t="s">
        <v>480</v>
      </c>
      <c r="H99" s="197" t="s">
        <v>481</v>
      </c>
      <c r="I99" s="211" t="s">
        <v>543</v>
      </c>
      <c r="J99" s="211" t="s">
        <v>544</v>
      </c>
      <c r="K99" s="211" t="s">
        <v>641</v>
      </c>
      <c r="L99" s="211" t="s">
        <v>642</v>
      </c>
      <c r="M99" s="197" t="s">
        <v>130</v>
      </c>
      <c r="N99" s="197" t="s">
        <v>129</v>
      </c>
      <c r="O99" s="204"/>
      <c r="P99" s="204"/>
      <c r="Q99" s="217"/>
      <c r="R99" s="284">
        <v>0</v>
      </c>
      <c r="S99" s="285">
        <v>0</v>
      </c>
      <c r="T99" s="207" t="str">
        <f>IF(CampList[[#This Row],[HH]]&gt;0,CampList[[#This Row],[Total]]/CampList[[#This Row],[HH]],"NA")</f>
        <v>NA</v>
      </c>
      <c r="U99" s="199" t="s">
        <v>464</v>
      </c>
      <c r="V99" s="199" t="s">
        <v>994</v>
      </c>
      <c r="W99" s="199" t="s">
        <v>507</v>
      </c>
      <c r="X99" s="199"/>
      <c r="Y99" s="218"/>
      <c r="Z99" s="209"/>
      <c r="AA99" s="223"/>
      <c r="AB99" s="226"/>
      <c r="AC99" s="203" t="s">
        <v>541</v>
      </c>
      <c r="AD99" s="199" t="str">
        <f ca="1">IFERROR(OFFSET(DistanceToCamp[Nearest Town],MATCH(CampList[[#This Row],[CP_Pcode]],DistanceToCamp[CP_Pcode],0)-1,0,1,1),"")</f>
        <v/>
      </c>
      <c r="AE99" s="212" t="str">
        <f ca="1">IFERROR(OFFSET(DistanceToCamp[distance],MATCH(CampList[[#This Row],[CP_Pcode]],DistanceToCamp[CP_Pcode],0)-1,0,1,1),"")</f>
        <v/>
      </c>
      <c r="AF99" s="213" t="str">
        <f ca="1">IFERROR(INT(CampList[[#This Row],[Distance]]/5)+1,"")</f>
        <v/>
      </c>
    </row>
    <row r="100" spans="2:32" ht="15.75" hidden="1" customHeight="1" x14ac:dyDescent="0.25">
      <c r="B100" s="203" t="s">
        <v>775</v>
      </c>
      <c r="C100" s="197" t="s">
        <v>378</v>
      </c>
      <c r="D100" s="197" t="s">
        <v>478</v>
      </c>
      <c r="E100" s="197" t="s">
        <v>180</v>
      </c>
      <c r="F100" s="197" t="s">
        <v>479</v>
      </c>
      <c r="G100" s="197" t="s">
        <v>480</v>
      </c>
      <c r="H100" s="197" t="s">
        <v>481</v>
      </c>
      <c r="I100" s="211" t="s">
        <v>543</v>
      </c>
      <c r="J100" s="211" t="s">
        <v>544</v>
      </c>
      <c r="K100" s="211" t="s">
        <v>643</v>
      </c>
      <c r="L100" s="211" t="s">
        <v>644</v>
      </c>
      <c r="M100" s="197" t="s">
        <v>134</v>
      </c>
      <c r="N100" s="197" t="s">
        <v>133</v>
      </c>
      <c r="O100" s="204"/>
      <c r="P100" s="204"/>
      <c r="Q100" s="217"/>
      <c r="R100" s="284"/>
      <c r="S100" s="285"/>
      <c r="T100" s="207" t="str">
        <f>IF(CampList[[#This Row],[HH]]&gt;0,CampList[[#This Row],[Total]]/CampList[[#This Row],[HH]],"NA")</f>
        <v>NA</v>
      </c>
      <c r="U100" s="199" t="s">
        <v>464</v>
      </c>
      <c r="V100" s="199" t="s">
        <v>994</v>
      </c>
      <c r="W100" s="199" t="s">
        <v>507</v>
      </c>
      <c r="X100" s="199"/>
      <c r="Y100" s="218"/>
      <c r="Z100" s="209"/>
      <c r="AA100" s="223"/>
      <c r="AB100" s="226"/>
      <c r="AC100" s="203" t="s">
        <v>541</v>
      </c>
      <c r="AD100" s="199" t="str">
        <f ca="1">IFERROR(OFFSET(DistanceToCamp[Nearest Town],MATCH(CampList[[#This Row],[CP_Pcode]],DistanceToCamp[CP_Pcode],0)-1,0,1,1),"")</f>
        <v/>
      </c>
      <c r="AE100" s="212" t="str">
        <f ca="1">IFERROR(OFFSET(DistanceToCamp[distance],MATCH(CampList[[#This Row],[CP_Pcode]],DistanceToCamp[CP_Pcode],0)-1,0,1,1),"")</f>
        <v/>
      </c>
      <c r="AF100" s="213" t="str">
        <f ca="1">IFERROR(INT(CampList[[#This Row],[Distance]]/5)+1,"")</f>
        <v/>
      </c>
    </row>
    <row r="101" spans="2:32" ht="15.75" hidden="1" customHeight="1" x14ac:dyDescent="0.25">
      <c r="B101" s="203" t="s">
        <v>775</v>
      </c>
      <c r="C101" s="197" t="s">
        <v>378</v>
      </c>
      <c r="D101" s="197" t="s">
        <v>478</v>
      </c>
      <c r="E101" s="197" t="s">
        <v>180</v>
      </c>
      <c r="F101" s="197" t="s">
        <v>479</v>
      </c>
      <c r="G101" s="197" t="s">
        <v>480</v>
      </c>
      <c r="H101" s="197" t="s">
        <v>481</v>
      </c>
      <c r="I101" s="211" t="s">
        <v>543</v>
      </c>
      <c r="J101" s="211" t="s">
        <v>544</v>
      </c>
      <c r="K101" s="211" t="s">
        <v>643</v>
      </c>
      <c r="L101" s="211" t="s">
        <v>644</v>
      </c>
      <c r="M101" s="197" t="s">
        <v>114</v>
      </c>
      <c r="N101" s="197" t="s">
        <v>113</v>
      </c>
      <c r="O101" s="204"/>
      <c r="P101" s="204"/>
      <c r="Q101" s="217"/>
      <c r="R101" s="284">
        <v>0</v>
      </c>
      <c r="S101" s="285">
        <v>0</v>
      </c>
      <c r="T101" s="207" t="str">
        <f>IF(CampList[[#This Row],[HH]]&gt;0,CampList[[#This Row],[Total]]/CampList[[#This Row],[HH]],"NA")</f>
        <v>NA</v>
      </c>
      <c r="U101" s="199" t="s">
        <v>464</v>
      </c>
      <c r="V101" s="199" t="s">
        <v>994</v>
      </c>
      <c r="W101" s="199" t="s">
        <v>507</v>
      </c>
      <c r="X101" s="199"/>
      <c r="Y101" s="218"/>
      <c r="Z101" s="209"/>
      <c r="AA101" s="223"/>
      <c r="AB101" s="226"/>
      <c r="AC101" s="203" t="s">
        <v>541</v>
      </c>
      <c r="AD101" s="199" t="str">
        <f ca="1">IFERROR(OFFSET(DistanceToCamp[Nearest Town],MATCH(CampList[[#This Row],[CP_Pcode]],DistanceToCamp[CP_Pcode],0)-1,0,1,1),"")</f>
        <v/>
      </c>
      <c r="AE101" s="212" t="str">
        <f ca="1">IFERROR(OFFSET(DistanceToCamp[distance],MATCH(CampList[[#This Row],[CP_Pcode]],DistanceToCamp[CP_Pcode],0)-1,0,1,1),"")</f>
        <v/>
      </c>
      <c r="AF101" s="213" t="str">
        <f ca="1">IFERROR(INT(CampList[[#This Row],[Distance]]/5)+1,"")</f>
        <v/>
      </c>
    </row>
    <row r="102" spans="2:32" ht="15.75" customHeight="1" x14ac:dyDescent="0.25">
      <c r="B102" s="203" t="s">
        <v>1740</v>
      </c>
      <c r="C102" s="197" t="s">
        <v>378</v>
      </c>
      <c r="D102" s="197" t="s">
        <v>478</v>
      </c>
      <c r="E102" s="197" t="s">
        <v>237</v>
      </c>
      <c r="F102" s="197" t="s">
        <v>484</v>
      </c>
      <c r="G102" s="197" t="s">
        <v>309</v>
      </c>
      <c r="H102" s="197" t="s">
        <v>485</v>
      </c>
      <c r="I102" s="197" t="s">
        <v>695</v>
      </c>
      <c r="J102" s="197" t="s">
        <v>696</v>
      </c>
      <c r="K102" s="214" t="s">
        <v>1119</v>
      </c>
      <c r="L102" s="214">
        <v>165792</v>
      </c>
      <c r="M102" s="197" t="s">
        <v>1029</v>
      </c>
      <c r="N102" s="197" t="s">
        <v>343</v>
      </c>
      <c r="O102" s="204">
        <v>97.751389000000003</v>
      </c>
      <c r="P102" s="204">
        <v>24.831944</v>
      </c>
      <c r="Q102" s="205">
        <v>2330</v>
      </c>
      <c r="R102" s="274">
        <v>185</v>
      </c>
      <c r="S102" s="274">
        <v>931</v>
      </c>
      <c r="T102" s="207">
        <f>IF(CampList[[#This Row],[HH]]&gt;0,CampList[[#This Row],[Total]]/CampList[[#This Row],[HH]],"NA")</f>
        <v>5.0324324324324321</v>
      </c>
      <c r="U102" s="199" t="s">
        <v>466</v>
      </c>
      <c r="V102" s="199" t="s">
        <v>994</v>
      </c>
      <c r="W102" s="199" t="s">
        <v>507</v>
      </c>
      <c r="X102" s="199" t="s">
        <v>784</v>
      </c>
      <c r="Y102" s="312">
        <v>40725</v>
      </c>
      <c r="Z102" s="673" t="s">
        <v>424</v>
      </c>
      <c r="AA102" s="197" t="s">
        <v>774</v>
      </c>
      <c r="AB102" s="210">
        <v>43405</v>
      </c>
      <c r="AC102" s="211" t="s">
        <v>1883</v>
      </c>
      <c r="AD102" s="199" t="str">
        <f ca="1">IFERROR(OFFSET(DistanceToCamp[Nearest Town],MATCH(CampList[[#This Row],[CP_Pcode]],DistanceToCamp[CP_Pcode],0)-1,0,1,1),"")</f>
        <v>Laiza town</v>
      </c>
      <c r="AE102" s="212">
        <f ca="1">IFERROR(OFFSET(DistanceToCamp[distance],MATCH(CampList[[#This Row],[CP_Pcode]],DistanceToCamp[CP_Pcode],0)-1,0,1,1),"")</f>
        <v>20.599512012485512</v>
      </c>
      <c r="AF102" s="213">
        <f ca="1">IFERROR(INT(CampList[[#This Row],[Distance]]/5)+1,"")</f>
        <v>5</v>
      </c>
    </row>
    <row r="103" spans="2:32" ht="15.75" hidden="1" customHeight="1" x14ac:dyDescent="0.25">
      <c r="B103" s="203" t="s">
        <v>775</v>
      </c>
      <c r="C103" s="197" t="s">
        <v>378</v>
      </c>
      <c r="D103" s="197" t="s">
        <v>478</v>
      </c>
      <c r="E103" s="197" t="s">
        <v>180</v>
      </c>
      <c r="F103" s="197" t="s">
        <v>479</v>
      </c>
      <c r="G103" s="197" t="s">
        <v>480</v>
      </c>
      <c r="H103" s="197" t="s">
        <v>481</v>
      </c>
      <c r="I103" s="197"/>
      <c r="J103" s="197"/>
      <c r="K103" s="197"/>
      <c r="L103" s="197"/>
      <c r="M103" s="197" t="s">
        <v>96</v>
      </c>
      <c r="N103" s="197" t="s">
        <v>95</v>
      </c>
      <c r="O103" s="204"/>
      <c r="P103" s="204"/>
      <c r="Q103" s="217"/>
      <c r="R103" s="284">
        <v>0</v>
      </c>
      <c r="S103" s="285">
        <v>0</v>
      </c>
      <c r="T103" s="207" t="str">
        <f>IF(CampList[[#This Row],[HH]]&gt;0,CampList[[#This Row],[Total]]/CampList[[#This Row],[HH]],"NA")</f>
        <v>NA</v>
      </c>
      <c r="U103" s="199" t="s">
        <v>464</v>
      </c>
      <c r="V103" s="199" t="s">
        <v>994</v>
      </c>
      <c r="W103" s="199" t="s">
        <v>507</v>
      </c>
      <c r="X103" s="199"/>
      <c r="Y103" s="218"/>
      <c r="Z103" s="209"/>
      <c r="AA103" s="303"/>
      <c r="AB103" s="226"/>
      <c r="AC103" s="203" t="s">
        <v>541</v>
      </c>
      <c r="AD103" s="199" t="str">
        <f ca="1">IFERROR(OFFSET(DistanceToCamp[Nearest Town],MATCH(CampList[[#This Row],[CP_Pcode]],DistanceToCamp[CP_Pcode],0)-1,0,1,1),"")</f>
        <v/>
      </c>
      <c r="AE103" s="212" t="str">
        <f ca="1">IFERROR(OFFSET(DistanceToCamp[distance],MATCH(CampList[[#This Row],[CP_Pcode]],DistanceToCamp[CP_Pcode],0)-1,0,1,1),"")</f>
        <v/>
      </c>
      <c r="AF103" s="213" t="str">
        <f ca="1">IFERROR(INT(CampList[[#This Row],[Distance]]/5)+1,"")</f>
        <v/>
      </c>
    </row>
    <row r="104" spans="2:32" ht="15.75" customHeight="1" x14ac:dyDescent="0.25">
      <c r="B104" s="203" t="s">
        <v>1740</v>
      </c>
      <c r="C104" s="198" t="s">
        <v>378</v>
      </c>
      <c r="D104" s="198" t="s">
        <v>478</v>
      </c>
      <c r="E104" s="198" t="s">
        <v>5</v>
      </c>
      <c r="F104" s="198" t="s">
        <v>482</v>
      </c>
      <c r="G104" s="198" t="s">
        <v>185</v>
      </c>
      <c r="H104" s="198" t="s">
        <v>486</v>
      </c>
      <c r="I104" s="198" t="s">
        <v>674</v>
      </c>
      <c r="J104" s="216" t="s">
        <v>675</v>
      </c>
      <c r="K104" s="198" t="s">
        <v>676</v>
      </c>
      <c r="L104" s="198">
        <v>167223</v>
      </c>
      <c r="M104" s="198" t="s">
        <v>196</v>
      </c>
      <c r="N104" s="198" t="s">
        <v>195</v>
      </c>
      <c r="O104" s="206">
        <v>97.568331999999998</v>
      </c>
      <c r="P104" s="206">
        <v>24.688338999999999</v>
      </c>
      <c r="Q104" s="217">
        <v>314</v>
      </c>
      <c r="R104" s="274">
        <v>1492</v>
      </c>
      <c r="S104" s="274">
        <v>8514</v>
      </c>
      <c r="T104" s="207">
        <f>IF(CampList[[#This Row],[HH]]&gt;0,CampList[[#This Row],[Total]]/CampList[[#This Row],[HH]],"NA")</f>
        <v>5.7064343163538878</v>
      </c>
      <c r="U104" s="183" t="s">
        <v>466</v>
      </c>
      <c r="V104" s="199" t="s">
        <v>994</v>
      </c>
      <c r="W104" s="183" t="s">
        <v>507</v>
      </c>
      <c r="X104" s="183" t="s">
        <v>784</v>
      </c>
      <c r="Y104" s="313">
        <v>41061</v>
      </c>
      <c r="Z104" s="217" t="s">
        <v>935</v>
      </c>
      <c r="AA104" s="198" t="s">
        <v>774</v>
      </c>
      <c r="AB104" s="210">
        <v>43405</v>
      </c>
      <c r="AC104" s="219" t="s">
        <v>1823</v>
      </c>
      <c r="AD104" s="220" t="str">
        <f ca="1">IFERROR(OFFSET(DistanceToCamp[Nearest Town],MATCH(CampList[[#This Row],[CP_Pcode]],DistanceToCamp[CP_Pcode],0)-1,0,1,1),"")</f>
        <v>Laiza town</v>
      </c>
      <c r="AE104" s="212">
        <f ca="1">IFERROR(OFFSET(DistanceToCamp[distance],MATCH(CampList[[#This Row],[CP_Pcode]],DistanceToCamp[CP_Pcode],0)-1,0,1,1),"")</f>
        <v>7.985347533011188</v>
      </c>
      <c r="AF104" s="221">
        <f ca="1">IFERROR(INT(CampList[[#This Row],[Distance]]/5)+1,"")</f>
        <v>2</v>
      </c>
    </row>
    <row r="105" spans="2:32" ht="15.75" hidden="1" customHeight="1" x14ac:dyDescent="0.25">
      <c r="B105" s="203" t="s">
        <v>775</v>
      </c>
      <c r="C105" s="197" t="s">
        <v>378</v>
      </c>
      <c r="D105" s="197" t="s">
        <v>478</v>
      </c>
      <c r="E105" s="197" t="s">
        <v>180</v>
      </c>
      <c r="F105" s="197" t="s">
        <v>479</v>
      </c>
      <c r="G105" s="197" t="s">
        <v>480</v>
      </c>
      <c r="H105" s="197" t="s">
        <v>481</v>
      </c>
      <c r="I105" s="197"/>
      <c r="J105" s="197"/>
      <c r="K105" s="197"/>
      <c r="L105" s="197"/>
      <c r="M105" s="197" t="s">
        <v>136</v>
      </c>
      <c r="N105" s="197" t="s">
        <v>135</v>
      </c>
      <c r="O105" s="204">
        <v>96.343350000000001</v>
      </c>
      <c r="P105" s="204">
        <v>25.6447</v>
      </c>
      <c r="Q105" s="217"/>
      <c r="R105" s="274">
        <v>0</v>
      </c>
      <c r="S105" s="274">
        <v>0</v>
      </c>
      <c r="T105" s="207" t="str">
        <f>IF(CampList[[#This Row],[HH]]&gt;0,CampList[[#This Row],[Total]]/CampList[[#This Row],[HH]],"NA")</f>
        <v>NA</v>
      </c>
      <c r="U105" s="199" t="s">
        <v>464</v>
      </c>
      <c r="V105" s="199" t="s">
        <v>994</v>
      </c>
      <c r="W105" s="199" t="s">
        <v>507</v>
      </c>
      <c r="X105" s="199"/>
      <c r="Y105" s="218"/>
      <c r="Z105" s="209"/>
      <c r="AA105" s="303"/>
      <c r="AB105" s="226"/>
      <c r="AC105" s="203" t="s">
        <v>541</v>
      </c>
      <c r="AD105" s="199" t="str">
        <f ca="1">IFERROR(OFFSET(DistanceToCamp[Nearest Town],MATCH(CampList[[#This Row],[CP_Pcode]],DistanceToCamp[CP_Pcode],0)-1,0,1,1),"")</f>
        <v/>
      </c>
      <c r="AE105" s="212" t="str">
        <f ca="1">IFERROR(OFFSET(DistanceToCamp[distance],MATCH(CampList[[#This Row],[CP_Pcode]],DistanceToCamp[CP_Pcode],0)-1,0,1,1),"")</f>
        <v/>
      </c>
      <c r="AF105" s="213" t="str">
        <f ca="1">IFERROR(INT(CampList[[#This Row],[Distance]]/5)+1,"")</f>
        <v/>
      </c>
    </row>
    <row r="106" spans="2:32" ht="15.75" hidden="1" customHeight="1" x14ac:dyDescent="0.25">
      <c r="B106" s="203" t="s">
        <v>775</v>
      </c>
      <c r="C106" s="197" t="s">
        <v>378</v>
      </c>
      <c r="D106" s="197" t="s">
        <v>478</v>
      </c>
      <c r="E106" s="197" t="s">
        <v>180</v>
      </c>
      <c r="F106" s="197" t="s">
        <v>479</v>
      </c>
      <c r="G106" s="197" t="s">
        <v>480</v>
      </c>
      <c r="H106" s="197" t="s">
        <v>481</v>
      </c>
      <c r="I106" s="211" t="s">
        <v>538</v>
      </c>
      <c r="J106" s="211" t="s">
        <v>539</v>
      </c>
      <c r="K106" s="211" t="s">
        <v>648</v>
      </c>
      <c r="L106" s="211">
        <v>166790</v>
      </c>
      <c r="M106" s="197" t="s">
        <v>94</v>
      </c>
      <c r="N106" s="197" t="s">
        <v>93</v>
      </c>
      <c r="O106" s="204"/>
      <c r="P106" s="204"/>
      <c r="Q106" s="217"/>
      <c r="R106" s="274">
        <v>0</v>
      </c>
      <c r="S106" s="274">
        <v>0</v>
      </c>
      <c r="T106" s="207" t="str">
        <f>IF(CampList[[#This Row],[HH]]&gt;0,CampList[[#This Row],[Total]]/CampList[[#This Row],[HH]],"NA")</f>
        <v>NA</v>
      </c>
      <c r="U106" s="199" t="s">
        <v>464</v>
      </c>
      <c r="V106" s="199" t="s">
        <v>994</v>
      </c>
      <c r="W106" s="199" t="s">
        <v>507</v>
      </c>
      <c r="X106" s="199"/>
      <c r="Y106" s="218"/>
      <c r="Z106" s="209"/>
      <c r="AA106" s="303"/>
      <c r="AB106" s="226"/>
      <c r="AC106" s="203" t="s">
        <v>541</v>
      </c>
      <c r="AD106" s="199" t="str">
        <f ca="1">IFERROR(OFFSET(DistanceToCamp[Nearest Town],MATCH(CampList[[#This Row],[CP_Pcode]],DistanceToCamp[CP_Pcode],0)-1,0,1,1),"")</f>
        <v/>
      </c>
      <c r="AE106" s="212" t="str">
        <f ca="1">IFERROR(OFFSET(DistanceToCamp[distance],MATCH(CampList[[#This Row],[CP_Pcode]],DistanceToCamp[CP_Pcode],0)-1,0,1,1),"")</f>
        <v/>
      </c>
      <c r="AF106" s="213" t="str">
        <f ca="1">IFERROR(INT(CampList[[#This Row],[Distance]]/5)+1,"")</f>
        <v/>
      </c>
    </row>
    <row r="107" spans="2:32" ht="15.75" hidden="1" customHeight="1" x14ac:dyDescent="0.25">
      <c r="B107" s="203" t="s">
        <v>775</v>
      </c>
      <c r="C107" s="197" t="s">
        <v>378</v>
      </c>
      <c r="D107" s="197" t="s">
        <v>478</v>
      </c>
      <c r="E107" s="197" t="s">
        <v>180</v>
      </c>
      <c r="F107" s="197" t="s">
        <v>479</v>
      </c>
      <c r="G107" s="197" t="s">
        <v>480</v>
      </c>
      <c r="H107" s="197" t="s">
        <v>481</v>
      </c>
      <c r="I107" s="197"/>
      <c r="J107" s="197"/>
      <c r="K107" s="197"/>
      <c r="L107" s="197"/>
      <c r="M107" s="197" t="s">
        <v>122</v>
      </c>
      <c r="N107" s="197" t="s">
        <v>121</v>
      </c>
      <c r="O107" s="204"/>
      <c r="P107" s="204"/>
      <c r="Q107" s="217"/>
      <c r="R107" s="274">
        <v>0</v>
      </c>
      <c r="S107" s="274">
        <v>0</v>
      </c>
      <c r="T107" s="207" t="str">
        <f>IF(CampList[[#This Row],[HH]]&gt;0,CampList[[#This Row],[Total]]/CampList[[#This Row],[HH]],"NA")</f>
        <v>NA</v>
      </c>
      <c r="U107" s="199" t="s">
        <v>464</v>
      </c>
      <c r="V107" s="199" t="s">
        <v>994</v>
      </c>
      <c r="W107" s="199" t="s">
        <v>507</v>
      </c>
      <c r="X107" s="199"/>
      <c r="Y107" s="218"/>
      <c r="Z107" s="209"/>
      <c r="AA107" s="303"/>
      <c r="AB107" s="226"/>
      <c r="AC107" s="203"/>
      <c r="AD107" s="199" t="str">
        <f ca="1">IFERROR(OFFSET(DistanceToCamp[Nearest Town],MATCH(CampList[[#This Row],[CP_Pcode]],DistanceToCamp[CP_Pcode],0)-1,0,1,1),"")</f>
        <v/>
      </c>
      <c r="AE107" s="212" t="str">
        <f ca="1">IFERROR(OFFSET(DistanceToCamp[distance],MATCH(CampList[[#This Row],[CP_Pcode]],DistanceToCamp[CP_Pcode],0)-1,0,1,1),"")</f>
        <v/>
      </c>
      <c r="AF107" s="213" t="str">
        <f ca="1">IFERROR(INT(CampList[[#This Row],[Distance]]/5)+1,"")</f>
        <v/>
      </c>
    </row>
    <row r="108" spans="2:32" ht="15.75" customHeight="1" x14ac:dyDescent="0.25">
      <c r="B108" s="203" t="s">
        <v>1740</v>
      </c>
      <c r="C108" s="198" t="s">
        <v>378</v>
      </c>
      <c r="D108" s="198" t="s">
        <v>478</v>
      </c>
      <c r="E108" s="198" t="s">
        <v>5</v>
      </c>
      <c r="F108" s="198" t="s">
        <v>482</v>
      </c>
      <c r="G108" s="198" t="s">
        <v>185</v>
      </c>
      <c r="H108" s="198" t="s">
        <v>486</v>
      </c>
      <c r="I108" s="198" t="s">
        <v>674</v>
      </c>
      <c r="J108" s="216" t="s">
        <v>675</v>
      </c>
      <c r="K108" s="198" t="s">
        <v>676</v>
      </c>
      <c r="L108" s="198">
        <v>167223</v>
      </c>
      <c r="M108" s="198" t="s">
        <v>194</v>
      </c>
      <c r="N108" s="198" t="s">
        <v>193</v>
      </c>
      <c r="O108" s="206">
        <v>97.573126000000002</v>
      </c>
      <c r="P108" s="206">
        <v>24.661905999999998</v>
      </c>
      <c r="Q108" s="217">
        <v>415</v>
      </c>
      <c r="R108" s="274">
        <v>719</v>
      </c>
      <c r="S108" s="274">
        <v>3641</v>
      </c>
      <c r="T108" s="207">
        <f>IF(CampList[[#This Row],[HH]]&gt;0,CampList[[#This Row],[Total]]/CampList[[#This Row],[HH]],"NA")</f>
        <v>5.0639777468706537</v>
      </c>
      <c r="U108" s="183" t="s">
        <v>466</v>
      </c>
      <c r="V108" s="199" t="s">
        <v>994</v>
      </c>
      <c r="W108" s="183" t="s">
        <v>507</v>
      </c>
      <c r="X108" s="183" t="s">
        <v>784</v>
      </c>
      <c r="Y108" s="313">
        <v>40695</v>
      </c>
      <c r="Z108" s="217" t="s">
        <v>935</v>
      </c>
      <c r="AA108" s="198" t="s">
        <v>774</v>
      </c>
      <c r="AB108" s="210">
        <v>43405</v>
      </c>
      <c r="AC108" s="219" t="s">
        <v>1824</v>
      </c>
      <c r="AD108" s="220" t="str">
        <f ca="1">IFERROR(OFFSET(DistanceToCamp[Nearest Town],MATCH(CampList[[#This Row],[CP_Pcode]],DistanceToCamp[CP_Pcode],0)-1,0,1,1),"")</f>
        <v>Laiza town</v>
      </c>
      <c r="AE108" s="212">
        <f ca="1">IFERROR(OFFSET(DistanceToCamp[distance],MATCH(CampList[[#This Row],[CP_Pcode]],DistanceToCamp[CP_Pcode],0)-1,0,1,1),"")</f>
        <v>10.953347686331073</v>
      </c>
      <c r="AF108" s="221">
        <f ca="1">IFERROR(INT(CampList[[#This Row],[Distance]]/5)+1,"")</f>
        <v>3</v>
      </c>
    </row>
    <row r="109" spans="2:32" ht="15.75" hidden="1" customHeight="1" x14ac:dyDescent="0.25">
      <c r="B109" s="203" t="s">
        <v>775</v>
      </c>
      <c r="C109" s="197" t="s">
        <v>378</v>
      </c>
      <c r="D109" s="197" t="s">
        <v>478</v>
      </c>
      <c r="E109" s="197" t="s">
        <v>180</v>
      </c>
      <c r="F109" s="197" t="s">
        <v>479</v>
      </c>
      <c r="G109" s="197" t="s">
        <v>480</v>
      </c>
      <c r="H109" s="197" t="s">
        <v>481</v>
      </c>
      <c r="I109" s="211" t="s">
        <v>652</v>
      </c>
      <c r="J109" s="211" t="s">
        <v>653</v>
      </c>
      <c r="K109" s="211" t="s">
        <v>652</v>
      </c>
      <c r="L109" s="211">
        <v>166794</v>
      </c>
      <c r="M109" s="197" t="s">
        <v>132</v>
      </c>
      <c r="N109" s="197" t="s">
        <v>131</v>
      </c>
      <c r="O109" s="204"/>
      <c r="P109" s="204"/>
      <c r="Q109" s="217"/>
      <c r="R109" s="284">
        <v>0</v>
      </c>
      <c r="S109" s="285">
        <v>0</v>
      </c>
      <c r="T109" s="207" t="str">
        <f>IF(CampList[[#This Row],[HH]]&gt;0,CampList[[#This Row],[Total]]/CampList[[#This Row],[HH]],"NA")</f>
        <v>NA</v>
      </c>
      <c r="U109" s="199" t="s">
        <v>464</v>
      </c>
      <c r="V109" s="199" t="s">
        <v>994</v>
      </c>
      <c r="W109" s="199" t="s">
        <v>507</v>
      </c>
      <c r="X109" s="199"/>
      <c r="Y109" s="218"/>
      <c r="Z109" s="209"/>
      <c r="AA109" s="303"/>
      <c r="AB109" s="226"/>
      <c r="AC109" s="203"/>
      <c r="AD109" s="199" t="str">
        <f ca="1">IFERROR(OFFSET(DistanceToCamp[Nearest Town],MATCH(CampList[[#This Row],[CP_Pcode]],DistanceToCamp[CP_Pcode],0)-1,0,1,1),"")</f>
        <v/>
      </c>
      <c r="AE109" s="212" t="str">
        <f ca="1">IFERROR(OFFSET(DistanceToCamp[distance],MATCH(CampList[[#This Row],[CP_Pcode]],DistanceToCamp[CP_Pcode],0)-1,0,1,1),"")</f>
        <v/>
      </c>
      <c r="AF109" s="213" t="str">
        <f ca="1">IFERROR(INT(CampList[[#This Row],[Distance]]/5)+1,"")</f>
        <v/>
      </c>
    </row>
    <row r="110" spans="2:32" ht="15.75" hidden="1" customHeight="1" x14ac:dyDescent="0.25">
      <c r="B110" s="203" t="s">
        <v>775</v>
      </c>
      <c r="C110" s="197" t="s">
        <v>378</v>
      </c>
      <c r="D110" s="197" t="s">
        <v>478</v>
      </c>
      <c r="E110" s="197" t="s">
        <v>237</v>
      </c>
      <c r="F110" s="197" t="s">
        <v>484</v>
      </c>
      <c r="G110" s="197" t="s">
        <v>309</v>
      </c>
      <c r="H110" s="197" t="s">
        <v>485</v>
      </c>
      <c r="I110" s="197" t="s">
        <v>704</v>
      </c>
      <c r="J110" s="197" t="s">
        <v>705</v>
      </c>
      <c r="K110" s="214" t="s">
        <v>1118</v>
      </c>
      <c r="L110" s="214">
        <v>220360</v>
      </c>
      <c r="M110" s="197" t="s">
        <v>1031</v>
      </c>
      <c r="N110" s="197" t="s">
        <v>354</v>
      </c>
      <c r="O110" s="204">
        <v>97.756789999999995</v>
      </c>
      <c r="P110" s="204">
        <v>25.106670000000001</v>
      </c>
      <c r="Q110" s="205">
        <v>756</v>
      </c>
      <c r="R110" s="274"/>
      <c r="S110" s="274"/>
      <c r="T110" s="207" t="str">
        <f>IF(CampList[[#This Row],[HH]]&gt;0,CampList[[#This Row],[Total]]/CampList[[#This Row],[HH]],"NA")</f>
        <v>NA</v>
      </c>
      <c r="U110" s="199" t="s">
        <v>466</v>
      </c>
      <c r="V110" s="199" t="s">
        <v>994</v>
      </c>
      <c r="W110" s="199" t="s">
        <v>507</v>
      </c>
      <c r="X110" s="199" t="s">
        <v>784</v>
      </c>
      <c r="Y110" s="673">
        <v>40848</v>
      </c>
      <c r="Z110" s="673" t="s">
        <v>424</v>
      </c>
      <c r="AA110" s="197" t="s">
        <v>774</v>
      </c>
      <c r="AB110" s="210">
        <v>42888</v>
      </c>
      <c r="AC110" s="211" t="s">
        <v>1262</v>
      </c>
      <c r="AD110" s="199" t="str">
        <f ca="1">IFERROR(OFFSET(DistanceToCamp[Nearest Town],MATCH(CampList[[#This Row],[CP_Pcode]],DistanceToCamp[CP_Pcode],0)-1,0,1,1),"")</f>
        <v>Sadung Town</v>
      </c>
      <c r="AE110" s="212">
        <f ca="1">IFERROR(OFFSET(DistanceToCamp[distance],MATCH(CampList[[#This Row],[CP_Pcode]],DistanceToCamp[CP_Pcode],0)-1,0,1,1),"")</f>
        <v>32.827754639406997</v>
      </c>
      <c r="AF110" s="213">
        <f ca="1">IFERROR(INT(CampList[[#This Row],[Distance]]/5)+1,"")</f>
        <v>7</v>
      </c>
    </row>
    <row r="111" spans="2:32" ht="15.75" customHeight="1" x14ac:dyDescent="0.25">
      <c r="B111" s="203" t="s">
        <v>1740</v>
      </c>
      <c r="C111" s="198" t="s">
        <v>378</v>
      </c>
      <c r="D111" s="198" t="s">
        <v>478</v>
      </c>
      <c r="E111" s="198" t="s">
        <v>5</v>
      </c>
      <c r="F111" s="198" t="s">
        <v>482</v>
      </c>
      <c r="G111" s="198" t="s">
        <v>185</v>
      </c>
      <c r="H111" s="198" t="s">
        <v>486</v>
      </c>
      <c r="I111" s="198" t="s">
        <v>665</v>
      </c>
      <c r="J111" s="216" t="s">
        <v>666</v>
      </c>
      <c r="K111" s="198" t="s">
        <v>523</v>
      </c>
      <c r="L111" s="198">
        <v>167343</v>
      </c>
      <c r="M111" s="198" t="s">
        <v>192</v>
      </c>
      <c r="N111" s="198" t="s">
        <v>191</v>
      </c>
      <c r="O111" s="206">
        <v>97.537099999999995</v>
      </c>
      <c r="P111" s="206">
        <v>24.461033</v>
      </c>
      <c r="Q111" s="217">
        <v>360</v>
      </c>
      <c r="R111" s="274">
        <v>88</v>
      </c>
      <c r="S111" s="274">
        <v>338</v>
      </c>
      <c r="T111" s="207">
        <f>IF(CampList[[#This Row],[HH]]&gt;0,CampList[[#This Row],[Total]]/CampList[[#This Row],[HH]],"NA")</f>
        <v>3.8409090909090908</v>
      </c>
      <c r="U111" s="183" t="s">
        <v>466</v>
      </c>
      <c r="V111" s="199" t="s">
        <v>994</v>
      </c>
      <c r="W111" s="183" t="s">
        <v>507</v>
      </c>
      <c r="X111" s="183" t="s">
        <v>785</v>
      </c>
      <c r="Y111" s="313">
        <v>40756</v>
      </c>
      <c r="Z111" s="217" t="s">
        <v>935</v>
      </c>
      <c r="AA111" s="198" t="s">
        <v>774</v>
      </c>
      <c r="AB111" s="210">
        <v>43405</v>
      </c>
      <c r="AC111" s="219" t="s">
        <v>1825</v>
      </c>
      <c r="AD111" s="220" t="str">
        <f ca="1">IFERROR(OFFSET(DistanceToCamp[Nearest Town],MATCH(CampList[[#This Row],[CP_Pcode]],DistanceToCamp[CP_Pcode],0)-1,0,1,1),"")</f>
        <v>Dawthponeyan  Town</v>
      </c>
      <c r="AE111" s="212">
        <f ca="1">IFERROR(OFFSET(DistanceToCamp[distance],MATCH(CampList[[#This Row],[CP_Pcode]],DistanceToCamp[CP_Pcode],0)-1,0,1,1),"")</f>
        <v>18.65617244319267</v>
      </c>
      <c r="AF111" s="221">
        <f ca="1">IFERROR(INT(CampList[[#This Row],[Distance]]/5)+1,"")</f>
        <v>4</v>
      </c>
    </row>
    <row r="112" spans="2:32" ht="15.75" hidden="1" customHeight="1" x14ac:dyDescent="0.25">
      <c r="B112" s="203" t="s">
        <v>775</v>
      </c>
      <c r="C112" s="197" t="s">
        <v>378</v>
      </c>
      <c r="D112" s="197" t="s">
        <v>478</v>
      </c>
      <c r="E112" s="197" t="s">
        <v>237</v>
      </c>
      <c r="F112" s="197" t="s">
        <v>484</v>
      </c>
      <c r="G112" s="197" t="s">
        <v>309</v>
      </c>
      <c r="H112" s="197" t="s">
        <v>485</v>
      </c>
      <c r="I112" s="211" t="s">
        <v>658</v>
      </c>
      <c r="J112" s="197"/>
      <c r="K112" s="197"/>
      <c r="L112" s="197"/>
      <c r="M112" s="197" t="s">
        <v>356</v>
      </c>
      <c r="N112" s="197" t="s">
        <v>355</v>
      </c>
      <c r="O112" s="204">
        <v>97.837778</v>
      </c>
      <c r="P112" s="204">
        <v>25.273333000000001</v>
      </c>
      <c r="Q112" s="217"/>
      <c r="R112" s="284">
        <v>0</v>
      </c>
      <c r="S112" s="285">
        <v>0</v>
      </c>
      <c r="T112" s="207" t="str">
        <f>IF(CampList[[#This Row],[HH]]&gt;0,CampList[[#This Row],[Total]]/CampList[[#This Row],[HH]],"NA")</f>
        <v>NA</v>
      </c>
      <c r="U112" s="199" t="s">
        <v>466</v>
      </c>
      <c r="V112" s="199" t="s">
        <v>994</v>
      </c>
      <c r="W112" s="199" t="s">
        <v>507</v>
      </c>
      <c r="X112" s="199"/>
      <c r="Y112" s="218"/>
      <c r="Z112" s="209"/>
      <c r="AA112" s="223"/>
      <c r="AB112" s="226"/>
      <c r="AC112" s="203"/>
      <c r="AD112" s="199" t="str">
        <f ca="1">IFERROR(OFFSET(DistanceToCamp[Nearest Town],MATCH(CampList[[#This Row],[CP_Pcode]],DistanceToCamp[CP_Pcode],0)-1,0,1,1),"")</f>
        <v/>
      </c>
      <c r="AE112" s="212" t="str">
        <f ca="1">IFERROR(OFFSET(DistanceToCamp[distance],MATCH(CampList[[#This Row],[CP_Pcode]],DistanceToCamp[CP_Pcode],0)-1,0,1,1),"")</f>
        <v/>
      </c>
      <c r="AF112" s="213" t="str">
        <f ca="1">IFERROR(INT(CampList[[#This Row],[Distance]]/5)+1,"")</f>
        <v/>
      </c>
    </row>
    <row r="113" spans="2:32" ht="15.75" customHeight="1" x14ac:dyDescent="0.25">
      <c r="B113" s="203" t="s">
        <v>1740</v>
      </c>
      <c r="C113" s="198" t="s">
        <v>378</v>
      </c>
      <c r="D113" s="198" t="s">
        <v>478</v>
      </c>
      <c r="E113" s="198" t="s">
        <v>5</v>
      </c>
      <c r="F113" s="198" t="s">
        <v>482</v>
      </c>
      <c r="G113" s="198" t="s">
        <v>185</v>
      </c>
      <c r="H113" s="198" t="s">
        <v>486</v>
      </c>
      <c r="I113" s="198" t="s">
        <v>701</v>
      </c>
      <c r="J113" s="216" t="s">
        <v>702</v>
      </c>
      <c r="K113" s="198" t="s">
        <v>703</v>
      </c>
      <c r="L113" s="198">
        <v>216913</v>
      </c>
      <c r="M113" s="198" t="s">
        <v>219</v>
      </c>
      <c r="N113" s="198" t="s">
        <v>218</v>
      </c>
      <c r="O113" s="206">
        <v>97.752667000000002</v>
      </c>
      <c r="P113" s="206">
        <v>24.2744</v>
      </c>
      <c r="Q113" s="217">
        <v>978</v>
      </c>
      <c r="R113" s="206">
        <v>632</v>
      </c>
      <c r="S113" s="206">
        <v>3551</v>
      </c>
      <c r="T113" s="207">
        <f>IF(CampList[[#This Row],[HH]]&gt;0,CampList[[#This Row],[Total]]/CampList[[#This Row],[HH]],"NA")</f>
        <v>5.6186708860759493</v>
      </c>
      <c r="U113" s="183" t="s">
        <v>466</v>
      </c>
      <c r="V113" s="199" t="s">
        <v>994</v>
      </c>
      <c r="W113" s="183" t="s">
        <v>507</v>
      </c>
      <c r="X113" s="183" t="s">
        <v>784</v>
      </c>
      <c r="Y113" s="313">
        <v>41000</v>
      </c>
      <c r="Z113" s="217" t="s">
        <v>934</v>
      </c>
      <c r="AA113" s="198" t="s">
        <v>774</v>
      </c>
      <c r="AB113" s="210">
        <v>43405</v>
      </c>
      <c r="AC113" s="219" t="s">
        <v>1853</v>
      </c>
      <c r="AD113" s="220" t="str">
        <f ca="1">IFERROR(OFFSET(DistanceToCamp[Nearest Town],MATCH(CampList[[#This Row],[CP_Pcode]],DistanceToCamp[CP_Pcode],0)-1,0,1,1),"")</f>
        <v>Lwegel Town</v>
      </c>
      <c r="AE113" s="212">
        <f ca="1">IFERROR(OFFSET(DistanceToCamp[distance],MATCH(CampList[[#This Row],[CP_Pcode]],DistanceToCamp[CP_Pcode],0)-1,0,1,1),"")</f>
        <v>8.953204937938569</v>
      </c>
      <c r="AF113" s="221">
        <f ca="1">IFERROR(INT(CampList[[#This Row],[Distance]]/5)+1,"")</f>
        <v>2</v>
      </c>
    </row>
    <row r="114" spans="2:32" ht="15.75" customHeight="1" x14ac:dyDescent="0.25">
      <c r="B114" s="203" t="s">
        <v>1740</v>
      </c>
      <c r="C114" s="198" t="s">
        <v>378</v>
      </c>
      <c r="D114" s="198" t="s">
        <v>478</v>
      </c>
      <c r="E114" s="198" t="s">
        <v>5</v>
      </c>
      <c r="F114" s="198" t="s">
        <v>482</v>
      </c>
      <c r="G114" s="198" t="s">
        <v>151</v>
      </c>
      <c r="H114" s="198" t="s">
        <v>492</v>
      </c>
      <c r="I114" s="198" t="s">
        <v>683</v>
      </c>
      <c r="J114" s="216" t="s">
        <v>684</v>
      </c>
      <c r="K114" s="198" t="s">
        <v>685</v>
      </c>
      <c r="L114" s="198">
        <v>216948</v>
      </c>
      <c r="M114" s="198" t="s">
        <v>198</v>
      </c>
      <c r="N114" s="198" t="s">
        <v>197</v>
      </c>
      <c r="O114" s="206">
        <v>97.625617000000005</v>
      </c>
      <c r="P114" s="206">
        <v>24.056132999999999</v>
      </c>
      <c r="Q114" s="217">
        <v>866</v>
      </c>
      <c r="R114" s="206">
        <v>535</v>
      </c>
      <c r="S114" s="311">
        <v>2490</v>
      </c>
      <c r="T114" s="207">
        <f>IF(CampList[[#This Row],[HH]]&gt;0,CampList[[#This Row],[Total]]/CampList[[#This Row],[HH]],"NA")</f>
        <v>4.6542056074766354</v>
      </c>
      <c r="U114" s="183" t="s">
        <v>466</v>
      </c>
      <c r="V114" s="199" t="s">
        <v>994</v>
      </c>
      <c r="W114" s="183" t="s">
        <v>507</v>
      </c>
      <c r="X114" s="183" t="s">
        <v>784</v>
      </c>
      <c r="Y114" s="313">
        <v>40817</v>
      </c>
      <c r="Z114" s="217" t="s">
        <v>934</v>
      </c>
      <c r="AA114" s="198" t="s">
        <v>774</v>
      </c>
      <c r="AB114" s="210">
        <v>43405</v>
      </c>
      <c r="AC114" s="219" t="s">
        <v>1854</v>
      </c>
      <c r="AD114" s="220" t="str">
        <f ca="1">IFERROR(OFFSET(DistanceToCamp[Nearest Town],MATCH(CampList[[#This Row],[CP_Pcode]],DistanceToCamp[CP_Pcode],0)-1,0,1,1),"")</f>
        <v>Lwegel Town</v>
      </c>
      <c r="AE114" s="212">
        <f ca="1">IFERROR(OFFSET(DistanceToCamp[distance],MATCH(CampList[[#This Row],[CP_Pcode]],DistanceToCamp[CP_Pcode],0)-1,0,1,1),"")</f>
        <v>18.620903555062636</v>
      </c>
      <c r="AF114" s="221">
        <f ca="1">IFERROR(INT(CampList[[#This Row],[Distance]]/5)+1,"")</f>
        <v>4</v>
      </c>
    </row>
    <row r="115" spans="2:32" ht="15.75" hidden="1" customHeight="1" x14ac:dyDescent="0.25">
      <c r="B115" s="203" t="s">
        <v>775</v>
      </c>
      <c r="C115" s="197" t="s">
        <v>378</v>
      </c>
      <c r="D115" s="197" t="s">
        <v>478</v>
      </c>
      <c r="E115" s="197" t="s">
        <v>237</v>
      </c>
      <c r="F115" s="197" t="s">
        <v>484</v>
      </c>
      <c r="G115" s="197" t="s">
        <v>309</v>
      </c>
      <c r="H115" s="197" t="s">
        <v>485</v>
      </c>
      <c r="I115" s="211" t="s">
        <v>667</v>
      </c>
      <c r="J115" s="211" t="s">
        <v>668</v>
      </c>
      <c r="K115" s="211" t="s">
        <v>667</v>
      </c>
      <c r="L115" s="211">
        <v>165772</v>
      </c>
      <c r="M115" s="197" t="s">
        <v>1034</v>
      </c>
      <c r="N115" s="197" t="s">
        <v>313</v>
      </c>
      <c r="O115" s="204">
        <v>97.551507000000001</v>
      </c>
      <c r="P115" s="204">
        <v>24.747212999999999</v>
      </c>
      <c r="Q115" s="205">
        <v>221</v>
      </c>
      <c r="R115" s="284">
        <v>0</v>
      </c>
      <c r="S115" s="285">
        <v>0</v>
      </c>
      <c r="T115" s="207" t="str">
        <f>IF(CampList[[#This Row],[HH]]&gt;0,CampList[[#This Row],[Total]]/CampList[[#This Row],[HH]],"NA")</f>
        <v>NA</v>
      </c>
      <c r="U115" s="199" t="s">
        <v>466</v>
      </c>
      <c r="V115" s="199" t="s">
        <v>994</v>
      </c>
      <c r="W115" s="199" t="s">
        <v>507</v>
      </c>
      <c r="X115" s="199" t="s">
        <v>784</v>
      </c>
      <c r="Y115" s="673">
        <v>40695</v>
      </c>
      <c r="Z115" s="673" t="s">
        <v>935</v>
      </c>
      <c r="AA115" s="223" t="s">
        <v>774</v>
      </c>
      <c r="AB115" s="210">
        <v>42180</v>
      </c>
      <c r="AC115" s="203" t="s">
        <v>1048</v>
      </c>
      <c r="AD115" s="199" t="str">
        <f ca="1">IFERROR(OFFSET(DistanceToCamp[Nearest Town],MATCH(CampList[[#This Row],[CP_Pcode]],DistanceToCamp[CP_Pcode],0)-1,0,1,1),"")</f>
        <v>Laiza town</v>
      </c>
      <c r="AE115" s="212">
        <f ca="1">IFERROR(OFFSET(DistanceToCamp[distance],MATCH(CampList[[#This Row],[CP_Pcode]],DistanceToCamp[CP_Pcode],0)-1,0,1,1),"")</f>
        <v>1.857513522619473</v>
      </c>
      <c r="AF115" s="213">
        <f ca="1">IFERROR(INT(CampList[[#This Row],[Distance]]/5)+1,"")</f>
        <v>1</v>
      </c>
    </row>
    <row r="116" spans="2:32" ht="15.75" hidden="1" customHeight="1" x14ac:dyDescent="0.25">
      <c r="B116" s="203" t="s">
        <v>775</v>
      </c>
      <c r="C116" s="197" t="s">
        <v>378</v>
      </c>
      <c r="D116" s="197" t="s">
        <v>478</v>
      </c>
      <c r="E116" s="197" t="s">
        <v>237</v>
      </c>
      <c r="F116" s="197" t="s">
        <v>484</v>
      </c>
      <c r="G116" s="197" t="s">
        <v>309</v>
      </c>
      <c r="H116" s="197" t="s">
        <v>485</v>
      </c>
      <c r="I116" s="211" t="s">
        <v>667</v>
      </c>
      <c r="J116" s="211" t="s">
        <v>668</v>
      </c>
      <c r="K116" s="211" t="s">
        <v>667</v>
      </c>
      <c r="L116" s="211">
        <v>165772</v>
      </c>
      <c r="M116" s="197" t="s">
        <v>331</v>
      </c>
      <c r="N116" s="197" t="s">
        <v>330</v>
      </c>
      <c r="O116" s="204">
        <v>97.550267000000005</v>
      </c>
      <c r="P116" s="204">
        <v>24.747966999999999</v>
      </c>
      <c r="Q116" s="217"/>
      <c r="R116" s="284">
        <v>0</v>
      </c>
      <c r="S116" s="285">
        <v>0</v>
      </c>
      <c r="T116" s="207" t="str">
        <f>IF(CampList[[#This Row],[HH]]&gt;0,CampList[[#This Row],[Total]]/CampList[[#This Row],[HH]],"NA")</f>
        <v>NA</v>
      </c>
      <c r="U116" s="199" t="s">
        <v>464</v>
      </c>
      <c r="V116" s="199" t="s">
        <v>994</v>
      </c>
      <c r="W116" s="199" t="s">
        <v>507</v>
      </c>
      <c r="X116" s="199"/>
      <c r="Y116" s="218"/>
      <c r="Z116" s="209"/>
      <c r="AA116" s="223"/>
      <c r="AB116" s="226"/>
      <c r="AC116" s="203" t="s">
        <v>776</v>
      </c>
      <c r="AD116" s="199" t="str">
        <f ca="1">IFERROR(OFFSET(DistanceToCamp[Nearest Town],MATCH(CampList[[#This Row],[CP_Pcode]],DistanceToCamp[CP_Pcode],0)-1,0,1,1),"")</f>
        <v/>
      </c>
      <c r="AE116" s="212" t="str">
        <f ca="1">IFERROR(OFFSET(DistanceToCamp[distance],MATCH(CampList[[#This Row],[CP_Pcode]],DistanceToCamp[CP_Pcode],0)-1,0,1,1),"")</f>
        <v/>
      </c>
      <c r="AF116" s="213" t="str">
        <f ca="1">IFERROR(INT(CampList[[#This Row],[Distance]]/5)+1,"")</f>
        <v/>
      </c>
    </row>
    <row r="117" spans="2:32" ht="15.75" customHeight="1" x14ac:dyDescent="0.25">
      <c r="B117" s="203" t="s">
        <v>1740</v>
      </c>
      <c r="C117" s="197" t="s">
        <v>378</v>
      </c>
      <c r="D117" s="197" t="s">
        <v>478</v>
      </c>
      <c r="E117" s="197" t="s">
        <v>5</v>
      </c>
      <c r="F117" s="197" t="s">
        <v>482</v>
      </c>
      <c r="G117" s="211" t="s">
        <v>151</v>
      </c>
      <c r="H117" s="211" t="s">
        <v>492</v>
      </c>
      <c r="I117" s="211" t="s">
        <v>679</v>
      </c>
      <c r="J117" s="211" t="s">
        <v>680</v>
      </c>
      <c r="K117" s="211" t="s">
        <v>679</v>
      </c>
      <c r="L117" s="211" t="s">
        <v>679</v>
      </c>
      <c r="M117" s="197" t="s">
        <v>188</v>
      </c>
      <c r="N117" s="197" t="s">
        <v>187</v>
      </c>
      <c r="O117" s="204">
        <v>97.609832999999995</v>
      </c>
      <c r="P117" s="204">
        <v>24.002433</v>
      </c>
      <c r="Q117" s="205">
        <v>854</v>
      </c>
      <c r="R117" s="310">
        <v>358</v>
      </c>
      <c r="S117" s="311">
        <v>1680</v>
      </c>
      <c r="T117" s="207">
        <f>IF(CampList[[#This Row],[HH]]&gt;0,CampList[[#This Row],[Total]]/CampList[[#This Row],[HH]],"NA")</f>
        <v>4.6927374301675977</v>
      </c>
      <c r="U117" s="199" t="s">
        <v>466</v>
      </c>
      <c r="V117" s="199" t="s">
        <v>994</v>
      </c>
      <c r="W117" s="199" t="s">
        <v>507</v>
      </c>
      <c r="X117" s="199" t="s">
        <v>784</v>
      </c>
      <c r="Y117" s="312">
        <v>40817</v>
      </c>
      <c r="Z117" s="673" t="s">
        <v>934</v>
      </c>
      <c r="AA117" s="223" t="s">
        <v>774</v>
      </c>
      <c r="AB117" s="210">
        <v>43405</v>
      </c>
      <c r="AC117" s="203" t="s">
        <v>1855</v>
      </c>
      <c r="AD117" s="199" t="str">
        <f ca="1">IFERROR(OFFSET(DistanceToCamp[Nearest Town],MATCH(CampList[[#This Row],[CP_Pcode]],DistanceToCamp[CP_Pcode],0)-1,0,1,1),"")</f>
        <v>Namhkan Town</v>
      </c>
      <c r="AE117" s="212">
        <f ca="1">IFERROR(OFFSET(DistanceToCamp[distance],MATCH(CampList[[#This Row],[CP_Pcode]],DistanceToCamp[CP_Pcode],0)-1,0,1,1),"")</f>
        <v>19.796407430638478</v>
      </c>
      <c r="AF117" s="213">
        <f ca="1">IFERROR(INT(CampList[[#This Row],[Distance]]/5)+1,"")</f>
        <v>4</v>
      </c>
    </row>
    <row r="118" spans="2:32" ht="15.75" customHeight="1" x14ac:dyDescent="0.25">
      <c r="B118" s="203" t="s">
        <v>1740</v>
      </c>
      <c r="C118" s="198" t="s">
        <v>378</v>
      </c>
      <c r="D118" s="198" t="s">
        <v>478</v>
      </c>
      <c r="E118" s="198" t="s">
        <v>5</v>
      </c>
      <c r="F118" s="198" t="s">
        <v>482</v>
      </c>
      <c r="G118" s="198" t="s">
        <v>185</v>
      </c>
      <c r="H118" s="198" t="s">
        <v>486</v>
      </c>
      <c r="I118" s="198" t="s">
        <v>686</v>
      </c>
      <c r="J118" s="216" t="s">
        <v>687</v>
      </c>
      <c r="K118" s="198" t="s">
        <v>688</v>
      </c>
      <c r="L118" s="198">
        <v>167138</v>
      </c>
      <c r="M118" s="198" t="s">
        <v>215</v>
      </c>
      <c r="N118" s="198" t="s">
        <v>214</v>
      </c>
      <c r="O118" s="206">
        <v>97.669366999999994</v>
      </c>
      <c r="P118" s="206">
        <v>24.378167000000001</v>
      </c>
      <c r="Q118" s="217">
        <v>1149</v>
      </c>
      <c r="R118" s="206">
        <v>354</v>
      </c>
      <c r="S118" s="206">
        <v>1547</v>
      </c>
      <c r="T118" s="207">
        <f>IF(CampList[[#This Row],[HH]]&gt;0,CampList[[#This Row],[Total]]/CampList[[#This Row],[HH]],"NA")</f>
        <v>4.370056497175141</v>
      </c>
      <c r="U118" s="183" t="s">
        <v>466</v>
      </c>
      <c r="V118" s="199" t="s">
        <v>994</v>
      </c>
      <c r="W118" s="183" t="s">
        <v>507</v>
      </c>
      <c r="X118" s="183" t="s">
        <v>784</v>
      </c>
      <c r="Y118" s="313">
        <v>41000</v>
      </c>
      <c r="Z118" s="217" t="s">
        <v>934</v>
      </c>
      <c r="AA118" s="198" t="s">
        <v>774</v>
      </c>
      <c r="AB118" s="210">
        <v>43405</v>
      </c>
      <c r="AC118" s="219" t="s">
        <v>1856</v>
      </c>
      <c r="AD118" s="220" t="str">
        <f ca="1">IFERROR(OFFSET(DistanceToCamp[Nearest Town],MATCH(CampList[[#This Row],[CP_Pcode]],DistanceToCamp[CP_Pcode],0)-1,0,1,1),"")</f>
        <v>Lwegel Town</v>
      </c>
      <c r="AE118" s="212">
        <f ca="1">IFERROR(OFFSET(DistanceToCamp[distance],MATCH(CampList[[#This Row],[CP_Pcode]],DistanceToCamp[CP_Pcode],0)-1,0,1,1),"")</f>
        <v>20.558236360788097</v>
      </c>
      <c r="AF118" s="221">
        <f ca="1">IFERROR(INT(CampList[[#This Row],[Distance]]/5)+1,"")</f>
        <v>5</v>
      </c>
    </row>
    <row r="119" spans="2:32" ht="15.75" customHeight="1" x14ac:dyDescent="0.25">
      <c r="B119" s="203" t="s">
        <v>1740</v>
      </c>
      <c r="C119" s="198" t="s">
        <v>378</v>
      </c>
      <c r="D119" s="198" t="s">
        <v>478</v>
      </c>
      <c r="E119" s="198" t="s">
        <v>5</v>
      </c>
      <c r="F119" s="198" t="s">
        <v>482</v>
      </c>
      <c r="G119" s="198" t="s">
        <v>151</v>
      </c>
      <c r="H119" s="198" t="s">
        <v>492</v>
      </c>
      <c r="I119" s="198" t="s">
        <v>600</v>
      </c>
      <c r="J119" s="216" t="s">
        <v>601</v>
      </c>
      <c r="K119" s="211" t="s">
        <v>600</v>
      </c>
      <c r="L119" s="222">
        <v>167405</v>
      </c>
      <c r="M119" s="198" t="s">
        <v>154</v>
      </c>
      <c r="N119" s="198" t="s">
        <v>153</v>
      </c>
      <c r="O119" s="206">
        <v>97.578490000000002</v>
      </c>
      <c r="P119" s="206">
        <v>23.835319999999999</v>
      </c>
      <c r="Q119" s="217">
        <v>795</v>
      </c>
      <c r="R119" s="206">
        <v>442</v>
      </c>
      <c r="S119" s="206">
        <v>2301</v>
      </c>
      <c r="T119" s="207">
        <f>IF(CampList[[#This Row],[HH]]&gt;0,CampList[[#This Row],[Total]]/CampList[[#This Row],[HH]],"NA")</f>
        <v>5.2058823529411766</v>
      </c>
      <c r="U119" s="183" t="s">
        <v>464</v>
      </c>
      <c r="V119" s="199" t="s">
        <v>994</v>
      </c>
      <c r="W119" s="183" t="s">
        <v>507</v>
      </c>
      <c r="X119" s="183" t="s">
        <v>784</v>
      </c>
      <c r="Y119" s="313">
        <v>40848</v>
      </c>
      <c r="Z119" s="217" t="s">
        <v>934</v>
      </c>
      <c r="AA119" s="198" t="s">
        <v>774</v>
      </c>
      <c r="AB119" s="210">
        <v>43405</v>
      </c>
      <c r="AC119" s="219" t="s">
        <v>1857</v>
      </c>
      <c r="AD119" s="220" t="str">
        <f ca="1">IFERROR(OFFSET(DistanceToCamp[Nearest Town],MATCH(CampList[[#This Row],[CP_Pcode]],DistanceToCamp[CP_Pcode],0)-1,0,1,1),"")</f>
        <v>Namhkan Town</v>
      </c>
      <c r="AE119" s="212">
        <f ca="1">IFERROR(OFFSET(DistanceToCamp[distance],MATCH(CampList[[#This Row],[CP_Pcode]],DistanceToCamp[CP_Pcode],0)-1,0,1,1),"")</f>
        <v>10.509375400480517</v>
      </c>
      <c r="AF119" s="221">
        <f ca="1">IFERROR(INT(CampList[[#This Row],[Distance]]/5)+1,"")</f>
        <v>3</v>
      </c>
    </row>
    <row r="120" spans="2:32" ht="15.75" customHeight="1" x14ac:dyDescent="0.25">
      <c r="B120" s="203" t="s">
        <v>1740</v>
      </c>
      <c r="C120" s="197" t="s">
        <v>378</v>
      </c>
      <c r="D120" s="197" t="s">
        <v>478</v>
      </c>
      <c r="E120" s="197" t="s">
        <v>5</v>
      </c>
      <c r="F120" s="197" t="s">
        <v>482</v>
      </c>
      <c r="G120" s="197" t="s">
        <v>151</v>
      </c>
      <c r="H120" s="197" t="s">
        <v>492</v>
      </c>
      <c r="I120" s="211" t="s">
        <v>600</v>
      </c>
      <c r="J120" s="211" t="s">
        <v>601</v>
      </c>
      <c r="K120" s="211" t="s">
        <v>600</v>
      </c>
      <c r="L120" s="222">
        <v>167405</v>
      </c>
      <c r="M120" s="197" t="s">
        <v>160</v>
      </c>
      <c r="N120" s="197" t="s">
        <v>159</v>
      </c>
      <c r="O120" s="204">
        <v>97.589979999999997</v>
      </c>
      <c r="P120" s="204">
        <v>23.83013</v>
      </c>
      <c r="Q120" s="205">
        <v>741</v>
      </c>
      <c r="R120" s="274">
        <v>127</v>
      </c>
      <c r="S120" s="274">
        <v>653</v>
      </c>
      <c r="T120" s="207">
        <f>IF(CampList[[#This Row],[HH]]&gt;0,CampList[[#This Row],[Total]]/CampList[[#This Row],[HH]],"NA")</f>
        <v>5.1417322834645667</v>
      </c>
      <c r="U120" s="199" t="s">
        <v>464</v>
      </c>
      <c r="V120" s="199" t="s">
        <v>994</v>
      </c>
      <c r="W120" s="199" t="s">
        <v>507</v>
      </c>
      <c r="X120" s="199" t="s">
        <v>784</v>
      </c>
      <c r="Y120" s="312">
        <v>40940</v>
      </c>
      <c r="Z120" s="673" t="s">
        <v>424</v>
      </c>
      <c r="AA120" s="223" t="s">
        <v>774</v>
      </c>
      <c r="AB120" s="210">
        <v>43405</v>
      </c>
      <c r="AC120" s="211" t="s">
        <v>1884</v>
      </c>
      <c r="AD120" s="199" t="str">
        <f ca="1">IFERROR(OFFSET(DistanceToCamp[Nearest Town],MATCH(CampList[[#This Row],[CP_Pcode]],DistanceToCamp[CP_Pcode],0)-1,0,1,1),"")</f>
        <v>Namhkan Town</v>
      </c>
      <c r="AE120" s="212">
        <f ca="1">IFERROR(OFFSET(DistanceToCamp[distance],MATCH(CampList[[#This Row],[CP_Pcode]],DistanceToCamp[CP_Pcode],0)-1,0,1,1),"")</f>
        <v>9.3704379947870464</v>
      </c>
      <c r="AF120" s="213">
        <f ca="1">IFERROR(INT(CampList[[#This Row],[Distance]]/5)+1,"")</f>
        <v>2</v>
      </c>
    </row>
    <row r="121" spans="2:32" ht="15.75" customHeight="1" x14ac:dyDescent="0.25">
      <c r="B121" s="203" t="s">
        <v>1740</v>
      </c>
      <c r="C121" s="197" t="s">
        <v>378</v>
      </c>
      <c r="D121" s="197" t="s">
        <v>478</v>
      </c>
      <c r="E121" s="197" t="s">
        <v>5</v>
      </c>
      <c r="F121" s="197" t="s">
        <v>482</v>
      </c>
      <c r="G121" s="197" t="s">
        <v>151</v>
      </c>
      <c r="H121" s="197" t="s">
        <v>492</v>
      </c>
      <c r="I121" s="211" t="s">
        <v>600</v>
      </c>
      <c r="J121" s="211" t="s">
        <v>601</v>
      </c>
      <c r="K121" s="211" t="s">
        <v>600</v>
      </c>
      <c r="L121" s="211">
        <v>167405</v>
      </c>
      <c r="M121" s="197" t="s">
        <v>156</v>
      </c>
      <c r="N121" s="197" t="s">
        <v>155</v>
      </c>
      <c r="O121" s="204">
        <v>97.588291999999996</v>
      </c>
      <c r="P121" s="204">
        <v>23.827870999999998</v>
      </c>
      <c r="Q121" s="217"/>
      <c r="R121" s="310">
        <v>175</v>
      </c>
      <c r="S121" s="311">
        <v>834</v>
      </c>
      <c r="T121" s="207">
        <f>IF(CampList[[#This Row],[HH]]&gt;0,CampList[[#This Row],[Total]]/CampList[[#This Row],[HH]],"NA")</f>
        <v>4.765714285714286</v>
      </c>
      <c r="U121" s="199" t="s">
        <v>464</v>
      </c>
      <c r="V121" s="199" t="s">
        <v>994</v>
      </c>
      <c r="W121" s="227" t="s">
        <v>12</v>
      </c>
      <c r="X121" s="199" t="s">
        <v>784</v>
      </c>
      <c r="Y121" s="313"/>
      <c r="Z121" s="209" t="s">
        <v>1314</v>
      </c>
      <c r="AA121" s="223" t="s">
        <v>774</v>
      </c>
      <c r="AB121" s="230">
        <v>43090</v>
      </c>
      <c r="AC121" s="211" t="s">
        <v>1549</v>
      </c>
      <c r="AD121" s="199" t="str">
        <f ca="1">IFERROR(OFFSET(DistanceToCamp[Nearest Town],MATCH(CampList[[#This Row],[CP_Pcode]],DistanceToCamp[CP_Pcode],0)-1,0,1,1),"")</f>
        <v>Namhkan Town</v>
      </c>
      <c r="AE121" s="212">
        <f ca="1">IFERROR(OFFSET(DistanceToCamp[distance],MATCH(CampList[[#This Row],[CP_Pcode]],DistanceToCamp[CP_Pcode],0)-1,0,1,1),"")</f>
        <v>9.5650381623500511</v>
      </c>
      <c r="AF121" s="213">
        <f ca="1">IFERROR(INT(CampList[[#This Row],[Distance]]/5)+1,"")</f>
        <v>2</v>
      </c>
    </row>
    <row r="122" spans="2:32" ht="15.75" customHeight="1" x14ac:dyDescent="0.25">
      <c r="B122" s="203" t="s">
        <v>1740</v>
      </c>
      <c r="C122" s="197" t="s">
        <v>378</v>
      </c>
      <c r="D122" s="197" t="s">
        <v>478</v>
      </c>
      <c r="E122" s="197" t="s">
        <v>237</v>
      </c>
      <c r="F122" s="689" t="s">
        <v>484</v>
      </c>
      <c r="G122" s="689" t="s">
        <v>237</v>
      </c>
      <c r="H122" s="689" t="s">
        <v>488</v>
      </c>
      <c r="I122" s="689" t="s">
        <v>1683</v>
      </c>
      <c r="J122" s="689" t="s">
        <v>1684</v>
      </c>
      <c r="K122" s="197"/>
      <c r="L122" s="197"/>
      <c r="M122" s="197" t="s">
        <v>303</v>
      </c>
      <c r="N122" s="197" t="s">
        <v>302</v>
      </c>
      <c r="O122" s="204"/>
      <c r="P122" s="204"/>
      <c r="Q122" s="217"/>
      <c r="R122" s="310">
        <v>375</v>
      </c>
      <c r="S122" s="311">
        <v>1691</v>
      </c>
      <c r="T122" s="207">
        <f>IF(CampList[[#This Row],[HH]]&gt;0,CampList[[#This Row],[Total]]/CampList[[#This Row],[HH]],"NA")</f>
        <v>4.5093333333333332</v>
      </c>
      <c r="U122" s="199" t="s">
        <v>464</v>
      </c>
      <c r="V122" s="199" t="s">
        <v>994</v>
      </c>
      <c r="W122" s="199" t="s">
        <v>12</v>
      </c>
      <c r="X122" s="199" t="s">
        <v>784</v>
      </c>
      <c r="Y122" s="313">
        <v>41701</v>
      </c>
      <c r="Z122" s="209" t="s">
        <v>1314</v>
      </c>
      <c r="AA122" s="223" t="s">
        <v>522</v>
      </c>
      <c r="AB122" s="210">
        <v>42888</v>
      </c>
      <c r="AC122" s="203" t="s">
        <v>1245</v>
      </c>
      <c r="AD122" s="199" t="str">
        <f ca="1">IFERROR(OFFSET(DistanceToCamp[Nearest Town],MATCH(CampList[[#This Row],[CP_Pcode]],DistanceToCamp[CP_Pcode],0)-1,0,1,1),"")</f>
        <v>Sinbo Town</v>
      </c>
      <c r="AE122" s="212">
        <f ca="1">IFERROR(OFFSET(DistanceToCamp[distance],MATCH(CampList[[#This Row],[CP_Pcode]],DistanceToCamp[CP_Pcode],0)-1,0,1,1),"")</f>
        <v>0</v>
      </c>
      <c r="AF122" s="213">
        <f ca="1">IFERROR(INT(CampList[[#This Row],[Distance]]/5)+1,"")</f>
        <v>1</v>
      </c>
    </row>
    <row r="123" spans="2:32" ht="15.75" customHeight="1" x14ac:dyDescent="0.25">
      <c r="B123" s="203" t="s">
        <v>1740</v>
      </c>
      <c r="C123" s="197" t="s">
        <v>378</v>
      </c>
      <c r="D123" s="197" t="s">
        <v>478</v>
      </c>
      <c r="E123" s="197" t="s">
        <v>180</v>
      </c>
      <c r="F123" s="197" t="s">
        <v>479</v>
      </c>
      <c r="G123" s="197" t="s">
        <v>480</v>
      </c>
      <c r="H123" s="197" t="s">
        <v>481</v>
      </c>
      <c r="I123" s="197" t="s">
        <v>958</v>
      </c>
      <c r="J123" s="197" t="s">
        <v>1038</v>
      </c>
      <c r="K123" s="197" t="s">
        <v>1097</v>
      </c>
      <c r="L123" s="222">
        <v>220512</v>
      </c>
      <c r="M123" s="197" t="s">
        <v>88</v>
      </c>
      <c r="N123" s="197" t="s">
        <v>87</v>
      </c>
      <c r="O123" s="204">
        <v>96.705960000000005</v>
      </c>
      <c r="P123" s="204">
        <v>25.51352</v>
      </c>
      <c r="Q123" s="205">
        <v>0</v>
      </c>
      <c r="R123" s="274">
        <v>34</v>
      </c>
      <c r="S123" s="274">
        <v>136</v>
      </c>
      <c r="T123" s="207">
        <f>IF(CampList[[#This Row],[HH]]&gt;0,CampList[[#This Row],[Total]]/CampList[[#This Row],[HH]],"NA")</f>
        <v>4</v>
      </c>
      <c r="U123" s="199" t="s">
        <v>464</v>
      </c>
      <c r="V123" s="199" t="s">
        <v>994</v>
      </c>
      <c r="W123" s="199" t="s">
        <v>507</v>
      </c>
      <c r="X123" s="199" t="s">
        <v>742</v>
      </c>
      <c r="Y123" s="312">
        <v>41183</v>
      </c>
      <c r="Z123" s="673" t="s">
        <v>424</v>
      </c>
      <c r="AA123" s="223" t="s">
        <v>774</v>
      </c>
      <c r="AB123" s="210">
        <v>43405</v>
      </c>
      <c r="AC123" s="203" t="s">
        <v>1885</v>
      </c>
      <c r="AD123" s="199" t="str">
        <f ca="1">IFERROR(OFFSET(DistanceToCamp[Nearest Town],MATCH(CampList[[#This Row],[CP_Pcode]],DistanceToCamp[CP_Pcode],0)-1,0,1,1),"")</f>
        <v>Kamaing Town</v>
      </c>
      <c r="AE123" s="212">
        <f ca="1">IFERROR(OFFSET(DistanceToCamp[distance],MATCH(CampList[[#This Row],[CP_Pcode]],DistanceToCamp[CP_Pcode],0)-1,0,1,1),"")</f>
        <v>1.1537462444167914</v>
      </c>
      <c r="AF123" s="213">
        <f ca="1">IFERROR(INT(CampList[[#This Row],[Distance]]/5)+1,"")</f>
        <v>1</v>
      </c>
    </row>
    <row r="124" spans="2:32" ht="15.75" customHeight="1" x14ac:dyDescent="0.25">
      <c r="B124" s="203" t="s">
        <v>1740</v>
      </c>
      <c r="C124" s="198" t="s">
        <v>378</v>
      </c>
      <c r="D124" s="198" t="s">
        <v>478</v>
      </c>
      <c r="E124" s="198" t="s">
        <v>237</v>
      </c>
      <c r="F124" s="198" t="s">
        <v>484</v>
      </c>
      <c r="G124" s="198" t="s">
        <v>309</v>
      </c>
      <c r="H124" s="198" t="s">
        <v>485</v>
      </c>
      <c r="I124" s="214" t="s">
        <v>710</v>
      </c>
      <c r="J124" s="214" t="s">
        <v>709</v>
      </c>
      <c r="K124" s="214" t="s">
        <v>710</v>
      </c>
      <c r="L124" s="214">
        <v>165895</v>
      </c>
      <c r="M124" s="198" t="s">
        <v>353</v>
      </c>
      <c r="N124" s="198" t="s">
        <v>352</v>
      </c>
      <c r="O124" s="206">
        <v>97.990555999999998</v>
      </c>
      <c r="P124" s="206">
        <v>25.265277999999999</v>
      </c>
      <c r="Q124" s="217">
        <v>2764</v>
      </c>
      <c r="R124" s="274">
        <v>82</v>
      </c>
      <c r="S124" s="274">
        <v>518</v>
      </c>
      <c r="T124" s="207">
        <f>IF(CampList[[#This Row],[HH]]&gt;0,CampList[[#This Row],[Total]]/CampList[[#This Row],[HH]],"NA")</f>
        <v>6.3170731707317076</v>
      </c>
      <c r="U124" s="183" t="s">
        <v>466</v>
      </c>
      <c r="V124" s="199" t="s">
        <v>994</v>
      </c>
      <c r="W124" s="183" t="s">
        <v>507</v>
      </c>
      <c r="X124" s="183" t="s">
        <v>785</v>
      </c>
      <c r="Y124" s="313">
        <v>40848</v>
      </c>
      <c r="Z124" s="217" t="s">
        <v>935</v>
      </c>
      <c r="AA124" s="198" t="s">
        <v>774</v>
      </c>
      <c r="AB124" s="210">
        <v>43405</v>
      </c>
      <c r="AC124" s="219" t="s">
        <v>1826</v>
      </c>
      <c r="AD124" s="220" t="str">
        <f ca="1">IFERROR(OFFSET(DistanceToCamp[Nearest Town],MATCH(CampList[[#This Row],[CP_Pcode]],DistanceToCamp[CP_Pcode],0)-1,0,1,1),"")</f>
        <v>Sadung Town</v>
      </c>
      <c r="AE124" s="212">
        <f ca="1">IFERROR(OFFSET(DistanceToCamp[distance],MATCH(CampList[[#This Row],[CP_Pcode]],DistanceToCamp[CP_Pcode],0)-1,0,1,1),"")</f>
        <v>17.035515422123492</v>
      </c>
      <c r="AF124" s="221">
        <f ca="1">IFERROR(INT(CampList[[#This Row],[Distance]]/5)+1,"")</f>
        <v>4</v>
      </c>
    </row>
    <row r="125" spans="2:32" ht="15.75" customHeight="1" x14ac:dyDescent="0.25">
      <c r="B125" s="203" t="s">
        <v>1740</v>
      </c>
      <c r="C125" s="198" t="s">
        <v>378</v>
      </c>
      <c r="D125" s="198" t="s">
        <v>478</v>
      </c>
      <c r="E125" s="198" t="s">
        <v>237</v>
      </c>
      <c r="F125" s="198" t="s">
        <v>484</v>
      </c>
      <c r="G125" s="198" t="s">
        <v>237</v>
      </c>
      <c r="H125" s="198" t="s">
        <v>488</v>
      </c>
      <c r="I125" s="198" t="s">
        <v>649</v>
      </c>
      <c r="J125" s="216" t="s">
        <v>650</v>
      </c>
      <c r="K125" s="198" t="s">
        <v>651</v>
      </c>
      <c r="L125" s="198">
        <v>165685</v>
      </c>
      <c r="M125" s="198" t="s">
        <v>272</v>
      </c>
      <c r="N125" s="198" t="s">
        <v>271</v>
      </c>
      <c r="O125" s="206">
        <v>97.4345</v>
      </c>
      <c r="P125" s="206">
        <v>25.493819999999999</v>
      </c>
      <c r="Q125" s="217"/>
      <c r="R125" s="274">
        <v>138</v>
      </c>
      <c r="S125" s="274">
        <v>800</v>
      </c>
      <c r="T125" s="207">
        <f>IF(CampList[[#This Row],[HH]]&gt;0,CampList[[#This Row],[Total]]/CampList[[#This Row],[HH]],"NA")</f>
        <v>5.7971014492753623</v>
      </c>
      <c r="U125" s="183" t="s">
        <v>464</v>
      </c>
      <c r="V125" s="199" t="s">
        <v>994</v>
      </c>
      <c r="W125" s="183" t="s">
        <v>507</v>
      </c>
      <c r="X125" s="183" t="s">
        <v>742</v>
      </c>
      <c r="Y125" s="313">
        <v>41244</v>
      </c>
      <c r="Z125" s="217" t="s">
        <v>935</v>
      </c>
      <c r="AA125" s="198" t="s">
        <v>774</v>
      </c>
      <c r="AB125" s="210">
        <v>43405</v>
      </c>
      <c r="AC125" s="219" t="s">
        <v>1827</v>
      </c>
      <c r="AD125" s="220" t="str">
        <f ca="1">IFERROR(OFFSET(DistanceToCamp[Nearest Town],MATCH(CampList[[#This Row],[CP_Pcode]],DistanceToCamp[CP_Pcode],0)-1,0,1,1),"")</f>
        <v>Myitkyina Town</v>
      </c>
      <c r="AE125" s="212">
        <f ca="1">IFERROR(OFFSET(DistanceToCamp[distance],MATCH(CampList[[#This Row],[CP_Pcode]],DistanceToCamp[CP_Pcode],0)-1,0,1,1),"")</f>
        <v>12.627188913244609</v>
      </c>
      <c r="AF125" s="221">
        <f ca="1">IFERROR(INT(CampList[[#This Row],[Distance]]/5)+1,"")</f>
        <v>3</v>
      </c>
    </row>
    <row r="126" spans="2:32" ht="15.75" customHeight="1" x14ac:dyDescent="0.25">
      <c r="B126" s="203" t="s">
        <v>1740</v>
      </c>
      <c r="C126" s="197" t="s">
        <v>378</v>
      </c>
      <c r="D126" s="197" t="s">
        <v>478</v>
      </c>
      <c r="E126" s="197" t="s">
        <v>5</v>
      </c>
      <c r="F126" s="197" t="s">
        <v>482</v>
      </c>
      <c r="G126" s="197" t="s">
        <v>5</v>
      </c>
      <c r="H126" s="197" t="s">
        <v>483</v>
      </c>
      <c r="I126" s="211" t="s">
        <v>577</v>
      </c>
      <c r="J126" s="211" t="s">
        <v>578</v>
      </c>
      <c r="K126" s="197"/>
      <c r="L126" s="197"/>
      <c r="M126" s="197" t="s">
        <v>12</v>
      </c>
      <c r="N126" s="197" t="s">
        <v>11</v>
      </c>
      <c r="O126" s="204">
        <v>97.228835000000004</v>
      </c>
      <c r="P126" s="204">
        <v>24.263786</v>
      </c>
      <c r="Q126" s="217"/>
      <c r="R126" s="311">
        <v>190</v>
      </c>
      <c r="S126" s="311">
        <v>928</v>
      </c>
      <c r="T126" s="207">
        <f>IF(CampList[[#This Row],[HH]]&gt;0,CampList[[#This Row],[Total]]/CampList[[#This Row],[HH]],"NA")</f>
        <v>4.8842105263157896</v>
      </c>
      <c r="U126" s="199" t="s">
        <v>464</v>
      </c>
      <c r="V126" s="199" t="s">
        <v>994</v>
      </c>
      <c r="W126" s="227" t="s">
        <v>12</v>
      </c>
      <c r="X126" s="199" t="s">
        <v>742</v>
      </c>
      <c r="Y126" s="313"/>
      <c r="Z126" s="209" t="s">
        <v>1314</v>
      </c>
      <c r="AA126" s="223" t="s">
        <v>774</v>
      </c>
      <c r="AB126" s="230">
        <v>43090</v>
      </c>
      <c r="AC126" s="203" t="s">
        <v>1383</v>
      </c>
      <c r="AD126" s="199" t="str">
        <f ca="1">IFERROR(OFFSET(DistanceToCamp[Nearest Town],MATCH(CampList[[#This Row],[CP_Pcode]],DistanceToCamp[CP_Pcode],0)-1,0,1,1),"")</f>
        <v>Bhamo Town</v>
      </c>
      <c r="AE126" s="212">
        <f ca="1">IFERROR(OFFSET(DistanceToCamp[distance],MATCH(CampList[[#This Row],[CP_Pcode]],DistanceToCamp[CP_Pcode],0)-1,0,1,1),"")</f>
        <v>1.1354007641426449</v>
      </c>
      <c r="AF126" s="213">
        <f ca="1">IFERROR(INT(CampList[[#This Row],[Distance]]/5)+1,"")</f>
        <v>1</v>
      </c>
    </row>
    <row r="127" spans="2:32" ht="15.75" customHeight="1" x14ac:dyDescent="0.25">
      <c r="B127" s="203" t="s">
        <v>1740</v>
      </c>
      <c r="C127" s="197" t="s">
        <v>378</v>
      </c>
      <c r="D127" s="197" t="s">
        <v>478</v>
      </c>
      <c r="E127" s="197" t="s">
        <v>180</v>
      </c>
      <c r="F127" s="197" t="s">
        <v>479</v>
      </c>
      <c r="G127" s="197" t="s">
        <v>480</v>
      </c>
      <c r="H127" s="197" t="s">
        <v>481</v>
      </c>
      <c r="I127" s="197" t="s">
        <v>543</v>
      </c>
      <c r="J127" s="197" t="s">
        <v>544</v>
      </c>
      <c r="K127" s="197" t="s">
        <v>547</v>
      </c>
      <c r="L127" s="197" t="s">
        <v>548</v>
      </c>
      <c r="M127" s="197" t="s">
        <v>92</v>
      </c>
      <c r="N127" s="197" t="s">
        <v>91</v>
      </c>
      <c r="O127" s="204">
        <v>96.316400000000002</v>
      </c>
      <c r="P127" s="204">
        <v>25.61842</v>
      </c>
      <c r="Q127" s="205">
        <v>250</v>
      </c>
      <c r="R127" s="274">
        <v>11</v>
      </c>
      <c r="S127" s="274">
        <v>55</v>
      </c>
      <c r="T127" s="207">
        <f>IF(CampList[[#This Row],[HH]]&gt;0,CampList[[#This Row],[Total]]/CampList[[#This Row],[HH]],"NA")</f>
        <v>5</v>
      </c>
      <c r="U127" s="199" t="s">
        <v>464</v>
      </c>
      <c r="V127" s="199" t="s">
        <v>994</v>
      </c>
      <c r="W127" s="199" t="s">
        <v>507</v>
      </c>
      <c r="X127" s="199" t="s">
        <v>742</v>
      </c>
      <c r="Y127" s="312">
        <v>41275</v>
      </c>
      <c r="Z127" s="673" t="s">
        <v>462</v>
      </c>
      <c r="AA127" s="223" t="s">
        <v>774</v>
      </c>
      <c r="AB127" s="210">
        <v>43405</v>
      </c>
      <c r="AC127" s="203" t="s">
        <v>1810</v>
      </c>
      <c r="AD127" s="199" t="str">
        <f ca="1">IFERROR(OFFSET(DistanceToCamp[Nearest Town],MATCH(CampList[[#This Row],[CP_Pcode]],DistanceToCamp[CP_Pcode],0)-1,0,1,1),"")</f>
        <v>Hpakant Town</v>
      </c>
      <c r="AE127" s="212">
        <f ca="1">IFERROR(OFFSET(DistanceToCamp[distance],MATCH(CampList[[#This Row],[CP_Pcode]],DistanceToCamp[CP_Pcode],0)-1,0,1,1),"")</f>
        <v>0.75842119772531946</v>
      </c>
      <c r="AF127" s="213">
        <f ca="1">IFERROR(INT(CampList[[#This Row],[Distance]]/5)+1,"")</f>
        <v>1</v>
      </c>
    </row>
    <row r="128" spans="2:32" ht="15.75" customHeight="1" x14ac:dyDescent="0.25">
      <c r="B128" s="203" t="s">
        <v>1740</v>
      </c>
      <c r="C128" s="197" t="s">
        <v>378</v>
      </c>
      <c r="D128" s="197" t="s">
        <v>478</v>
      </c>
      <c r="E128" s="197" t="s">
        <v>180</v>
      </c>
      <c r="F128" s="197" t="s">
        <v>479</v>
      </c>
      <c r="G128" s="197" t="s">
        <v>480</v>
      </c>
      <c r="H128" s="197" t="s">
        <v>481</v>
      </c>
      <c r="I128" s="211" t="s">
        <v>552</v>
      </c>
      <c r="J128" s="211" t="s">
        <v>553</v>
      </c>
      <c r="K128" s="211" t="s">
        <v>552</v>
      </c>
      <c r="L128" s="211">
        <v>166773</v>
      </c>
      <c r="M128" s="197" t="s">
        <v>120</v>
      </c>
      <c r="N128" s="197" t="s">
        <v>119</v>
      </c>
      <c r="O128" s="204">
        <v>96.361609999999999</v>
      </c>
      <c r="P128" s="204">
        <v>25.656009999999998</v>
      </c>
      <c r="Q128" s="205">
        <v>317</v>
      </c>
      <c r="R128" s="274">
        <v>68</v>
      </c>
      <c r="S128" s="274">
        <v>335</v>
      </c>
      <c r="T128" s="207">
        <f>IF(CampList[[#This Row],[HH]]&gt;0,CampList[[#This Row],[Total]]/CampList[[#This Row],[HH]],"NA")</f>
        <v>4.9264705882352944</v>
      </c>
      <c r="U128" s="199" t="s">
        <v>464</v>
      </c>
      <c r="V128" s="199" t="s">
        <v>994</v>
      </c>
      <c r="W128" s="199" t="s">
        <v>507</v>
      </c>
      <c r="X128" s="199" t="s">
        <v>784</v>
      </c>
      <c r="Y128" s="312">
        <v>41275</v>
      </c>
      <c r="Z128" s="673" t="s">
        <v>935</v>
      </c>
      <c r="AA128" s="223" t="s">
        <v>774</v>
      </c>
      <c r="AB128" s="210">
        <v>43405</v>
      </c>
      <c r="AC128" s="203" t="s">
        <v>1828</v>
      </c>
      <c r="AD128" s="199" t="str">
        <f ca="1">IFERROR(OFFSET(DistanceToCamp[Nearest Town],MATCH(CampList[[#This Row],[CP_Pcode]],DistanceToCamp[CP_Pcode],0)-1,0,1,1),"")</f>
        <v>Hpakant Town</v>
      </c>
      <c r="AE128" s="212">
        <f ca="1">IFERROR(OFFSET(DistanceToCamp[distance],MATCH(CampList[[#This Row],[CP_Pcode]],DistanceToCamp[CP_Pcode],0)-1,0,1,1),"")</f>
        <v>6.3039408411778268</v>
      </c>
      <c r="AF128" s="213">
        <f ca="1">IFERROR(INT(CampList[[#This Row],[Distance]]/5)+1,"")</f>
        <v>2</v>
      </c>
    </row>
    <row r="129" spans="2:32" ht="15.75" hidden="1" customHeight="1" x14ac:dyDescent="0.25">
      <c r="B129" s="203" t="s">
        <v>775</v>
      </c>
      <c r="C129" s="197" t="s">
        <v>378</v>
      </c>
      <c r="D129" s="197" t="s">
        <v>478</v>
      </c>
      <c r="E129" s="197" t="s">
        <v>5</v>
      </c>
      <c r="F129" s="197" t="s">
        <v>482</v>
      </c>
      <c r="G129" s="197" t="s">
        <v>151</v>
      </c>
      <c r="H129" s="197" t="s">
        <v>492</v>
      </c>
      <c r="I129" s="211" t="s">
        <v>677</v>
      </c>
      <c r="J129" s="211" t="s">
        <v>678</v>
      </c>
      <c r="K129" s="211"/>
      <c r="L129" s="211"/>
      <c r="M129" s="197" t="s">
        <v>158</v>
      </c>
      <c r="N129" s="197" t="s">
        <v>157</v>
      </c>
      <c r="O129" s="204">
        <v>97.585667000000001</v>
      </c>
      <c r="P129" s="204">
        <v>23.9055</v>
      </c>
      <c r="Q129" s="205">
        <v>745</v>
      </c>
      <c r="R129" s="284">
        <v>0</v>
      </c>
      <c r="S129" s="285">
        <v>0</v>
      </c>
      <c r="T129" s="207" t="str">
        <f>IF(CampList[[#This Row],[HH]]&gt;0,CampList[[#This Row],[Total]]/CampList[[#This Row],[HH]],"NA")</f>
        <v>NA</v>
      </c>
      <c r="U129" s="199" t="s">
        <v>466</v>
      </c>
      <c r="V129" s="199" t="s">
        <v>994</v>
      </c>
      <c r="W129" s="199" t="s">
        <v>507</v>
      </c>
      <c r="X129" s="199" t="s">
        <v>785</v>
      </c>
      <c r="Y129" s="673">
        <v>41122</v>
      </c>
      <c r="Z129" s="673" t="s">
        <v>934</v>
      </c>
      <c r="AA129" s="223" t="s">
        <v>774</v>
      </c>
      <c r="AB129" s="210">
        <v>42235</v>
      </c>
      <c r="AC129" s="203" t="s">
        <v>1063</v>
      </c>
      <c r="AD129" s="199" t="str">
        <f ca="1">IFERROR(OFFSET(DistanceToCamp[Nearest Town],MATCH(CampList[[#This Row],[CP_Pcode]],DistanceToCamp[CP_Pcode],0)-1,0,1,1),"")</f>
        <v>Namhkan Town</v>
      </c>
      <c r="AE129" s="212">
        <f ca="1">IFERROR(OFFSET(DistanceToCamp[distance],MATCH(CampList[[#This Row],[CP_Pcode]],DistanceToCamp[CP_Pcode],0)-1,0,1,1),"")</f>
        <v>12.392289083396149</v>
      </c>
      <c r="AF129" s="213">
        <f ca="1">IFERROR(INT(CampList[[#This Row],[Distance]]/5)+1,"")</f>
        <v>3</v>
      </c>
    </row>
    <row r="130" spans="2:32" ht="15.75" hidden="1" customHeight="1" x14ac:dyDescent="0.25">
      <c r="B130" s="203" t="s">
        <v>775</v>
      </c>
      <c r="C130" s="197" t="s">
        <v>378</v>
      </c>
      <c r="D130" s="197" t="s">
        <v>478</v>
      </c>
      <c r="E130" s="197" t="s">
        <v>5</v>
      </c>
      <c r="F130" s="197" t="s">
        <v>482</v>
      </c>
      <c r="G130" s="197" t="s">
        <v>151</v>
      </c>
      <c r="H130" s="197" t="s">
        <v>492</v>
      </c>
      <c r="I130" s="211" t="s">
        <v>600</v>
      </c>
      <c r="J130" s="211" t="s">
        <v>601</v>
      </c>
      <c r="K130" s="211"/>
      <c r="L130" s="211"/>
      <c r="M130" s="197" t="s">
        <v>162</v>
      </c>
      <c r="N130" s="197" t="s">
        <v>161</v>
      </c>
      <c r="O130" s="204"/>
      <c r="P130" s="204"/>
      <c r="Q130" s="217"/>
      <c r="R130" s="284">
        <v>0</v>
      </c>
      <c r="S130" s="285">
        <v>0</v>
      </c>
      <c r="T130" s="207" t="str">
        <f>IF(CampList[[#This Row],[HH]]&gt;0,CampList[[#This Row],[Total]]/CampList[[#This Row],[HH]],"NA")</f>
        <v>NA</v>
      </c>
      <c r="U130" s="199" t="s">
        <v>466</v>
      </c>
      <c r="V130" s="199" t="s">
        <v>994</v>
      </c>
      <c r="W130" s="199" t="s">
        <v>507</v>
      </c>
      <c r="X130" s="199"/>
      <c r="Y130" s="218"/>
      <c r="Z130" s="209"/>
      <c r="AA130" s="223" t="s">
        <v>774</v>
      </c>
      <c r="AB130" s="210">
        <v>41737</v>
      </c>
      <c r="AC130" s="203" t="s">
        <v>893</v>
      </c>
      <c r="AD130" s="199" t="str">
        <f ca="1">IFERROR(OFFSET(DistanceToCamp[Nearest Town],MATCH(CampList[[#This Row],[CP_Pcode]],DistanceToCamp[CP_Pcode],0)-1,0,1,1),"")</f>
        <v/>
      </c>
      <c r="AE130" s="212" t="str">
        <f ca="1">IFERROR(OFFSET(DistanceToCamp[distance],MATCH(CampList[[#This Row],[CP_Pcode]],DistanceToCamp[CP_Pcode],0)-1,0,1,1),"")</f>
        <v/>
      </c>
      <c r="AF130" s="213" t="str">
        <f ca="1">IFERROR(INT(CampList[[#This Row],[Distance]]/5)+1,"")</f>
        <v/>
      </c>
    </row>
    <row r="131" spans="2:32" ht="15.75" hidden="1" customHeight="1" x14ac:dyDescent="0.25">
      <c r="B131" s="203" t="s">
        <v>775</v>
      </c>
      <c r="C131" s="197" t="s">
        <v>378</v>
      </c>
      <c r="D131" s="197" t="s">
        <v>478</v>
      </c>
      <c r="E131" s="197" t="s">
        <v>5</v>
      </c>
      <c r="F131" s="197" t="s">
        <v>482</v>
      </c>
      <c r="G131" s="197" t="s">
        <v>151</v>
      </c>
      <c r="H131" s="197" t="s">
        <v>492</v>
      </c>
      <c r="I131" s="211" t="s">
        <v>568</v>
      </c>
      <c r="J131" s="211" t="s">
        <v>569</v>
      </c>
      <c r="K131" s="211"/>
      <c r="L131" s="211"/>
      <c r="M131" s="197" t="s">
        <v>164</v>
      </c>
      <c r="N131" s="197" t="s">
        <v>163</v>
      </c>
      <c r="O131" s="204">
        <v>97.132339999999999</v>
      </c>
      <c r="P131" s="204">
        <v>23.75817</v>
      </c>
      <c r="Q131" s="217"/>
      <c r="R131" s="284">
        <v>0</v>
      </c>
      <c r="S131" s="285">
        <v>0</v>
      </c>
      <c r="T131" s="207" t="str">
        <f>IF(CampList[[#This Row],[HH]]&gt;0,CampList[[#This Row],[Total]]/CampList[[#This Row],[HH]],"NA")</f>
        <v>NA</v>
      </c>
      <c r="U131" s="199" t="s">
        <v>466</v>
      </c>
      <c r="V131" s="199" t="s">
        <v>994</v>
      </c>
      <c r="W131" s="199" t="s">
        <v>507</v>
      </c>
      <c r="X131" s="199"/>
      <c r="Y131" s="218"/>
      <c r="Z131" s="209"/>
      <c r="AA131" s="223" t="s">
        <v>522</v>
      </c>
      <c r="AB131" s="226"/>
      <c r="AC131" s="203" t="s">
        <v>777</v>
      </c>
      <c r="AD131" s="199" t="str">
        <f ca="1">IFERROR(OFFSET(DistanceToCamp[Nearest Town],MATCH(CampList[[#This Row],[CP_Pcode]],DistanceToCamp[CP_Pcode],0)-1,0,1,1),"")</f>
        <v/>
      </c>
      <c r="AE131" s="212" t="str">
        <f ca="1">IFERROR(OFFSET(DistanceToCamp[distance],MATCH(CampList[[#This Row],[CP_Pcode]],DistanceToCamp[CP_Pcode],0)-1,0,1,1),"")</f>
        <v/>
      </c>
      <c r="AF131" s="213" t="str">
        <f ca="1">IFERROR(INT(CampList[[#This Row],[Distance]]/5)+1,"")</f>
        <v/>
      </c>
    </row>
    <row r="132" spans="2:32" ht="15.75" hidden="1" customHeight="1" x14ac:dyDescent="0.25">
      <c r="B132" s="203" t="s">
        <v>775</v>
      </c>
      <c r="C132" s="197" t="s">
        <v>378</v>
      </c>
      <c r="D132" s="197" t="s">
        <v>478</v>
      </c>
      <c r="E132" s="197" t="s">
        <v>237</v>
      </c>
      <c r="F132" s="197" t="s">
        <v>484</v>
      </c>
      <c r="G132" s="197" t="s">
        <v>361</v>
      </c>
      <c r="H132" s="197" t="s">
        <v>501</v>
      </c>
      <c r="I132" s="197"/>
      <c r="J132" s="197"/>
      <c r="K132" s="197"/>
      <c r="L132" s="197"/>
      <c r="M132" s="197" t="s">
        <v>35</v>
      </c>
      <c r="N132" s="197" t="s">
        <v>360</v>
      </c>
      <c r="O132" s="204"/>
      <c r="P132" s="204"/>
      <c r="Q132" s="217"/>
      <c r="R132" s="284">
        <v>0</v>
      </c>
      <c r="S132" s="285">
        <v>0</v>
      </c>
      <c r="T132" s="207" t="str">
        <f>IF(CampList[[#This Row],[HH]]&gt;0,CampList[[#This Row],[Total]]/CampList[[#This Row],[HH]],"NA")</f>
        <v>NA</v>
      </c>
      <c r="U132" s="199" t="s">
        <v>464</v>
      </c>
      <c r="V132" s="199" t="s">
        <v>994</v>
      </c>
      <c r="W132" s="199" t="s">
        <v>507</v>
      </c>
      <c r="X132" s="199"/>
      <c r="Y132" s="218"/>
      <c r="Z132" s="209"/>
      <c r="AA132" s="223"/>
      <c r="AB132" s="210">
        <v>41712</v>
      </c>
      <c r="AC132" s="203" t="s">
        <v>878</v>
      </c>
      <c r="AD132" s="199" t="str">
        <f ca="1">IFERROR(OFFSET(DistanceToCamp[Nearest Town],MATCH(CampList[[#This Row],[CP_Pcode]],DistanceToCamp[CP_Pcode],0)-1,0,1,1),"")</f>
        <v/>
      </c>
      <c r="AE132" s="212" t="str">
        <f ca="1">IFERROR(OFFSET(DistanceToCamp[distance],MATCH(CampList[[#This Row],[CP_Pcode]],DistanceToCamp[CP_Pcode],0)-1,0,1,1),"")</f>
        <v/>
      </c>
      <c r="AF132" s="213" t="str">
        <f ca="1">IFERROR(INT(CampList[[#This Row],[Distance]]/5)+1,"")</f>
        <v/>
      </c>
    </row>
    <row r="133" spans="2:32" ht="15.75" customHeight="1" x14ac:dyDescent="0.25">
      <c r="B133" s="203" t="s">
        <v>1740</v>
      </c>
      <c r="C133" s="197" t="s">
        <v>378</v>
      </c>
      <c r="D133" s="197" t="s">
        <v>478</v>
      </c>
      <c r="E133" s="197" t="s">
        <v>180</v>
      </c>
      <c r="F133" s="197" t="s">
        <v>479</v>
      </c>
      <c r="G133" s="197" t="s">
        <v>480</v>
      </c>
      <c r="H133" s="197" t="s">
        <v>481</v>
      </c>
      <c r="I133" s="211" t="s">
        <v>552</v>
      </c>
      <c r="J133" s="211" t="s">
        <v>553</v>
      </c>
      <c r="K133" s="211" t="s">
        <v>554</v>
      </c>
      <c r="L133" s="211">
        <v>166775</v>
      </c>
      <c r="M133" s="197" t="s">
        <v>52</v>
      </c>
      <c r="N133" s="197" t="s">
        <v>51</v>
      </c>
      <c r="O133" s="204">
        <v>96.346469999999997</v>
      </c>
      <c r="P133" s="204">
        <v>25.647649999999999</v>
      </c>
      <c r="Q133" s="205">
        <v>0</v>
      </c>
      <c r="R133" s="274">
        <v>36</v>
      </c>
      <c r="S133" s="274">
        <v>226</v>
      </c>
      <c r="T133" s="207">
        <f>IF(CampList[[#This Row],[HH]]&gt;0,CampList[[#This Row],[Total]]/CampList[[#This Row],[HH]],"NA")</f>
        <v>6.2777777777777777</v>
      </c>
      <c r="U133" s="199" t="s">
        <v>464</v>
      </c>
      <c r="V133" s="199" t="s">
        <v>994</v>
      </c>
      <c r="W133" s="199" t="s">
        <v>507</v>
      </c>
      <c r="X133" s="199" t="s">
        <v>784</v>
      </c>
      <c r="Y133" s="312">
        <v>41275</v>
      </c>
      <c r="Z133" s="673" t="s">
        <v>424</v>
      </c>
      <c r="AA133" s="223" t="s">
        <v>774</v>
      </c>
      <c r="AB133" s="210">
        <v>43405</v>
      </c>
      <c r="AC133" s="203" t="s">
        <v>1886</v>
      </c>
      <c r="AD133" s="199" t="str">
        <f ca="1">IFERROR(OFFSET(DistanceToCamp[Nearest Town],MATCH(CampList[[#This Row],[CP_Pcode]],DistanceToCamp[CP_Pcode],0)-1,0,1,1),"")</f>
        <v>Hpakant Town</v>
      </c>
      <c r="AE133" s="212">
        <f ca="1">IFERROR(OFFSET(DistanceToCamp[distance],MATCH(CampList[[#This Row],[CP_Pcode]],DistanceToCamp[CP_Pcode],0)-1,0,1,1),"")</f>
        <v>5.184483270539272</v>
      </c>
      <c r="AF133" s="213">
        <f ca="1">IFERROR(INT(CampList[[#This Row],[Distance]]/5)+1,"")</f>
        <v>2</v>
      </c>
    </row>
    <row r="134" spans="2:32" ht="15.75" customHeight="1" x14ac:dyDescent="0.25">
      <c r="B134" s="203" t="s">
        <v>1740</v>
      </c>
      <c r="C134" s="197" t="s">
        <v>378</v>
      </c>
      <c r="D134" s="197" t="s">
        <v>478</v>
      </c>
      <c r="E134" s="197" t="s">
        <v>180</v>
      </c>
      <c r="F134" s="197" t="s">
        <v>479</v>
      </c>
      <c r="G134" s="197" t="s">
        <v>480</v>
      </c>
      <c r="H134" s="197" t="s">
        <v>481</v>
      </c>
      <c r="I134" s="211" t="s">
        <v>552</v>
      </c>
      <c r="J134" s="211" t="s">
        <v>553</v>
      </c>
      <c r="K134" s="211" t="s">
        <v>1095</v>
      </c>
      <c r="L134" s="222">
        <v>216876</v>
      </c>
      <c r="M134" s="197" t="s">
        <v>76</v>
      </c>
      <c r="N134" s="197" t="s">
        <v>75</v>
      </c>
      <c r="O134" s="204">
        <v>96.35257</v>
      </c>
      <c r="P134" s="204">
        <v>25.637309999999999</v>
      </c>
      <c r="Q134" s="205">
        <v>277.60000000000002</v>
      </c>
      <c r="R134" s="274">
        <v>70</v>
      </c>
      <c r="S134" s="274">
        <v>375</v>
      </c>
      <c r="T134" s="207">
        <f>IF(CampList[[#This Row],[HH]]&gt;0,CampList[[#This Row],[Total]]/CampList[[#This Row],[HH]],"NA")</f>
        <v>5.3571428571428568</v>
      </c>
      <c r="U134" s="199" t="s">
        <v>464</v>
      </c>
      <c r="V134" s="199" t="s">
        <v>994</v>
      </c>
      <c r="W134" s="199" t="s">
        <v>507</v>
      </c>
      <c r="X134" s="183" t="s">
        <v>742</v>
      </c>
      <c r="Y134" s="312">
        <v>41275</v>
      </c>
      <c r="Z134" s="673" t="s">
        <v>462</v>
      </c>
      <c r="AA134" s="223" t="s">
        <v>774</v>
      </c>
      <c r="AB134" s="210">
        <v>43405</v>
      </c>
      <c r="AC134" s="203" t="s">
        <v>1811</v>
      </c>
      <c r="AD134" s="199" t="str">
        <f ca="1">IFERROR(OFFSET(DistanceToCamp[Nearest Town],MATCH(CampList[[#This Row],[CP_Pcode]],DistanceToCamp[CP_Pcode],0)-1,0,1,1),"")</f>
        <v>Hpakant Town</v>
      </c>
      <c r="AE134" s="212">
        <f ca="1">IFERROR(OFFSET(DistanceToCamp[distance],MATCH(CampList[[#This Row],[CP_Pcode]],DistanceToCamp[CP_Pcode],0)-1,0,1,1),"")</f>
        <v>4.8862832644478198</v>
      </c>
      <c r="AF134" s="213">
        <f ca="1">IFERROR(INT(CampList[[#This Row],[Distance]]/5)+1,"")</f>
        <v>1</v>
      </c>
    </row>
    <row r="135" spans="2:32" ht="15.75" customHeight="1" x14ac:dyDescent="0.25">
      <c r="B135" s="203" t="s">
        <v>1740</v>
      </c>
      <c r="C135" s="197" t="s">
        <v>378</v>
      </c>
      <c r="D135" s="197" t="s">
        <v>478</v>
      </c>
      <c r="E135" s="197" t="s">
        <v>180</v>
      </c>
      <c r="F135" s="197" t="s">
        <v>479</v>
      </c>
      <c r="G135" s="197" t="s">
        <v>480</v>
      </c>
      <c r="H135" s="197" t="s">
        <v>481</v>
      </c>
      <c r="I135" s="211" t="s">
        <v>552</v>
      </c>
      <c r="J135" s="211" t="s">
        <v>553</v>
      </c>
      <c r="K135" s="211" t="s">
        <v>552</v>
      </c>
      <c r="L135" s="214">
        <v>166773</v>
      </c>
      <c r="M135" s="197" t="s">
        <v>41</v>
      </c>
      <c r="N135" s="197" t="s">
        <v>40</v>
      </c>
      <c r="O135" s="204">
        <v>96.345569999999995</v>
      </c>
      <c r="P135" s="204">
        <v>25.635300000000001</v>
      </c>
      <c r="Q135" s="205">
        <v>0</v>
      </c>
      <c r="R135" s="274">
        <v>70</v>
      </c>
      <c r="S135" s="274">
        <v>374</v>
      </c>
      <c r="T135" s="207">
        <f>IF(CampList[[#This Row],[HH]]&gt;0,CampList[[#This Row],[Total]]/CampList[[#This Row],[HH]],"NA")</f>
        <v>5.3428571428571425</v>
      </c>
      <c r="U135" s="199" t="s">
        <v>464</v>
      </c>
      <c r="V135" s="199" t="s">
        <v>994</v>
      </c>
      <c r="W135" s="199" t="s">
        <v>507</v>
      </c>
      <c r="X135" s="199" t="s">
        <v>742</v>
      </c>
      <c r="Y135" s="312">
        <v>41275</v>
      </c>
      <c r="Z135" s="673" t="s">
        <v>462</v>
      </c>
      <c r="AA135" s="223" t="s">
        <v>774</v>
      </c>
      <c r="AB135" s="210">
        <v>43405</v>
      </c>
      <c r="AC135" s="203" t="s">
        <v>1812</v>
      </c>
      <c r="AD135" s="199" t="str">
        <f ca="1">IFERROR(OFFSET(DistanceToCamp[Nearest Town],MATCH(CampList[[#This Row],[CP_Pcode]],DistanceToCamp[CP_Pcode],0)-1,0,1,1),"")</f>
        <v>Hpakant Town</v>
      </c>
      <c r="AE135" s="212">
        <f ca="1">IFERROR(OFFSET(DistanceToCamp[distance],MATCH(CampList[[#This Row],[CP_Pcode]],DistanceToCamp[CP_Pcode],0)-1,0,1,1),"")</f>
        <v>4.1842484710239098</v>
      </c>
      <c r="AF135" s="213">
        <f ca="1">IFERROR(INT(CampList[[#This Row],[Distance]]/5)+1,"")</f>
        <v>1</v>
      </c>
    </row>
    <row r="136" spans="2:32" ht="15.75" hidden="1" customHeight="1" x14ac:dyDescent="0.25">
      <c r="B136" s="203" t="s">
        <v>775</v>
      </c>
      <c r="C136" s="197" t="s">
        <v>378</v>
      </c>
      <c r="D136" s="197" t="s">
        <v>478</v>
      </c>
      <c r="E136" s="197" t="s">
        <v>5</v>
      </c>
      <c r="F136" s="197" t="s">
        <v>482</v>
      </c>
      <c r="G136" s="197" t="s">
        <v>5</v>
      </c>
      <c r="H136" s="197" t="s">
        <v>483</v>
      </c>
      <c r="I136" s="197"/>
      <c r="J136" s="197"/>
      <c r="K136" s="197"/>
      <c r="L136" s="197"/>
      <c r="M136" s="197" t="s">
        <v>10</v>
      </c>
      <c r="N136" s="197" t="s">
        <v>9</v>
      </c>
      <c r="O136" s="204"/>
      <c r="P136" s="204"/>
      <c r="Q136" s="217"/>
      <c r="R136" s="284">
        <v>0</v>
      </c>
      <c r="S136" s="285">
        <v>0</v>
      </c>
      <c r="T136" s="207" t="str">
        <f>IF(CampList[[#This Row],[HH]]&gt;0,CampList[[#This Row],[Total]]/CampList[[#This Row],[HH]],"NA")</f>
        <v>NA</v>
      </c>
      <c r="U136" s="199" t="s">
        <v>464</v>
      </c>
      <c r="V136" s="199" t="s">
        <v>994</v>
      </c>
      <c r="W136" s="227" t="s">
        <v>12</v>
      </c>
      <c r="X136" s="199"/>
      <c r="Y136" s="218"/>
      <c r="Z136" s="209"/>
      <c r="AA136" s="303"/>
      <c r="AB136" s="230">
        <v>41666</v>
      </c>
      <c r="AC136" s="211" t="s">
        <v>844</v>
      </c>
      <c r="AD136" s="199" t="str">
        <f ca="1">IFERROR(OFFSET(DistanceToCamp[Nearest Town],MATCH(CampList[[#This Row],[CP_Pcode]],DistanceToCamp[CP_Pcode],0)-1,0,1,1),"")</f>
        <v/>
      </c>
      <c r="AE136" s="212" t="str">
        <f ca="1">IFERROR(OFFSET(DistanceToCamp[distance],MATCH(CampList[[#This Row],[CP_Pcode]],DistanceToCamp[CP_Pcode],0)-1,0,1,1),"")</f>
        <v/>
      </c>
      <c r="AF136" s="213" t="str">
        <f ca="1">IFERROR(INT(CampList[[#This Row],[Distance]]/5)+1,"")</f>
        <v/>
      </c>
    </row>
    <row r="137" spans="2:32" ht="15.75" customHeight="1" x14ac:dyDescent="0.25">
      <c r="B137" s="203" t="s">
        <v>1740</v>
      </c>
      <c r="C137" s="197" t="s">
        <v>378</v>
      </c>
      <c r="D137" s="197" t="s">
        <v>478</v>
      </c>
      <c r="E137" s="197" t="s">
        <v>180</v>
      </c>
      <c r="F137" s="197" t="s">
        <v>479</v>
      </c>
      <c r="G137" s="197" t="s">
        <v>480</v>
      </c>
      <c r="H137" s="197" t="s">
        <v>481</v>
      </c>
      <c r="I137" s="197" t="s">
        <v>538</v>
      </c>
      <c r="J137" s="197" t="s">
        <v>539</v>
      </c>
      <c r="K137" s="211" t="s">
        <v>540</v>
      </c>
      <c r="L137" s="211">
        <v>166785</v>
      </c>
      <c r="M137" s="197" t="s">
        <v>90</v>
      </c>
      <c r="N137" s="197" t="s">
        <v>89</v>
      </c>
      <c r="O137" s="204">
        <v>96.269199999999998</v>
      </c>
      <c r="P137" s="204">
        <v>25.566510000000001</v>
      </c>
      <c r="Q137" s="205">
        <v>278</v>
      </c>
      <c r="R137" s="274">
        <v>18</v>
      </c>
      <c r="S137" s="274">
        <v>102</v>
      </c>
      <c r="T137" s="207">
        <f>IF(CampList[[#This Row],[HH]]&gt;0,CampList[[#This Row],[Total]]/CampList[[#This Row],[HH]],"NA")</f>
        <v>5.666666666666667</v>
      </c>
      <c r="U137" s="199" t="s">
        <v>464</v>
      </c>
      <c r="V137" s="199" t="s">
        <v>994</v>
      </c>
      <c r="W137" s="199" t="s">
        <v>507</v>
      </c>
      <c r="X137" s="199" t="s">
        <v>784</v>
      </c>
      <c r="Y137" s="312">
        <v>41275</v>
      </c>
      <c r="Z137" s="673" t="s">
        <v>462</v>
      </c>
      <c r="AA137" s="223" t="s">
        <v>774</v>
      </c>
      <c r="AB137" s="210">
        <v>43405</v>
      </c>
      <c r="AC137" s="203" t="s">
        <v>1813</v>
      </c>
      <c r="AD137" s="199" t="str">
        <f ca="1">IFERROR(OFFSET(DistanceToCamp[Nearest Town],MATCH(CampList[[#This Row],[CP_Pcode]],DistanceToCamp[CP_Pcode],0)-1,0,1,1),"")</f>
        <v>Hpakant Town</v>
      </c>
      <c r="AE137" s="212">
        <f ca="1">IFERROR(OFFSET(DistanceToCamp[distance],MATCH(CampList[[#This Row],[CP_Pcode]],DistanceToCamp[CP_Pcode],0)-1,0,1,1),"")</f>
        <v>6.7094919928483892</v>
      </c>
      <c r="AF137" s="213">
        <f ca="1">IFERROR(INT(CampList[[#This Row],[Distance]]/5)+1,"")</f>
        <v>2</v>
      </c>
    </row>
    <row r="138" spans="2:32" ht="15.75" customHeight="1" x14ac:dyDescent="0.25">
      <c r="B138" s="203" t="s">
        <v>1740</v>
      </c>
      <c r="C138" s="197" t="s">
        <v>378</v>
      </c>
      <c r="D138" s="197" t="s">
        <v>478</v>
      </c>
      <c r="E138" s="197" t="s">
        <v>180</v>
      </c>
      <c r="F138" s="197" t="s">
        <v>479</v>
      </c>
      <c r="G138" s="197" t="s">
        <v>480</v>
      </c>
      <c r="H138" s="197" t="s">
        <v>481</v>
      </c>
      <c r="I138" s="197" t="s">
        <v>538</v>
      </c>
      <c r="J138" s="197" t="s">
        <v>539</v>
      </c>
      <c r="K138" s="197" t="s">
        <v>540</v>
      </c>
      <c r="L138" s="197">
        <v>166785</v>
      </c>
      <c r="M138" s="197" t="s">
        <v>118</v>
      </c>
      <c r="N138" s="197" t="s">
        <v>117</v>
      </c>
      <c r="O138" s="204">
        <v>96.279200000000003</v>
      </c>
      <c r="P138" s="204">
        <v>25.56551</v>
      </c>
      <c r="Q138" s="205">
        <v>259</v>
      </c>
      <c r="R138" s="274">
        <v>10</v>
      </c>
      <c r="S138" s="274">
        <v>38</v>
      </c>
      <c r="T138" s="207">
        <f>IF(CampList[[#This Row],[HH]]&gt;0,CampList[[#This Row],[Total]]/CampList[[#This Row],[HH]],"NA")</f>
        <v>3.8</v>
      </c>
      <c r="U138" s="199" t="s">
        <v>464</v>
      </c>
      <c r="V138" s="199" t="s">
        <v>994</v>
      </c>
      <c r="W138" s="199" t="s">
        <v>1381</v>
      </c>
      <c r="X138" s="199" t="s">
        <v>784</v>
      </c>
      <c r="Y138" s="312">
        <v>41275</v>
      </c>
      <c r="Z138" s="673" t="s">
        <v>1314</v>
      </c>
      <c r="AA138" s="197" t="s">
        <v>774</v>
      </c>
      <c r="AB138" s="210">
        <v>43405</v>
      </c>
      <c r="AC138" s="211" t="s">
        <v>1939</v>
      </c>
      <c r="AD138" s="199" t="str">
        <f ca="1">IFERROR(OFFSET(DistanceToCamp[Nearest Town],MATCH(CampList[[#This Row],[CP_Pcode]],DistanceToCamp[CP_Pcode],0)-1,0,1,1),"")</f>
        <v>Hpakant Town</v>
      </c>
      <c r="AE138" s="212">
        <f ca="1">IFERROR(OFFSET(DistanceToCamp[distance],MATCH(CampList[[#This Row],[CP_Pcode]],DistanceToCamp[CP_Pcode],0)-1,0,1,1),"")</f>
        <v>6.2085564346706201</v>
      </c>
      <c r="AF138" s="213">
        <f ca="1">IFERROR(INT(CampList[[#This Row],[Distance]]/5)+1,"")</f>
        <v>2</v>
      </c>
    </row>
    <row r="139" spans="2:32" ht="15.75" customHeight="1" x14ac:dyDescent="0.25">
      <c r="B139" s="203" t="s">
        <v>1740</v>
      </c>
      <c r="C139" s="197" t="s">
        <v>378</v>
      </c>
      <c r="D139" s="197" t="s">
        <v>478</v>
      </c>
      <c r="E139" s="197" t="s">
        <v>180</v>
      </c>
      <c r="F139" s="197" t="s">
        <v>479</v>
      </c>
      <c r="G139" s="197" t="s">
        <v>480</v>
      </c>
      <c r="H139" s="197" t="s">
        <v>481</v>
      </c>
      <c r="I139" s="197" t="s">
        <v>538</v>
      </c>
      <c r="J139" s="197" t="s">
        <v>539</v>
      </c>
      <c r="K139" s="197" t="s">
        <v>542</v>
      </c>
      <c r="L139" s="197">
        <v>166788</v>
      </c>
      <c r="M139" s="197" t="s">
        <v>126</v>
      </c>
      <c r="N139" s="197" t="s">
        <v>125</v>
      </c>
      <c r="O139" s="204">
        <v>96.286680000000004</v>
      </c>
      <c r="P139" s="204">
        <v>25.577559999999998</v>
      </c>
      <c r="Q139" s="205">
        <v>0</v>
      </c>
      <c r="R139" s="274">
        <v>32</v>
      </c>
      <c r="S139" s="274">
        <v>173</v>
      </c>
      <c r="T139" s="207">
        <f>IF(CampList[[#This Row],[HH]]&gt;0,CampList[[#This Row],[Total]]/CampList[[#This Row],[HH]],"NA")</f>
        <v>5.40625</v>
      </c>
      <c r="U139" s="199" t="s">
        <v>464</v>
      </c>
      <c r="V139" s="199" t="s">
        <v>994</v>
      </c>
      <c r="W139" s="199" t="s">
        <v>507</v>
      </c>
      <c r="X139" s="199" t="s">
        <v>742</v>
      </c>
      <c r="Y139" s="312">
        <v>41275</v>
      </c>
      <c r="Z139" s="673" t="s">
        <v>424</v>
      </c>
      <c r="AA139" s="197" t="s">
        <v>774</v>
      </c>
      <c r="AB139" s="210">
        <v>43405</v>
      </c>
      <c r="AC139" s="211" t="s">
        <v>1887</v>
      </c>
      <c r="AD139" s="199" t="str">
        <f ca="1">IFERROR(OFFSET(DistanceToCamp[Nearest Town],MATCH(CampList[[#This Row],[CP_Pcode]],DistanceToCamp[CP_Pcode],0)-1,0,1,1),"")</f>
        <v>Hpakant Town</v>
      </c>
      <c r="AE139" s="212">
        <f ca="1">IFERROR(OFFSET(DistanceToCamp[distance],MATCH(CampList[[#This Row],[CP_Pcode]],DistanceToCamp[CP_Pcode],0)-1,0,1,1),"")</f>
        <v>4.6754712546149264</v>
      </c>
      <c r="AF139" s="213">
        <f ca="1">IFERROR(INT(CampList[[#This Row],[Distance]]/5)+1,"")</f>
        <v>1</v>
      </c>
    </row>
    <row r="140" spans="2:32" ht="15.75" customHeight="1" x14ac:dyDescent="0.25">
      <c r="B140" s="203" t="s">
        <v>1740</v>
      </c>
      <c r="C140" s="197" t="s">
        <v>378</v>
      </c>
      <c r="D140" s="197" t="s">
        <v>478</v>
      </c>
      <c r="E140" s="197" t="s">
        <v>180</v>
      </c>
      <c r="F140" s="690" t="s">
        <v>479</v>
      </c>
      <c r="G140" s="690" t="s">
        <v>480</v>
      </c>
      <c r="H140" s="690" t="s">
        <v>481</v>
      </c>
      <c r="I140" s="692" t="s">
        <v>543</v>
      </c>
      <c r="J140" s="692" t="s">
        <v>544</v>
      </c>
      <c r="K140" s="211" t="s">
        <v>547</v>
      </c>
      <c r="L140" s="211" t="s">
        <v>548</v>
      </c>
      <c r="M140" s="197" t="s">
        <v>43</v>
      </c>
      <c r="N140" s="197" t="s">
        <v>42</v>
      </c>
      <c r="O140" s="204">
        <v>96.317350000000005</v>
      </c>
      <c r="P140" s="204">
        <v>25.616509000000001</v>
      </c>
      <c r="Q140" s="205">
        <v>264</v>
      </c>
      <c r="R140" s="274">
        <v>13</v>
      </c>
      <c r="S140" s="274">
        <v>83</v>
      </c>
      <c r="T140" s="207">
        <f>IF(CampList[[#This Row],[HH]]&gt;0,CampList[[#This Row],[Total]]/CampList[[#This Row],[HH]],"NA")</f>
        <v>6.384615384615385</v>
      </c>
      <c r="U140" s="199" t="s">
        <v>464</v>
      </c>
      <c r="V140" s="199" t="s">
        <v>994</v>
      </c>
      <c r="W140" s="199" t="s">
        <v>507</v>
      </c>
      <c r="X140" s="183" t="s">
        <v>742</v>
      </c>
      <c r="Y140" s="312">
        <v>41275</v>
      </c>
      <c r="Z140" s="673" t="s">
        <v>462</v>
      </c>
      <c r="AA140" s="223" t="s">
        <v>774</v>
      </c>
      <c r="AB140" s="210">
        <v>43405</v>
      </c>
      <c r="AC140" s="203" t="s">
        <v>1814</v>
      </c>
      <c r="AD140" s="199" t="str">
        <f ca="1">IFERROR(OFFSET(DistanceToCamp[Nearest Town],MATCH(CampList[[#This Row],[CP_Pcode]],DistanceToCamp[CP_Pcode],0)-1,0,1,1),"")</f>
        <v>Hpakant Town</v>
      </c>
      <c r="AE140" s="212">
        <f ca="1">IFERROR(OFFSET(DistanceToCamp[distance],MATCH(CampList[[#This Row],[CP_Pcode]],DistanceToCamp[CP_Pcode],0)-1,0,1,1),"")</f>
        <v>0.66733171900141897</v>
      </c>
      <c r="AF140" s="213">
        <f ca="1">IFERROR(INT(CampList[[#This Row],[Distance]]/5)+1,"")</f>
        <v>1</v>
      </c>
    </row>
    <row r="141" spans="2:32" ht="15.75" customHeight="1" x14ac:dyDescent="0.25">
      <c r="B141" s="203" t="s">
        <v>1740</v>
      </c>
      <c r="C141" s="197" t="s">
        <v>378</v>
      </c>
      <c r="D141" s="197" t="s">
        <v>478</v>
      </c>
      <c r="E141" s="197" t="s">
        <v>180</v>
      </c>
      <c r="F141" s="197" t="s">
        <v>479</v>
      </c>
      <c r="G141" s="197" t="s">
        <v>480</v>
      </c>
      <c r="H141" s="197" t="s">
        <v>481</v>
      </c>
      <c r="I141" s="211" t="s">
        <v>543</v>
      </c>
      <c r="J141" s="211" t="s">
        <v>544</v>
      </c>
      <c r="K141" s="211" t="s">
        <v>547</v>
      </c>
      <c r="L141" s="211" t="s">
        <v>548</v>
      </c>
      <c r="M141" s="197" t="s">
        <v>44</v>
      </c>
      <c r="N141" s="197" t="s">
        <v>45</v>
      </c>
      <c r="O141" s="204">
        <v>96.316564</v>
      </c>
      <c r="P141" s="204">
        <v>25.615960999999999</v>
      </c>
      <c r="Q141" s="205">
        <v>281</v>
      </c>
      <c r="R141" s="274">
        <v>2</v>
      </c>
      <c r="S141" s="274">
        <v>14</v>
      </c>
      <c r="T141" s="207">
        <f>IF(CampList[[#This Row],[HH]]&gt;0,CampList[[#This Row],[Total]]/CampList[[#This Row],[HH]],"NA")</f>
        <v>7</v>
      </c>
      <c r="U141" s="199" t="s">
        <v>464</v>
      </c>
      <c r="V141" s="199" t="s">
        <v>994</v>
      </c>
      <c r="W141" s="199" t="s">
        <v>1381</v>
      </c>
      <c r="X141" s="199" t="s">
        <v>742</v>
      </c>
      <c r="Y141" s="312">
        <v>41122</v>
      </c>
      <c r="Z141" s="208" t="s">
        <v>1314</v>
      </c>
      <c r="AA141" s="223" t="s">
        <v>774</v>
      </c>
      <c r="AB141" s="210">
        <v>43405</v>
      </c>
      <c r="AC141" s="203" t="s">
        <v>1940</v>
      </c>
      <c r="AD141" s="199" t="str">
        <f ca="1">IFERROR(OFFSET(DistanceToCamp[Nearest Town],MATCH(CampList[[#This Row],[CP_Pcode]],DistanceToCamp[CP_Pcode],0)-1,0,1,1),"")</f>
        <v>Hpakant Town</v>
      </c>
      <c r="AE141" s="212">
        <f ca="1">IFERROR(OFFSET(DistanceToCamp[distance],MATCH(CampList[[#This Row],[CP_Pcode]],DistanceToCamp[CP_Pcode],0)-1,0,1,1),"")</f>
        <v>0.56771790814545575</v>
      </c>
      <c r="AF141" s="213">
        <f ca="1">IFERROR(INT(CampList[[#This Row],[Distance]]/5)+1,"")</f>
        <v>1</v>
      </c>
    </row>
    <row r="142" spans="2:32" ht="15.75" customHeight="1" x14ac:dyDescent="0.25">
      <c r="B142" s="203" t="s">
        <v>1740</v>
      </c>
      <c r="C142" s="197" t="s">
        <v>378</v>
      </c>
      <c r="D142" s="197" t="s">
        <v>478</v>
      </c>
      <c r="E142" s="197" t="s">
        <v>180</v>
      </c>
      <c r="F142" s="197" t="s">
        <v>479</v>
      </c>
      <c r="G142" s="197" t="s">
        <v>480</v>
      </c>
      <c r="H142" s="197" t="s">
        <v>481</v>
      </c>
      <c r="I142" s="211" t="s">
        <v>549</v>
      </c>
      <c r="J142" s="211" t="s">
        <v>550</v>
      </c>
      <c r="K142" s="211" t="s">
        <v>549</v>
      </c>
      <c r="L142" s="692">
        <v>166776</v>
      </c>
      <c r="M142" s="197" t="s">
        <v>551</v>
      </c>
      <c r="N142" s="197" t="s">
        <v>46</v>
      </c>
      <c r="O142" s="204">
        <v>96.339590000000001</v>
      </c>
      <c r="P142" s="204">
        <v>25.617998</v>
      </c>
      <c r="Q142" s="217"/>
      <c r="R142" s="274">
        <v>11</v>
      </c>
      <c r="S142" s="274">
        <v>43</v>
      </c>
      <c r="T142" s="207">
        <f>IF(CampList[[#This Row],[HH]]&gt;0,CampList[[#This Row],[Total]]/CampList[[#This Row],[HH]],"NA")</f>
        <v>3.9090909090909092</v>
      </c>
      <c r="U142" s="199" t="s">
        <v>464</v>
      </c>
      <c r="V142" s="199" t="s">
        <v>994</v>
      </c>
      <c r="W142" s="199" t="s">
        <v>1381</v>
      </c>
      <c r="X142" s="199" t="s">
        <v>742</v>
      </c>
      <c r="Y142" s="312">
        <v>41275</v>
      </c>
      <c r="Z142" s="208" t="s">
        <v>1314</v>
      </c>
      <c r="AA142" s="223" t="s">
        <v>774</v>
      </c>
      <c r="AB142" s="210">
        <v>43405</v>
      </c>
      <c r="AC142" s="203" t="s">
        <v>1941</v>
      </c>
      <c r="AD142" s="199" t="str">
        <f ca="1">IFERROR(OFFSET(DistanceToCamp[Nearest Town],MATCH(CampList[[#This Row],[CP_Pcode]],DistanceToCamp[CP_Pcode],0)-1,0,1,1),"")</f>
        <v>Hpakant Town</v>
      </c>
      <c r="AE142" s="212">
        <f ca="1">IFERROR(OFFSET(DistanceToCamp[distance],MATCH(CampList[[#This Row],[CP_Pcode]],DistanceToCamp[CP_Pcode],0)-1,0,1,1),"")</f>
        <v>2.814225084976667</v>
      </c>
      <c r="AF142" s="213">
        <f ca="1">IFERROR(INT(CampList[[#This Row],[Distance]]/5)+1,"")</f>
        <v>1</v>
      </c>
    </row>
    <row r="143" spans="2:32" ht="15.75" hidden="1" customHeight="1" x14ac:dyDescent="0.25">
      <c r="B143" s="203" t="s">
        <v>775</v>
      </c>
      <c r="C143" s="197" t="s">
        <v>378</v>
      </c>
      <c r="D143" s="197" t="s">
        <v>478</v>
      </c>
      <c r="E143" s="197" t="s">
        <v>180</v>
      </c>
      <c r="F143" s="197" t="s">
        <v>479</v>
      </c>
      <c r="G143" s="197" t="s">
        <v>480</v>
      </c>
      <c r="H143" s="197" t="s">
        <v>481</v>
      </c>
      <c r="I143" s="211" t="s">
        <v>552</v>
      </c>
      <c r="J143" s="211" t="s">
        <v>553</v>
      </c>
      <c r="K143" s="211" t="s">
        <v>700</v>
      </c>
      <c r="L143" s="211">
        <v>216877</v>
      </c>
      <c r="M143" s="197" t="s">
        <v>48</v>
      </c>
      <c r="N143" s="197" t="s">
        <v>47</v>
      </c>
      <c r="O143" s="204">
        <v>96.339870000000005</v>
      </c>
      <c r="P143" s="204">
        <v>25.655989999999999</v>
      </c>
      <c r="Q143" s="217"/>
      <c r="R143" s="284"/>
      <c r="S143" s="285"/>
      <c r="T143" s="207" t="str">
        <f>IF(CampList[[#This Row],[HH]]&gt;0,CampList[[#This Row],[Total]]/CampList[[#This Row],[HH]],"NA")</f>
        <v>NA</v>
      </c>
      <c r="U143" s="199" t="s">
        <v>464</v>
      </c>
      <c r="V143" s="199" t="s">
        <v>994</v>
      </c>
      <c r="W143" s="199" t="s">
        <v>507</v>
      </c>
      <c r="X143" s="199"/>
      <c r="Y143" s="218"/>
      <c r="Z143" s="209"/>
      <c r="AA143" s="223"/>
      <c r="AB143" s="226"/>
      <c r="AC143" s="203" t="s">
        <v>541</v>
      </c>
      <c r="AD143" s="199" t="str">
        <f ca="1">IFERROR(OFFSET(DistanceToCamp[Nearest Town],MATCH(CampList[[#This Row],[CP_Pcode]],DistanceToCamp[CP_Pcode],0)-1,0,1,1),"")</f>
        <v/>
      </c>
      <c r="AE143" s="212" t="str">
        <f ca="1">IFERROR(OFFSET(DistanceToCamp[distance],MATCH(CampList[[#This Row],[CP_Pcode]],DistanceToCamp[CP_Pcode],0)-1,0,1,1),"")</f>
        <v/>
      </c>
      <c r="AF143" s="213" t="str">
        <f ca="1">IFERROR(INT(CampList[[#This Row],[Distance]]/5)+1,"")</f>
        <v/>
      </c>
    </row>
    <row r="144" spans="2:32" ht="15.75" hidden="1" customHeight="1" x14ac:dyDescent="0.25">
      <c r="B144" s="203" t="s">
        <v>775</v>
      </c>
      <c r="C144" s="197" t="s">
        <v>378</v>
      </c>
      <c r="D144" s="197" t="s">
        <v>478</v>
      </c>
      <c r="E144" s="197" t="s">
        <v>180</v>
      </c>
      <c r="F144" s="197" t="s">
        <v>479</v>
      </c>
      <c r="G144" s="197" t="s">
        <v>480</v>
      </c>
      <c r="H144" s="197" t="s">
        <v>481</v>
      </c>
      <c r="I144" s="211" t="s">
        <v>552</v>
      </c>
      <c r="J144" s="211" t="s">
        <v>553</v>
      </c>
      <c r="K144" s="211" t="s">
        <v>552</v>
      </c>
      <c r="L144" s="211">
        <v>166773</v>
      </c>
      <c r="M144" s="197" t="s">
        <v>128</v>
      </c>
      <c r="N144" s="197" t="s">
        <v>127</v>
      </c>
      <c r="O144" s="204">
        <v>96.359549999999999</v>
      </c>
      <c r="P144" s="204">
        <v>25.658650000000002</v>
      </c>
      <c r="Q144" s="217"/>
      <c r="R144" s="284">
        <v>0</v>
      </c>
      <c r="S144" s="285">
        <v>0</v>
      </c>
      <c r="T144" s="207" t="str">
        <f>IF(CampList[[#This Row],[HH]]&gt;0,CampList[[#This Row],[Total]]/CampList[[#This Row],[HH]],"NA")</f>
        <v>NA</v>
      </c>
      <c r="U144" s="199" t="s">
        <v>464</v>
      </c>
      <c r="V144" s="199" t="s">
        <v>994</v>
      </c>
      <c r="W144" s="199" t="s">
        <v>507</v>
      </c>
      <c r="X144" s="199"/>
      <c r="Y144" s="218"/>
      <c r="Z144" s="209"/>
      <c r="AA144" s="223"/>
      <c r="AB144" s="226"/>
      <c r="AC144" s="203" t="s">
        <v>541</v>
      </c>
      <c r="AD144" s="199" t="str">
        <f ca="1">IFERROR(OFFSET(DistanceToCamp[Nearest Town],MATCH(CampList[[#This Row],[CP_Pcode]],DistanceToCamp[CP_Pcode],0)-1,0,1,1),"")</f>
        <v/>
      </c>
      <c r="AE144" s="212" t="str">
        <f ca="1">IFERROR(OFFSET(DistanceToCamp[distance],MATCH(CampList[[#This Row],[CP_Pcode]],DistanceToCamp[CP_Pcode],0)-1,0,1,1),"")</f>
        <v/>
      </c>
      <c r="AF144" s="213" t="str">
        <f ca="1">IFERROR(INT(CampList[[#This Row],[Distance]]/5)+1,"")</f>
        <v/>
      </c>
    </row>
    <row r="145" spans="2:35" ht="15.75" hidden="1" customHeight="1" x14ac:dyDescent="0.25">
      <c r="B145" s="203" t="s">
        <v>775</v>
      </c>
      <c r="C145" s="197" t="s">
        <v>378</v>
      </c>
      <c r="D145" s="197" t="s">
        <v>478</v>
      </c>
      <c r="E145" s="197" t="s">
        <v>180</v>
      </c>
      <c r="F145" s="197" t="s">
        <v>479</v>
      </c>
      <c r="G145" s="197" t="s">
        <v>480</v>
      </c>
      <c r="H145" s="197" t="s">
        <v>481</v>
      </c>
      <c r="I145" s="211" t="s">
        <v>552</v>
      </c>
      <c r="J145" s="211" t="s">
        <v>553</v>
      </c>
      <c r="K145" s="211" t="s">
        <v>555</v>
      </c>
      <c r="L145" s="211">
        <v>216880</v>
      </c>
      <c r="M145" s="197" t="s">
        <v>60</v>
      </c>
      <c r="N145" s="197" t="s">
        <v>59</v>
      </c>
      <c r="O145" s="204">
        <v>96.353070000000002</v>
      </c>
      <c r="P145" s="204">
        <v>25.668469999999999</v>
      </c>
      <c r="Q145" s="205">
        <v>256</v>
      </c>
      <c r="R145" s="284"/>
      <c r="S145" s="285"/>
      <c r="T145" s="207" t="str">
        <f>IF(CampList[[#This Row],[HH]]&gt;0,CampList[[#This Row],[Total]]/CampList[[#This Row],[HH]],"NA")</f>
        <v>NA</v>
      </c>
      <c r="U145" s="199" t="s">
        <v>464</v>
      </c>
      <c r="V145" s="199" t="s">
        <v>994</v>
      </c>
      <c r="W145" s="199" t="s">
        <v>507</v>
      </c>
      <c r="X145" s="199" t="s">
        <v>784</v>
      </c>
      <c r="Y145" s="673">
        <v>41275</v>
      </c>
      <c r="Z145" s="673"/>
      <c r="AA145" s="223" t="s">
        <v>773</v>
      </c>
      <c r="AB145" s="210">
        <v>41774</v>
      </c>
      <c r="AC145" s="203" t="s">
        <v>895</v>
      </c>
      <c r="AD145" s="199" t="str">
        <f ca="1">IFERROR(OFFSET(DistanceToCamp[Nearest Town],MATCH(CampList[[#This Row],[CP_Pcode]],DistanceToCamp[CP_Pcode],0)-1,0,1,1),"")</f>
        <v/>
      </c>
      <c r="AE145" s="212" t="str">
        <f ca="1">IFERROR(OFFSET(DistanceToCamp[distance],MATCH(CampList[[#This Row],[CP_Pcode]],DistanceToCamp[CP_Pcode],0)-1,0,1,1),"")</f>
        <v/>
      </c>
      <c r="AF145" s="213" t="str">
        <f ca="1">IFERROR(INT(CampList[[#This Row],[Distance]]/5)+1,"")</f>
        <v/>
      </c>
    </row>
    <row r="146" spans="2:35" ht="15.75" hidden="1" customHeight="1" x14ac:dyDescent="0.25">
      <c r="B146" s="203" t="s">
        <v>775</v>
      </c>
      <c r="C146" s="197" t="s">
        <v>378</v>
      </c>
      <c r="D146" s="197" t="s">
        <v>478</v>
      </c>
      <c r="E146" s="197" t="s">
        <v>180</v>
      </c>
      <c r="F146" s="197" t="s">
        <v>479</v>
      </c>
      <c r="G146" s="197" t="s">
        <v>480</v>
      </c>
      <c r="H146" s="197" t="s">
        <v>481</v>
      </c>
      <c r="I146" s="211" t="s">
        <v>552</v>
      </c>
      <c r="J146" s="211" t="s">
        <v>553</v>
      </c>
      <c r="K146" s="211" t="s">
        <v>554</v>
      </c>
      <c r="L146" s="211">
        <v>166775</v>
      </c>
      <c r="M146" s="197" t="s">
        <v>39</v>
      </c>
      <c r="N146" s="197" t="s">
        <v>38</v>
      </c>
      <c r="O146" s="204"/>
      <c r="P146" s="204"/>
      <c r="Q146" s="217"/>
      <c r="R146" s="284"/>
      <c r="S146" s="285"/>
      <c r="T146" s="207" t="str">
        <f>IF(CampList[[#This Row],[HH]]&gt;0,CampList[[#This Row],[Total]]/CampList[[#This Row],[HH]],"NA")</f>
        <v>NA</v>
      </c>
      <c r="U146" s="199" t="s">
        <v>464</v>
      </c>
      <c r="V146" s="199" t="s">
        <v>994</v>
      </c>
      <c r="W146" s="199" t="s">
        <v>507</v>
      </c>
      <c r="X146" s="199"/>
      <c r="Y146" s="218"/>
      <c r="Z146" s="209"/>
      <c r="AA146" s="223"/>
      <c r="AB146" s="226"/>
      <c r="AC146" s="203" t="s">
        <v>541</v>
      </c>
      <c r="AD146" s="199" t="str">
        <f ca="1">IFERROR(OFFSET(DistanceToCamp[Nearest Town],MATCH(CampList[[#This Row],[CP_Pcode]],DistanceToCamp[CP_Pcode],0)-1,0,1,1),"")</f>
        <v/>
      </c>
      <c r="AE146" s="212" t="str">
        <f ca="1">IFERROR(OFFSET(DistanceToCamp[distance],MATCH(CampList[[#This Row],[CP_Pcode]],DistanceToCamp[CP_Pcode],0)-1,0,1,1),"")</f>
        <v/>
      </c>
      <c r="AF146" s="213" t="str">
        <f ca="1">IFERROR(INT(CampList[[#This Row],[Distance]]/5)+1,"")</f>
        <v/>
      </c>
    </row>
    <row r="147" spans="2:35" ht="15.75" customHeight="1" x14ac:dyDescent="0.25">
      <c r="B147" s="203" t="s">
        <v>1740</v>
      </c>
      <c r="C147" s="197" t="s">
        <v>378</v>
      </c>
      <c r="D147" s="197" t="s">
        <v>478</v>
      </c>
      <c r="E147" s="197" t="s">
        <v>5</v>
      </c>
      <c r="F147" s="197" t="s">
        <v>482</v>
      </c>
      <c r="G147" s="197" t="s">
        <v>5</v>
      </c>
      <c r="H147" s="197" t="s">
        <v>483</v>
      </c>
      <c r="I147" s="197" t="s">
        <v>585</v>
      </c>
      <c r="J147" s="197" t="s">
        <v>586</v>
      </c>
      <c r="K147" s="197" t="s">
        <v>587</v>
      </c>
      <c r="L147" s="197">
        <v>166854</v>
      </c>
      <c r="M147" s="197" t="s">
        <v>364</v>
      </c>
      <c r="N147" s="197" t="s">
        <v>374</v>
      </c>
      <c r="O147" s="204">
        <v>97.252650000000003</v>
      </c>
      <c r="P147" s="204">
        <v>24.222349999999999</v>
      </c>
      <c r="Q147" s="205">
        <v>0</v>
      </c>
      <c r="R147" s="708">
        <v>147</v>
      </c>
      <c r="S147" s="708">
        <v>764</v>
      </c>
      <c r="T147" s="207">
        <f>IF(CampList[[#This Row],[HH]]&gt;0,CampList[[#This Row],[Total]]/CampList[[#This Row],[HH]],"NA")</f>
        <v>5.1972789115646263</v>
      </c>
      <c r="U147" s="199" t="s">
        <v>464</v>
      </c>
      <c r="V147" s="199" t="s">
        <v>994</v>
      </c>
      <c r="W147" s="199" t="s">
        <v>507</v>
      </c>
      <c r="X147" s="199" t="s">
        <v>742</v>
      </c>
      <c r="Y147" s="312">
        <v>41275</v>
      </c>
      <c r="Z147" s="673" t="s">
        <v>424</v>
      </c>
      <c r="AA147" s="197" t="s">
        <v>774</v>
      </c>
      <c r="AB147" s="210">
        <v>43405</v>
      </c>
      <c r="AC147" s="211" t="s">
        <v>1888</v>
      </c>
      <c r="AD147" s="199" t="str">
        <f ca="1">IFERROR(OFFSET(DistanceToCamp[Nearest Town],MATCH(CampList[[#This Row],[CP_Pcode]],DistanceToCamp[CP_Pcode],0)-1,0,1,1),"")</f>
        <v>Bhamo Town</v>
      </c>
      <c r="AE147" s="212">
        <f ca="1">IFERROR(OFFSET(DistanceToCamp[distance],MATCH(CampList[[#This Row],[CP_Pcode]],DistanceToCamp[CP_Pcode],0)-1,0,1,1),"")</f>
        <v>4.067486452659054</v>
      </c>
      <c r="AF147" s="213">
        <f ca="1">IFERROR(INT(CampList[[#This Row],[Distance]]/5)+1,"")</f>
        <v>1</v>
      </c>
    </row>
    <row r="148" spans="2:35" ht="15.75" hidden="1" customHeight="1" x14ac:dyDescent="0.25">
      <c r="B148" s="203" t="s">
        <v>775</v>
      </c>
      <c r="C148" s="197" t="s">
        <v>378</v>
      </c>
      <c r="D148" s="197" t="s">
        <v>478</v>
      </c>
      <c r="E148" s="197" t="s">
        <v>180</v>
      </c>
      <c r="F148" s="197" t="s">
        <v>479</v>
      </c>
      <c r="G148" s="197" t="s">
        <v>480</v>
      </c>
      <c r="H148" s="197" t="s">
        <v>481</v>
      </c>
      <c r="I148" s="211" t="s">
        <v>543</v>
      </c>
      <c r="J148" s="211" t="s">
        <v>544</v>
      </c>
      <c r="K148" s="211" t="s">
        <v>641</v>
      </c>
      <c r="L148" s="211" t="s">
        <v>642</v>
      </c>
      <c r="M148" s="197" t="s">
        <v>74</v>
      </c>
      <c r="N148" s="197" t="s">
        <v>73</v>
      </c>
      <c r="O148" s="204"/>
      <c r="P148" s="204"/>
      <c r="Q148" s="217"/>
      <c r="R148" s="284"/>
      <c r="S148" s="285"/>
      <c r="T148" s="207" t="str">
        <f>IF(CampList[[#This Row],[HH]]&gt;0,CampList[[#This Row],[Total]]/CampList[[#This Row],[HH]],"NA")</f>
        <v>NA</v>
      </c>
      <c r="U148" s="199" t="s">
        <v>464</v>
      </c>
      <c r="V148" s="199" t="s">
        <v>994</v>
      </c>
      <c r="W148" s="199" t="s">
        <v>507</v>
      </c>
      <c r="X148" s="199"/>
      <c r="Y148" s="218"/>
      <c r="Z148" s="209"/>
      <c r="AA148" s="223"/>
      <c r="AB148" s="226"/>
      <c r="AC148" s="203" t="s">
        <v>541</v>
      </c>
      <c r="AD148" s="199" t="str">
        <f ca="1">IFERROR(OFFSET(DistanceToCamp[Nearest Town],MATCH(CampList[[#This Row],[CP_Pcode]],DistanceToCamp[CP_Pcode],0)-1,0,1,1),"")</f>
        <v/>
      </c>
      <c r="AE148" s="212" t="str">
        <f ca="1">IFERROR(OFFSET(DistanceToCamp[distance],MATCH(CampList[[#This Row],[CP_Pcode]],DistanceToCamp[CP_Pcode],0)-1,0,1,1),"")</f>
        <v/>
      </c>
      <c r="AF148" s="213" t="str">
        <f ca="1">IFERROR(INT(CampList[[#This Row],[Distance]]/5)+1,"")</f>
        <v/>
      </c>
    </row>
    <row r="149" spans="2:35" ht="15.75" customHeight="1" x14ac:dyDescent="0.25">
      <c r="B149" s="203" t="s">
        <v>1740</v>
      </c>
      <c r="C149" s="197" t="s">
        <v>378</v>
      </c>
      <c r="D149" s="197" t="s">
        <v>478</v>
      </c>
      <c r="E149" s="197" t="s">
        <v>5</v>
      </c>
      <c r="F149" s="197" t="s">
        <v>482</v>
      </c>
      <c r="G149" s="197" t="s">
        <v>5</v>
      </c>
      <c r="H149" s="197" t="s">
        <v>483</v>
      </c>
      <c r="I149" s="211" t="s">
        <v>1092</v>
      </c>
      <c r="J149" s="211" t="s">
        <v>1091</v>
      </c>
      <c r="K149" s="211" t="s">
        <v>1092</v>
      </c>
      <c r="L149" s="222">
        <v>166904</v>
      </c>
      <c r="M149" s="197" t="s">
        <v>465</v>
      </c>
      <c r="N149" s="197" t="s">
        <v>375</v>
      </c>
      <c r="O149" s="204">
        <v>97.252650000000003</v>
      </c>
      <c r="P149" s="204">
        <v>24.260466999999998</v>
      </c>
      <c r="Q149" s="205">
        <v>0</v>
      </c>
      <c r="R149" s="274">
        <v>12</v>
      </c>
      <c r="S149" s="274">
        <v>52</v>
      </c>
      <c r="T149" s="207">
        <f>IF(CampList[[#This Row],[HH]]&gt;0,CampList[[#This Row],[Total]]/CampList[[#This Row],[HH]],"NA")</f>
        <v>4.333333333333333</v>
      </c>
      <c r="U149" s="199" t="s">
        <v>464</v>
      </c>
      <c r="V149" s="199" t="s">
        <v>994</v>
      </c>
      <c r="W149" s="199" t="s">
        <v>507</v>
      </c>
      <c r="X149" s="199" t="s">
        <v>742</v>
      </c>
      <c r="Y149" s="312">
        <v>40787</v>
      </c>
      <c r="Z149" s="673" t="s">
        <v>424</v>
      </c>
      <c r="AA149" s="223" t="s">
        <v>774</v>
      </c>
      <c r="AB149" s="210">
        <v>43405</v>
      </c>
      <c r="AC149" s="203" t="s">
        <v>1889</v>
      </c>
      <c r="AD149" s="199" t="str">
        <f ca="1">IFERROR(OFFSET(DistanceToCamp[Nearest Town],MATCH(CampList[[#This Row],[CP_Pcode]],DistanceToCamp[CP_Pcode],0)-1,0,1,1),"")</f>
        <v>Bhamo Town</v>
      </c>
      <c r="AE149" s="212">
        <f ca="1">IFERROR(OFFSET(DistanceToCamp[distance],MATCH(CampList[[#This Row],[CP_Pcode]],DistanceToCamp[CP_Pcode],0)-1,0,1,1),"")</f>
        <v>1.9489261822960435</v>
      </c>
      <c r="AF149" s="213">
        <f ca="1">IFERROR(INT(CampList[[#This Row],[Distance]]/5)+1,"")</f>
        <v>1</v>
      </c>
    </row>
    <row r="150" spans="2:35" ht="15.75" hidden="1" customHeight="1" x14ac:dyDescent="0.25">
      <c r="B150" s="203" t="s">
        <v>775</v>
      </c>
      <c r="C150" s="197" t="s">
        <v>378</v>
      </c>
      <c r="D150" s="197" t="s">
        <v>478</v>
      </c>
      <c r="E150" s="197" t="s">
        <v>180</v>
      </c>
      <c r="F150" s="197" t="s">
        <v>479</v>
      </c>
      <c r="G150" s="197" t="s">
        <v>480</v>
      </c>
      <c r="H150" s="197" t="s">
        <v>481</v>
      </c>
      <c r="I150" s="211" t="s">
        <v>552</v>
      </c>
      <c r="J150" s="211" t="s">
        <v>553</v>
      </c>
      <c r="K150" s="211" t="s">
        <v>552</v>
      </c>
      <c r="L150" s="211">
        <v>166773</v>
      </c>
      <c r="M150" s="197" t="s">
        <v>142</v>
      </c>
      <c r="N150" s="197" t="s">
        <v>141</v>
      </c>
      <c r="O150" s="204">
        <v>96.354159999999993</v>
      </c>
      <c r="P150" s="204">
        <v>25.658670000000001</v>
      </c>
      <c r="Q150" s="205">
        <v>0</v>
      </c>
      <c r="R150" s="284">
        <v>0</v>
      </c>
      <c r="S150" s="285">
        <v>0</v>
      </c>
      <c r="T150" s="207" t="str">
        <f>IF(CampList[[#This Row],[HH]]&gt;0,CampList[[#This Row],[Total]]/CampList[[#This Row],[HH]],"NA")</f>
        <v>NA</v>
      </c>
      <c r="U150" s="199" t="s">
        <v>464</v>
      </c>
      <c r="V150" s="199" t="s">
        <v>994</v>
      </c>
      <c r="W150" s="199" t="s">
        <v>507</v>
      </c>
      <c r="X150" s="199" t="s">
        <v>784</v>
      </c>
      <c r="Y150" s="673">
        <v>41275</v>
      </c>
      <c r="Z150" s="673"/>
      <c r="AA150" s="223" t="s">
        <v>773</v>
      </c>
      <c r="AB150" s="210">
        <v>41774</v>
      </c>
      <c r="AC150" s="203" t="s">
        <v>897</v>
      </c>
      <c r="AD150" s="199" t="str">
        <f ca="1">IFERROR(OFFSET(DistanceToCamp[Nearest Town],MATCH(CampList[[#This Row],[CP_Pcode]],DistanceToCamp[CP_Pcode],0)-1,0,1,1),"")</f>
        <v/>
      </c>
      <c r="AE150" s="212" t="str">
        <f ca="1">IFERROR(OFFSET(DistanceToCamp[distance],MATCH(CampList[[#This Row],[CP_Pcode]],DistanceToCamp[CP_Pcode],0)-1,0,1,1),"")</f>
        <v/>
      </c>
      <c r="AF150" s="213" t="str">
        <f ca="1">IFERROR(INT(CampList[[#This Row],[Distance]]/5)+1,"")</f>
        <v/>
      </c>
    </row>
    <row r="151" spans="2:35" ht="15.75" hidden="1" customHeight="1" x14ac:dyDescent="0.25">
      <c r="B151" s="203" t="s">
        <v>775</v>
      </c>
      <c r="C151" s="197" t="s">
        <v>378</v>
      </c>
      <c r="D151" s="197" t="s">
        <v>478</v>
      </c>
      <c r="E151" s="197" t="s">
        <v>180</v>
      </c>
      <c r="F151" s="197" t="s">
        <v>479</v>
      </c>
      <c r="G151" s="197" t="s">
        <v>480</v>
      </c>
      <c r="H151" s="197" t="s">
        <v>481</v>
      </c>
      <c r="I151" s="211" t="s">
        <v>552</v>
      </c>
      <c r="J151" s="211" t="s">
        <v>553</v>
      </c>
      <c r="K151" s="211" t="s">
        <v>552</v>
      </c>
      <c r="L151" s="211">
        <v>166773</v>
      </c>
      <c r="M151" s="197" t="s">
        <v>98</v>
      </c>
      <c r="N151" s="197" t="s">
        <v>97</v>
      </c>
      <c r="O151" s="204">
        <v>96.359309999999994</v>
      </c>
      <c r="P151" s="204">
        <v>25.651440000000001</v>
      </c>
      <c r="Q151" s="217"/>
      <c r="R151" s="284">
        <v>0</v>
      </c>
      <c r="S151" s="285">
        <v>0</v>
      </c>
      <c r="T151" s="207" t="str">
        <f>IF(CampList[[#This Row],[HH]]&gt;0,CampList[[#This Row],[Total]]/CampList[[#This Row],[HH]],"NA")</f>
        <v>NA</v>
      </c>
      <c r="U151" s="199" t="s">
        <v>464</v>
      </c>
      <c r="V151" s="199" t="s">
        <v>994</v>
      </c>
      <c r="W151" s="199" t="s">
        <v>507</v>
      </c>
      <c r="X151" s="199"/>
      <c r="Y151" s="218"/>
      <c r="Z151" s="209"/>
      <c r="AA151" s="223"/>
      <c r="AB151" s="226"/>
      <c r="AC151" s="203" t="s">
        <v>541</v>
      </c>
      <c r="AD151" s="199" t="str">
        <f ca="1">IFERROR(OFFSET(DistanceToCamp[Nearest Town],MATCH(CampList[[#This Row],[CP_Pcode]],DistanceToCamp[CP_Pcode],0)-1,0,1,1),"")</f>
        <v/>
      </c>
      <c r="AE151" s="212" t="str">
        <f ca="1">IFERROR(OFFSET(DistanceToCamp[distance],MATCH(CampList[[#This Row],[CP_Pcode]],DistanceToCamp[CP_Pcode],0)-1,0,1,1),"")</f>
        <v/>
      </c>
      <c r="AF151" s="213" t="str">
        <f ca="1">IFERROR(INT(CampList[[#This Row],[Distance]]/5)+1,"")</f>
        <v/>
      </c>
    </row>
    <row r="152" spans="2:35" ht="15.75" hidden="1" customHeight="1" x14ac:dyDescent="0.25">
      <c r="B152" s="203" t="s">
        <v>775</v>
      </c>
      <c r="C152" s="197" t="s">
        <v>378</v>
      </c>
      <c r="D152" s="197" t="s">
        <v>478</v>
      </c>
      <c r="E152" s="197" t="s">
        <v>180</v>
      </c>
      <c r="F152" s="197" t="s">
        <v>479</v>
      </c>
      <c r="G152" s="197" t="s">
        <v>480</v>
      </c>
      <c r="H152" s="197" t="s">
        <v>481</v>
      </c>
      <c r="I152" s="211" t="s">
        <v>552</v>
      </c>
      <c r="J152" s="211" t="s">
        <v>553</v>
      </c>
      <c r="K152" s="211" t="s">
        <v>552</v>
      </c>
      <c r="L152" s="211">
        <v>166773</v>
      </c>
      <c r="M152" s="197" t="s">
        <v>62</v>
      </c>
      <c r="N152" s="197" t="s">
        <v>61</v>
      </c>
      <c r="O152" s="204">
        <v>96.355270000000004</v>
      </c>
      <c r="P152" s="204">
        <v>25.656130000000001</v>
      </c>
      <c r="Q152" s="205">
        <v>0</v>
      </c>
      <c r="R152" s="274"/>
      <c r="S152" s="274"/>
      <c r="T152" s="207" t="str">
        <f>IF(CampList[[#This Row],[HH]]&gt;0,CampList[[#This Row],[Total]]/CampList[[#This Row],[HH]],"NA")</f>
        <v>NA</v>
      </c>
      <c r="U152" s="199" t="s">
        <v>464</v>
      </c>
      <c r="V152" s="199" t="s">
        <v>994</v>
      </c>
      <c r="W152" s="199" t="s">
        <v>507</v>
      </c>
      <c r="X152" s="199" t="s">
        <v>784</v>
      </c>
      <c r="Y152" s="312">
        <v>41275</v>
      </c>
      <c r="Z152" s="673" t="s">
        <v>424</v>
      </c>
      <c r="AA152" s="223" t="s">
        <v>774</v>
      </c>
      <c r="AB152" s="210">
        <v>42919</v>
      </c>
      <c r="AC152" s="203" t="s">
        <v>1269</v>
      </c>
      <c r="AD152" s="199" t="str">
        <f ca="1">IFERROR(OFFSET(DistanceToCamp[Nearest Town],MATCH(CampList[[#This Row],[CP_Pcode]],DistanceToCamp[CP_Pcode],0)-1,0,1,1),"")</f>
        <v>Hpakant Town</v>
      </c>
      <c r="AE152" s="212">
        <f ca="1">IFERROR(OFFSET(DistanceToCamp[distance],MATCH(CampList[[#This Row],[CP_Pcode]],DistanceToCamp[CP_Pcode],0)-1,0,1,1),"")</f>
        <v>6.4753396248436657</v>
      </c>
      <c r="AF152" s="213">
        <f ca="1">IFERROR(INT(CampList[[#This Row],[Distance]]/5)+1,"")</f>
        <v>2</v>
      </c>
    </row>
    <row r="153" spans="2:35" ht="15.75" hidden="1" customHeight="1" x14ac:dyDescent="0.25">
      <c r="B153" s="203" t="s">
        <v>775</v>
      </c>
      <c r="C153" s="197" t="s">
        <v>378</v>
      </c>
      <c r="D153" s="197" t="s">
        <v>478</v>
      </c>
      <c r="E153" s="197" t="s">
        <v>180</v>
      </c>
      <c r="F153" s="197" t="s">
        <v>479</v>
      </c>
      <c r="G153" s="197" t="s">
        <v>480</v>
      </c>
      <c r="H153" s="197" t="s">
        <v>481</v>
      </c>
      <c r="I153" s="211" t="s">
        <v>538</v>
      </c>
      <c r="J153" s="211" t="s">
        <v>539</v>
      </c>
      <c r="K153" s="211" t="s">
        <v>538</v>
      </c>
      <c r="L153" s="211">
        <v>166783</v>
      </c>
      <c r="M153" s="197" t="s">
        <v>78</v>
      </c>
      <c r="N153" s="197" t="s">
        <v>77</v>
      </c>
      <c r="O153" s="204"/>
      <c r="P153" s="204"/>
      <c r="Q153" s="217"/>
      <c r="R153" s="284"/>
      <c r="S153" s="285"/>
      <c r="T153" s="207" t="str">
        <f>IF(CampList[[#This Row],[HH]]&gt;0,CampList[[#This Row],[Total]]/CampList[[#This Row],[HH]],"NA")</f>
        <v>NA</v>
      </c>
      <c r="U153" s="199" t="s">
        <v>464</v>
      </c>
      <c r="V153" s="199" t="s">
        <v>994</v>
      </c>
      <c r="W153" s="199" t="s">
        <v>507</v>
      </c>
      <c r="X153" s="199" t="s">
        <v>784</v>
      </c>
      <c r="Y153" s="218"/>
      <c r="Z153" s="209"/>
      <c r="AA153" s="223" t="s">
        <v>774</v>
      </c>
      <c r="AB153" s="210">
        <v>41774</v>
      </c>
      <c r="AC153" s="203" t="s">
        <v>897</v>
      </c>
      <c r="AD153" s="199" t="str">
        <f ca="1">IFERROR(OFFSET(DistanceToCamp[Nearest Town],MATCH(CampList[[#This Row],[CP_Pcode]],DistanceToCamp[CP_Pcode],0)-1,0,1,1),"")</f>
        <v/>
      </c>
      <c r="AE153" s="212" t="str">
        <f ca="1">IFERROR(OFFSET(DistanceToCamp[distance],MATCH(CampList[[#This Row],[CP_Pcode]],DistanceToCamp[CP_Pcode],0)-1,0,1,1),"")</f>
        <v/>
      </c>
      <c r="AF153" s="213" t="str">
        <f ca="1">IFERROR(INT(CampList[[#This Row],[Distance]]/5)+1,"")</f>
        <v/>
      </c>
    </row>
    <row r="154" spans="2:35" ht="15.75" customHeight="1" x14ac:dyDescent="0.25">
      <c r="B154" s="203" t="s">
        <v>1740</v>
      </c>
      <c r="C154" s="197" t="s">
        <v>378</v>
      </c>
      <c r="D154" s="197" t="s">
        <v>478</v>
      </c>
      <c r="E154" s="197" t="s">
        <v>237</v>
      </c>
      <c r="F154" s="197" t="s">
        <v>484</v>
      </c>
      <c r="G154" s="197" t="s">
        <v>27</v>
      </c>
      <c r="H154" s="197" t="s">
        <v>487</v>
      </c>
      <c r="I154" s="689" t="s">
        <v>731</v>
      </c>
      <c r="J154" s="689" t="s">
        <v>732</v>
      </c>
      <c r="K154" s="224" t="s">
        <v>1686</v>
      </c>
      <c r="L154" s="689" t="s">
        <v>1687</v>
      </c>
      <c r="M154" s="197" t="s">
        <v>363</v>
      </c>
      <c r="N154" s="197" t="s">
        <v>376</v>
      </c>
      <c r="O154" s="204">
        <v>98.129990000000006</v>
      </c>
      <c r="P154" s="204">
        <v>25.887339999999998</v>
      </c>
      <c r="Q154" s="217">
        <v>259.10000000000002</v>
      </c>
      <c r="R154" s="274">
        <v>205</v>
      </c>
      <c r="S154" s="274">
        <v>847</v>
      </c>
      <c r="T154" s="207">
        <f>IF(CampList[[#This Row],[HH]]&gt;0,CampList[[#This Row],[Total]]/CampList[[#This Row],[HH]],"NA")</f>
        <v>4.1317073170731708</v>
      </c>
      <c r="U154" s="199" t="s">
        <v>464</v>
      </c>
      <c r="V154" s="199" t="s">
        <v>994</v>
      </c>
      <c r="W154" s="199" t="s">
        <v>507</v>
      </c>
      <c r="X154" s="199" t="s">
        <v>784</v>
      </c>
      <c r="Y154" s="312">
        <v>40940</v>
      </c>
      <c r="Z154" s="673" t="s">
        <v>462</v>
      </c>
      <c r="AA154" s="223" t="s">
        <v>774</v>
      </c>
      <c r="AB154" s="210">
        <v>43405</v>
      </c>
      <c r="AC154" s="203" t="s">
        <v>1815</v>
      </c>
      <c r="AD154" s="199" t="str">
        <f ca="1">IFERROR(OFFSET(DistanceToCamp[Nearest Town],MATCH(CampList[[#This Row],[CP_Pcode]],DistanceToCamp[CP_Pcode],0)-1,0,1,1),"")</f>
        <v>Chipwi Town</v>
      </c>
      <c r="AE154" s="212">
        <f ca="1">IFERROR(OFFSET(DistanceToCamp[distance],MATCH(CampList[[#This Row],[CP_Pcode]],DistanceToCamp[CP_Pcode],0)-1,0,1,1),"")</f>
        <v>0</v>
      </c>
      <c r="AF154" s="213">
        <f ca="1">IFERROR(INT(CampList[[#This Row],[Distance]]/5)+1,"")</f>
        <v>1</v>
      </c>
    </row>
    <row r="155" spans="2:35" ht="15.75" customHeight="1" x14ac:dyDescent="0.25">
      <c r="B155" s="203" t="s">
        <v>1740</v>
      </c>
      <c r="C155" s="197" t="s">
        <v>378</v>
      </c>
      <c r="D155" s="197" t="s">
        <v>478</v>
      </c>
      <c r="E155" s="197" t="s">
        <v>5</v>
      </c>
      <c r="F155" s="197" t="s">
        <v>482</v>
      </c>
      <c r="G155" s="197" t="s">
        <v>151</v>
      </c>
      <c r="H155" s="197" t="s">
        <v>492</v>
      </c>
      <c r="I155" s="211" t="s">
        <v>590</v>
      </c>
      <c r="J155" s="211" t="s">
        <v>591</v>
      </c>
      <c r="K155" s="197"/>
      <c r="L155" s="197"/>
      <c r="M155" s="197" t="s">
        <v>12</v>
      </c>
      <c r="N155" s="197" t="s">
        <v>388</v>
      </c>
      <c r="O155" s="204">
        <v>97.298055000000005</v>
      </c>
      <c r="P155" s="204">
        <v>24.118618999999999</v>
      </c>
      <c r="Q155" s="217"/>
      <c r="R155" s="310">
        <v>80</v>
      </c>
      <c r="S155" s="311">
        <v>290</v>
      </c>
      <c r="T155" s="207">
        <f>IF(CampList[[#This Row],[HH]]&gt;0,CampList[[#This Row],[Total]]/CampList[[#This Row],[HH]],"NA")</f>
        <v>3.625</v>
      </c>
      <c r="U155" s="199" t="s">
        <v>464</v>
      </c>
      <c r="V155" s="199" t="s">
        <v>994</v>
      </c>
      <c r="W155" s="227" t="s">
        <v>12</v>
      </c>
      <c r="X155" s="199" t="s">
        <v>742</v>
      </c>
      <c r="Y155" s="313"/>
      <c r="Z155" s="209" t="s">
        <v>1314</v>
      </c>
      <c r="AA155" s="223" t="s">
        <v>774</v>
      </c>
      <c r="AB155" s="230">
        <v>43090</v>
      </c>
      <c r="AC155" s="203" t="s">
        <v>1550</v>
      </c>
      <c r="AD155" s="199" t="str">
        <f ca="1">IFERROR(OFFSET(DistanceToCamp[Nearest Town],MATCH(CampList[[#This Row],[CP_Pcode]],DistanceToCamp[CP_Pcode],0)-1,0,1,1),"")</f>
        <v>Mansi Town</v>
      </c>
      <c r="AE155" s="212">
        <f ca="1">IFERROR(OFFSET(DistanceToCamp[distance],MATCH(CampList[[#This Row],[CP_Pcode]],DistanceToCamp[CP_Pcode],0)-1,0,1,1),"")</f>
        <v>0.51447052329458698</v>
      </c>
      <c r="AF155" s="213">
        <f ca="1">IFERROR(INT(CampList[[#This Row],[Distance]]/5)+1,"")</f>
        <v>1</v>
      </c>
    </row>
    <row r="156" spans="2:35" ht="15.75" hidden="1" customHeight="1" x14ac:dyDescent="0.25">
      <c r="B156" s="203" t="s">
        <v>775</v>
      </c>
      <c r="C156" s="197" t="s">
        <v>378</v>
      </c>
      <c r="D156" s="197" t="s">
        <v>478</v>
      </c>
      <c r="E156" s="197" t="s">
        <v>180</v>
      </c>
      <c r="F156" s="197" t="s">
        <v>479</v>
      </c>
      <c r="G156" s="197" t="s">
        <v>480</v>
      </c>
      <c r="H156" s="197" t="s">
        <v>481</v>
      </c>
      <c r="I156" s="197" t="s">
        <v>538</v>
      </c>
      <c r="J156" s="197" t="s">
        <v>539</v>
      </c>
      <c r="K156" s="197" t="s">
        <v>540</v>
      </c>
      <c r="L156" s="216">
        <v>166785</v>
      </c>
      <c r="M156" s="197" t="s">
        <v>124</v>
      </c>
      <c r="N156" s="197" t="s">
        <v>123</v>
      </c>
      <c r="O156" s="204">
        <v>96.353030000000004</v>
      </c>
      <c r="P156" s="204">
        <v>25.668399999999998</v>
      </c>
      <c r="Q156" s="205">
        <v>0</v>
      </c>
      <c r="R156" s="274">
        <v>8</v>
      </c>
      <c r="S156" s="274">
        <v>32</v>
      </c>
      <c r="T156" s="207">
        <f>IF(CampList[[#This Row],[HH]]&gt;0,CampList[[#This Row],[Total]]/CampList[[#This Row],[HH]],"NA")</f>
        <v>4</v>
      </c>
      <c r="U156" s="199" t="s">
        <v>464</v>
      </c>
      <c r="V156" s="199" t="s">
        <v>994</v>
      </c>
      <c r="W156" s="199" t="s">
        <v>507</v>
      </c>
      <c r="X156" s="199" t="s">
        <v>784</v>
      </c>
      <c r="Y156" s="312">
        <v>41275</v>
      </c>
      <c r="Z156" s="208" t="s">
        <v>424</v>
      </c>
      <c r="AA156" s="197" t="s">
        <v>774</v>
      </c>
      <c r="AB156" s="210">
        <v>43039</v>
      </c>
      <c r="AC156" s="211" t="s">
        <v>1537</v>
      </c>
      <c r="AD156" s="199" t="str">
        <f ca="1">IFERROR(OFFSET(DistanceToCamp[Nearest Town],MATCH(CampList[[#This Row],[CP_Pcode]],DistanceToCamp[CP_Pcode],0)-1,0,1,1),"")</f>
        <v>Hpakant Town</v>
      </c>
      <c r="AE156" s="212">
        <f ca="1">IFERROR(OFFSET(DistanceToCamp[distance],MATCH(CampList[[#This Row],[CP_Pcode]],DistanceToCamp[CP_Pcode],0)-1,0,1,1),"")</f>
        <v>7.419312682373878</v>
      </c>
      <c r="AF156" s="213">
        <f ca="1">IFERROR(INT(CampList[[#This Row],[Distance]]/5)+1,"")</f>
        <v>2</v>
      </c>
    </row>
    <row r="157" spans="2:35" ht="15.75" customHeight="1" x14ac:dyDescent="0.25">
      <c r="B157" s="203" t="s">
        <v>1740</v>
      </c>
      <c r="C157" s="197" t="s">
        <v>378</v>
      </c>
      <c r="D157" s="197" t="s">
        <v>478</v>
      </c>
      <c r="E157" s="197" t="s">
        <v>5</v>
      </c>
      <c r="F157" s="197" t="s">
        <v>482</v>
      </c>
      <c r="G157" s="197" t="s">
        <v>185</v>
      </c>
      <c r="H157" s="197" t="s">
        <v>486</v>
      </c>
      <c r="I157" s="197" t="s">
        <v>602</v>
      </c>
      <c r="J157" s="197" t="s">
        <v>603</v>
      </c>
      <c r="K157" s="197"/>
      <c r="L157" s="197"/>
      <c r="M157" s="197" t="s">
        <v>12</v>
      </c>
      <c r="N157" s="197" t="s">
        <v>389</v>
      </c>
      <c r="O157" s="204">
        <v>97.348405</v>
      </c>
      <c r="P157" s="204">
        <v>24.251232000000002</v>
      </c>
      <c r="Q157" s="217"/>
      <c r="R157" s="310">
        <v>223</v>
      </c>
      <c r="S157" s="311">
        <v>1067</v>
      </c>
      <c r="T157" s="207">
        <f>IF(CampList[[#This Row],[HH]]&gt;0,CampList[[#This Row],[Total]]/CampList[[#This Row],[HH]],"NA")</f>
        <v>4.7847533632286998</v>
      </c>
      <c r="U157" s="199" t="s">
        <v>464</v>
      </c>
      <c r="V157" s="199" t="s">
        <v>994</v>
      </c>
      <c r="W157" s="227" t="s">
        <v>12</v>
      </c>
      <c r="X157" s="199" t="s">
        <v>742</v>
      </c>
      <c r="Y157" s="313"/>
      <c r="Z157" s="209" t="s">
        <v>1314</v>
      </c>
      <c r="AA157" s="223" t="s">
        <v>773</v>
      </c>
      <c r="AB157" s="230">
        <v>43090</v>
      </c>
      <c r="AC157" s="203" t="s">
        <v>1551</v>
      </c>
      <c r="AD157" s="199" t="str">
        <f ca="1">IFERROR(OFFSET(DistanceToCamp[Nearest Town],MATCH(CampList[[#This Row],[CP_Pcode]],DistanceToCamp[CP_Pcode],0)-1,0,1,1),"")</f>
        <v>Momauk Town</v>
      </c>
      <c r="AE157" s="212">
        <f ca="1">IFERROR(OFFSET(DistanceToCamp[distance],MATCH(CampList[[#This Row],[CP_Pcode]],DistanceToCamp[CP_Pcode],0)-1,0,1,1),"")</f>
        <v>0.60629049139006752</v>
      </c>
      <c r="AF157" s="213">
        <f ca="1">IFERROR(INT(CampList[[#This Row],[Distance]]/5)+1,"")</f>
        <v>1</v>
      </c>
    </row>
    <row r="158" spans="2:35" ht="15.75" hidden="1" customHeight="1" x14ac:dyDescent="0.25">
      <c r="B158" s="203" t="s">
        <v>775</v>
      </c>
      <c r="C158" s="197" t="s">
        <v>378</v>
      </c>
      <c r="D158" s="197" t="s">
        <v>478</v>
      </c>
      <c r="E158" s="197" t="s">
        <v>180</v>
      </c>
      <c r="F158" s="197" t="s">
        <v>479</v>
      </c>
      <c r="G158" s="197" t="s">
        <v>480</v>
      </c>
      <c r="H158" s="197" t="s">
        <v>481</v>
      </c>
      <c r="I158" s="211" t="s">
        <v>538</v>
      </c>
      <c r="J158" s="211" t="s">
        <v>539</v>
      </c>
      <c r="K158" s="211" t="s">
        <v>538</v>
      </c>
      <c r="L158" s="211">
        <v>166783</v>
      </c>
      <c r="M158" s="197" t="s">
        <v>64</v>
      </c>
      <c r="N158" s="197" t="s">
        <v>63</v>
      </c>
      <c r="O158" s="204">
        <v>96.288250000000005</v>
      </c>
      <c r="P158" s="204">
        <v>25.57921</v>
      </c>
      <c r="Q158" s="205">
        <v>0</v>
      </c>
      <c r="R158" s="284"/>
      <c r="S158" s="285"/>
      <c r="T158" s="207" t="str">
        <f>IF(CampList[[#This Row],[HH]]&gt;0,CampList[[#This Row],[Total]]/CampList[[#This Row],[HH]],"NA")</f>
        <v>NA</v>
      </c>
      <c r="U158" s="199" t="s">
        <v>464</v>
      </c>
      <c r="V158" s="199" t="s">
        <v>994</v>
      </c>
      <c r="W158" s="199" t="s">
        <v>507</v>
      </c>
      <c r="X158" s="199" t="s">
        <v>784</v>
      </c>
      <c r="Y158" s="673">
        <v>41275</v>
      </c>
      <c r="Z158" s="673" t="s">
        <v>935</v>
      </c>
      <c r="AA158" s="223" t="s">
        <v>773</v>
      </c>
      <c r="AB158" s="210">
        <v>41736</v>
      </c>
      <c r="AC158" s="211" t="s">
        <v>889</v>
      </c>
      <c r="AD158" s="199" t="str">
        <f ca="1">IFERROR(OFFSET(DistanceToCamp[Nearest Town],MATCH(CampList[[#This Row],[CP_Pcode]],DistanceToCamp[CP_Pcode],0)-1,0,1,1),"")</f>
        <v/>
      </c>
      <c r="AE158" s="212" t="str">
        <f ca="1">IFERROR(OFFSET(DistanceToCamp[distance],MATCH(CampList[[#This Row],[CP_Pcode]],DistanceToCamp[CP_Pcode],0)-1,0,1,1),"")</f>
        <v/>
      </c>
      <c r="AF158" s="213" t="str">
        <f ca="1">IFERROR(INT(CampList[[#This Row],[Distance]]/5)+1,"")</f>
        <v/>
      </c>
    </row>
    <row r="159" spans="2:35" ht="15.75" hidden="1" customHeight="1" x14ac:dyDescent="0.25">
      <c r="B159" s="203" t="s">
        <v>775</v>
      </c>
      <c r="C159" s="197" t="s">
        <v>378</v>
      </c>
      <c r="D159" s="197" t="s">
        <v>478</v>
      </c>
      <c r="E159" s="197" t="s">
        <v>180</v>
      </c>
      <c r="F159" s="197" t="s">
        <v>479</v>
      </c>
      <c r="G159" s="197" t="s">
        <v>480</v>
      </c>
      <c r="H159" s="197" t="s">
        <v>481</v>
      </c>
      <c r="I159" s="211" t="s">
        <v>538</v>
      </c>
      <c r="J159" s="211" t="s">
        <v>539</v>
      </c>
      <c r="K159" s="211" t="s">
        <v>538</v>
      </c>
      <c r="L159" s="211">
        <v>166783</v>
      </c>
      <c r="M159" s="197" t="s">
        <v>82</v>
      </c>
      <c r="N159" s="197" t="s">
        <v>81</v>
      </c>
      <c r="O159" s="204"/>
      <c r="P159" s="204"/>
      <c r="Q159" s="217"/>
      <c r="R159" s="284"/>
      <c r="S159" s="285"/>
      <c r="T159" s="207" t="str">
        <f>IF(CampList[[#This Row],[HH]]&gt;0,CampList[[#This Row],[Total]]/CampList[[#This Row],[HH]],"NA")</f>
        <v>NA</v>
      </c>
      <c r="U159" s="199" t="s">
        <v>464</v>
      </c>
      <c r="V159" s="199" t="s">
        <v>994</v>
      </c>
      <c r="W159" s="199" t="s">
        <v>507</v>
      </c>
      <c r="X159" s="199"/>
      <c r="Y159" s="218"/>
      <c r="Z159" s="209"/>
      <c r="AA159" s="223" t="s">
        <v>773</v>
      </c>
      <c r="AB159" s="210">
        <v>41663</v>
      </c>
      <c r="AC159" s="203" t="s">
        <v>843</v>
      </c>
      <c r="AD159" s="199" t="str">
        <f ca="1">IFERROR(OFFSET(DistanceToCamp[Nearest Town],MATCH(CampList[[#This Row],[CP_Pcode]],DistanceToCamp[CP_Pcode],0)-1,0,1,1),"")</f>
        <v/>
      </c>
      <c r="AE159" s="212" t="str">
        <f ca="1">IFERROR(OFFSET(DistanceToCamp[distance],MATCH(CampList[[#This Row],[CP_Pcode]],DistanceToCamp[CP_Pcode],0)-1,0,1,1),"")</f>
        <v/>
      </c>
      <c r="AF159" s="213" t="str">
        <f ca="1">IFERROR(INT(CampList[[#This Row],[Distance]]/5)+1,"")</f>
        <v/>
      </c>
      <c r="AH159" s="284"/>
      <c r="AI159" s="285"/>
    </row>
    <row r="160" spans="2:35" ht="15.75" hidden="1" customHeight="1" x14ac:dyDescent="0.25">
      <c r="B160" s="203" t="s">
        <v>775</v>
      </c>
      <c r="C160" s="197" t="s">
        <v>378</v>
      </c>
      <c r="D160" s="197" t="s">
        <v>478</v>
      </c>
      <c r="E160" s="197" t="s">
        <v>180</v>
      </c>
      <c r="F160" s="197" t="s">
        <v>479</v>
      </c>
      <c r="G160" s="197" t="s">
        <v>480</v>
      </c>
      <c r="H160" s="197" t="s">
        <v>481</v>
      </c>
      <c r="I160" s="211" t="s">
        <v>558</v>
      </c>
      <c r="J160" s="211" t="s">
        <v>559</v>
      </c>
      <c r="K160" s="211" t="s">
        <v>560</v>
      </c>
      <c r="L160" s="211">
        <v>166817</v>
      </c>
      <c r="M160" s="197" t="s">
        <v>58</v>
      </c>
      <c r="N160" s="197" t="s">
        <v>57</v>
      </c>
      <c r="O160" s="204">
        <v>96.673805000000002</v>
      </c>
      <c r="P160" s="204">
        <v>25.728653000000001</v>
      </c>
      <c r="Q160" s="217"/>
      <c r="R160" s="284"/>
      <c r="S160" s="285"/>
      <c r="T160" s="207" t="str">
        <f>IF(CampList[[#This Row],[HH]]&gt;0,CampList[[#This Row],[Total]]/CampList[[#This Row],[HH]],"NA")</f>
        <v>NA</v>
      </c>
      <c r="U160" s="199" t="s">
        <v>464</v>
      </c>
      <c r="V160" s="199" t="s">
        <v>994</v>
      </c>
      <c r="W160" s="199" t="s">
        <v>507</v>
      </c>
      <c r="X160" s="199" t="s">
        <v>784</v>
      </c>
      <c r="Y160" s="218"/>
      <c r="Z160" s="673" t="s">
        <v>462</v>
      </c>
      <c r="AA160" s="223" t="s">
        <v>774</v>
      </c>
      <c r="AB160" s="210">
        <v>42096</v>
      </c>
      <c r="AC160" s="203" t="s">
        <v>1064</v>
      </c>
      <c r="AD160" s="199" t="str">
        <f ca="1">IFERROR(OFFSET(DistanceToCamp[Nearest Town],MATCH(CampList[[#This Row],[CP_Pcode]],DistanceToCamp[CP_Pcode],0)-1,0,1,1),"")</f>
        <v>Kamaing Town</v>
      </c>
      <c r="AE160" s="212">
        <f ca="1">IFERROR(OFFSET(DistanceToCamp[distance],MATCH(CampList[[#This Row],[CP_Pcode]],DistanceToCamp[CP_Pcode],0)-1,0,1,1),"")</f>
        <v>23.222739740353646</v>
      </c>
      <c r="AF160" s="213">
        <f ca="1">IFERROR(INT(CampList[[#This Row],[Distance]]/5)+1,"")</f>
        <v>5</v>
      </c>
    </row>
    <row r="161" spans="2:32" ht="15.75" hidden="1" customHeight="1" x14ac:dyDescent="0.25">
      <c r="B161" s="203" t="s">
        <v>775</v>
      </c>
      <c r="C161" s="197" t="s">
        <v>378</v>
      </c>
      <c r="D161" s="197" t="s">
        <v>478</v>
      </c>
      <c r="E161" s="197" t="s">
        <v>180</v>
      </c>
      <c r="F161" s="197" t="s">
        <v>479</v>
      </c>
      <c r="G161" s="197" t="s">
        <v>480</v>
      </c>
      <c r="H161" s="197" t="s">
        <v>481</v>
      </c>
      <c r="I161" s="211" t="s">
        <v>543</v>
      </c>
      <c r="J161" s="211" t="s">
        <v>544</v>
      </c>
      <c r="K161" s="211" t="s">
        <v>547</v>
      </c>
      <c r="L161" s="211" t="s">
        <v>548</v>
      </c>
      <c r="M161" s="197" t="s">
        <v>56</v>
      </c>
      <c r="N161" s="197" t="s">
        <v>55</v>
      </c>
      <c r="O161" s="204"/>
      <c r="P161" s="204"/>
      <c r="Q161" s="217"/>
      <c r="R161" s="284">
        <v>0</v>
      </c>
      <c r="S161" s="285">
        <v>0</v>
      </c>
      <c r="T161" s="207" t="str">
        <f>IF(CampList[[#This Row],[HH]]&gt;0,CampList[[#This Row],[Total]]/CampList[[#This Row],[HH]],"NA")</f>
        <v>NA</v>
      </c>
      <c r="U161" s="199" t="s">
        <v>464</v>
      </c>
      <c r="V161" s="199" t="s">
        <v>994</v>
      </c>
      <c r="W161" s="199" t="s">
        <v>507</v>
      </c>
      <c r="X161" s="199"/>
      <c r="Y161" s="218"/>
      <c r="Z161" s="209"/>
      <c r="AA161" s="223"/>
      <c r="AB161" s="226"/>
      <c r="AC161" s="203"/>
      <c r="AD161" s="199" t="str">
        <f ca="1">IFERROR(OFFSET(DistanceToCamp[Nearest Town],MATCH(CampList[[#This Row],[CP_Pcode]],DistanceToCamp[CP_Pcode],0)-1,0,1,1),"")</f>
        <v/>
      </c>
      <c r="AE161" s="212" t="str">
        <f ca="1">IFERROR(OFFSET(DistanceToCamp[distance],MATCH(CampList[[#This Row],[CP_Pcode]],DistanceToCamp[CP_Pcode],0)-1,0,1,1),"")</f>
        <v/>
      </c>
      <c r="AF161" s="213" t="str">
        <f ca="1">IFERROR(INT(CampList[[#This Row],[Distance]]/5)+1,"")</f>
        <v/>
      </c>
    </row>
    <row r="162" spans="2:32" ht="15.75" customHeight="1" x14ac:dyDescent="0.25">
      <c r="B162" s="203" t="s">
        <v>1740</v>
      </c>
      <c r="C162" s="197" t="s">
        <v>378</v>
      </c>
      <c r="D162" s="197" t="s">
        <v>478</v>
      </c>
      <c r="E162" s="197" t="s">
        <v>5</v>
      </c>
      <c r="F162" s="197" t="s">
        <v>482</v>
      </c>
      <c r="G162" s="197" t="s">
        <v>185</v>
      </c>
      <c r="H162" s="197" t="s">
        <v>486</v>
      </c>
      <c r="I162" s="197" t="s">
        <v>738</v>
      </c>
      <c r="J162" s="197" t="s">
        <v>923</v>
      </c>
      <c r="K162" s="197" t="s">
        <v>924</v>
      </c>
      <c r="L162" s="197">
        <v>167060</v>
      </c>
      <c r="M162" s="197" t="s">
        <v>474</v>
      </c>
      <c r="N162" s="197" t="s">
        <v>475</v>
      </c>
      <c r="O162" s="231">
        <v>97.343406999999999</v>
      </c>
      <c r="P162" s="204">
        <v>24.377054000000001</v>
      </c>
      <c r="Q162" s="217"/>
      <c r="R162" s="310">
        <v>3</v>
      </c>
      <c r="S162" s="311">
        <v>18</v>
      </c>
      <c r="T162" s="207">
        <f>IF(CampList[[#This Row],[HH]]&gt;0,CampList[[#This Row],[Total]]/CampList[[#This Row],[HH]],"NA")</f>
        <v>6</v>
      </c>
      <c r="U162" s="199" t="s">
        <v>464</v>
      </c>
      <c r="V162" s="199" t="s">
        <v>994</v>
      </c>
      <c r="W162" s="199" t="s">
        <v>12</v>
      </c>
      <c r="X162" s="199" t="s">
        <v>784</v>
      </c>
      <c r="Y162" s="313"/>
      <c r="Z162" s="209" t="s">
        <v>1314</v>
      </c>
      <c r="AA162" s="223" t="s">
        <v>773</v>
      </c>
      <c r="AB162" s="210">
        <v>42950</v>
      </c>
      <c r="AC162" s="203" t="s">
        <v>1165</v>
      </c>
      <c r="AD162" s="199" t="str">
        <f ca="1">IFERROR(OFFSET(DistanceToCamp[Nearest Town],MATCH(CampList[[#This Row],[CP_Pcode]],DistanceToCamp[CP_Pcode],0)-1,0,1,1),"")</f>
        <v>Momauk Town</v>
      </c>
      <c r="AE162" s="212">
        <f ca="1">IFERROR(OFFSET(DistanceToCamp[distance],MATCH(CampList[[#This Row],[CP_Pcode]],DistanceToCamp[CP_Pcode],0)-1,0,1,1),"")</f>
        <v>13.446032768350749</v>
      </c>
      <c r="AF162" s="213">
        <f ca="1">IFERROR(INT(CampList[[#This Row],[Distance]]/5)+1,"")</f>
        <v>3</v>
      </c>
    </row>
    <row r="163" spans="2:32" ht="15.75" customHeight="1" x14ac:dyDescent="0.25">
      <c r="B163" s="203" t="s">
        <v>1740</v>
      </c>
      <c r="C163" s="197" t="s">
        <v>378</v>
      </c>
      <c r="D163" s="197" t="s">
        <v>478</v>
      </c>
      <c r="E163" s="197" t="s">
        <v>299</v>
      </c>
      <c r="F163" s="197" t="s">
        <v>499</v>
      </c>
      <c r="G163" s="197" t="s">
        <v>746</v>
      </c>
      <c r="H163" s="197" t="s">
        <v>747</v>
      </c>
      <c r="I163" s="197" t="s">
        <v>748</v>
      </c>
      <c r="J163" s="197" t="s">
        <v>749</v>
      </c>
      <c r="K163" s="197"/>
      <c r="L163" s="197"/>
      <c r="M163" s="197" t="s">
        <v>746</v>
      </c>
      <c r="N163" s="197" t="s">
        <v>750</v>
      </c>
      <c r="O163" s="204">
        <v>97.568836000000005</v>
      </c>
      <c r="P163" s="204">
        <v>26.541930000000001</v>
      </c>
      <c r="Q163" s="205">
        <v>1025</v>
      </c>
      <c r="R163" s="205">
        <v>5</v>
      </c>
      <c r="S163" s="217">
        <v>32</v>
      </c>
      <c r="T163" s="207">
        <f>IF(CampList[[#This Row],[HH]]&gt;0,CampList[[#This Row],[Total]]/CampList[[#This Row],[HH]],"NA")</f>
        <v>6.4</v>
      </c>
      <c r="U163" s="199" t="s">
        <v>464</v>
      </c>
      <c r="V163" s="199" t="s">
        <v>994</v>
      </c>
      <c r="W163" s="199" t="s">
        <v>1381</v>
      </c>
      <c r="X163" s="199" t="s">
        <v>784</v>
      </c>
      <c r="Y163" s="312"/>
      <c r="Z163" s="209" t="s">
        <v>1314</v>
      </c>
      <c r="AA163" s="223" t="s">
        <v>773</v>
      </c>
      <c r="AB163" s="210">
        <v>42927</v>
      </c>
      <c r="AC163" s="211"/>
      <c r="AD163" s="199" t="str">
        <f ca="1">IFERROR(OFFSET(DistanceToCamp[Nearest Town],MATCH(CampList[[#This Row],[CP_Pcode]],DistanceToCamp[CP_Pcode],0)-1,0,1,1),"")</f>
        <v>Sumprabum Town</v>
      </c>
      <c r="AE163" s="212">
        <f ca="1">IFERROR(OFFSET(DistanceToCamp[distance],MATCH(CampList[[#This Row],[CP_Pcode]],DistanceToCamp[CP_Pcode],0)-1,0,1,1),"")</f>
        <v>0.23004407510846425</v>
      </c>
      <c r="AF163" s="213">
        <f ca="1">IFERROR(INT(CampList[[#This Row],[Distance]]/5)+1,"")</f>
        <v>1</v>
      </c>
    </row>
    <row r="164" spans="2:32" ht="15.75" customHeight="1" x14ac:dyDescent="0.25">
      <c r="B164" s="203" t="s">
        <v>1740</v>
      </c>
      <c r="C164" s="197" t="s">
        <v>378</v>
      </c>
      <c r="D164" s="197" t="s">
        <v>478</v>
      </c>
      <c r="E164" s="197" t="s">
        <v>237</v>
      </c>
      <c r="F164" s="197" t="s">
        <v>484</v>
      </c>
      <c r="G164" s="197" t="s">
        <v>309</v>
      </c>
      <c r="H164" s="197" t="s">
        <v>485</v>
      </c>
      <c r="I164" s="197" t="s">
        <v>667</v>
      </c>
      <c r="J164" s="197" t="s">
        <v>668</v>
      </c>
      <c r="K164" s="197"/>
      <c r="L164" s="215"/>
      <c r="M164" s="197" t="s">
        <v>751</v>
      </c>
      <c r="N164" s="197" t="s">
        <v>752</v>
      </c>
      <c r="O164" s="204">
        <v>97.541793999999996</v>
      </c>
      <c r="P164" s="204">
        <v>24.752471</v>
      </c>
      <c r="Q164" s="217"/>
      <c r="R164" s="206"/>
      <c r="S164" s="217">
        <v>872</v>
      </c>
      <c r="T164" s="207" t="str">
        <f>IF(CampList[[#This Row],[HH]]&gt;0,CampList[[#This Row],[Total]]/CampList[[#This Row],[HH]],"NA")</f>
        <v>NA</v>
      </c>
      <c r="U164" s="199" t="s">
        <v>466</v>
      </c>
      <c r="V164" s="199" t="s">
        <v>994</v>
      </c>
      <c r="W164" s="199" t="s">
        <v>848</v>
      </c>
      <c r="X164" s="199" t="s">
        <v>742</v>
      </c>
      <c r="Y164" s="313"/>
      <c r="Z164" s="209" t="s">
        <v>1314</v>
      </c>
      <c r="AA164" s="223" t="s">
        <v>522</v>
      </c>
      <c r="AB164" s="210">
        <v>42736</v>
      </c>
      <c r="AC164" s="211" t="s">
        <v>950</v>
      </c>
      <c r="AD164" s="199" t="str">
        <f ca="1">IFERROR(OFFSET(DistanceToCamp[Nearest Town],MATCH(CampList[[#This Row],[CP_Pcode]],DistanceToCamp[CP_Pcode],0)-1,0,1,1),"")</f>
        <v>Laiza town</v>
      </c>
      <c r="AE164" s="212">
        <f ca="1">IFERROR(OFFSET(DistanceToCamp[distance],MATCH(CampList[[#This Row],[CP_Pcode]],DistanceToCamp[CP_Pcode],0)-1,0,1,1),"")</f>
        <v>2.3307568207764655</v>
      </c>
      <c r="AF164" s="213">
        <f ca="1">IFERROR(INT(CampList[[#This Row],[Distance]]/5)+1,"")</f>
        <v>1</v>
      </c>
    </row>
    <row r="165" spans="2:32" ht="15.75" customHeight="1" x14ac:dyDescent="0.25">
      <c r="B165" s="203" t="s">
        <v>1740</v>
      </c>
      <c r="C165" s="198" t="s">
        <v>378</v>
      </c>
      <c r="D165" s="198" t="s">
        <v>478</v>
      </c>
      <c r="E165" s="198" t="s">
        <v>237</v>
      </c>
      <c r="F165" s="198" t="s">
        <v>484</v>
      </c>
      <c r="G165" s="198" t="s">
        <v>27</v>
      </c>
      <c r="H165" s="198" t="s">
        <v>487</v>
      </c>
      <c r="I165" s="198" t="s">
        <v>998</v>
      </c>
      <c r="J165" s="216" t="s">
        <v>1103</v>
      </c>
      <c r="K165" s="198" t="s">
        <v>656</v>
      </c>
      <c r="L165" s="198" t="s">
        <v>1104</v>
      </c>
      <c r="M165" s="198" t="s">
        <v>790</v>
      </c>
      <c r="N165" s="198" t="s">
        <v>789</v>
      </c>
      <c r="O165" s="206">
        <v>98.377780000000001</v>
      </c>
      <c r="P165" s="206">
        <v>25.60867</v>
      </c>
      <c r="Q165" s="217">
        <v>2345</v>
      </c>
      <c r="R165" s="274">
        <v>57</v>
      </c>
      <c r="S165" s="274">
        <v>273</v>
      </c>
      <c r="T165" s="207">
        <f>IF(CampList[[#This Row],[HH]]&gt;0,CampList[[#This Row],[Total]]/CampList[[#This Row],[HH]],"NA")</f>
        <v>4.7894736842105265</v>
      </c>
      <c r="U165" s="183" t="s">
        <v>464</v>
      </c>
      <c r="V165" s="199" t="s">
        <v>994</v>
      </c>
      <c r="W165" s="183" t="s">
        <v>507</v>
      </c>
      <c r="X165" s="183" t="s">
        <v>784</v>
      </c>
      <c r="Y165" s="313">
        <v>41091</v>
      </c>
      <c r="Z165" s="217" t="s">
        <v>935</v>
      </c>
      <c r="AA165" s="198" t="s">
        <v>774</v>
      </c>
      <c r="AB165" s="210">
        <v>43405</v>
      </c>
      <c r="AC165" s="219" t="s">
        <v>1829</v>
      </c>
      <c r="AD165" s="220" t="str">
        <f ca="1">IFERROR(OFFSET(DistanceToCamp[Nearest Town],MATCH(CampList[[#This Row],[CP_Pcode]],DistanceToCamp[CP_Pcode],0)-1,0,1,1),"")</f>
        <v>Pang War Town</v>
      </c>
      <c r="AE165" s="212">
        <f ca="1">IFERROR(OFFSET(DistanceToCamp[distance],MATCH(CampList[[#This Row],[CP_Pcode]],DistanceToCamp[CP_Pcode],0)-1,0,1,1),"")</f>
        <v>0.18710270881855062</v>
      </c>
      <c r="AF165" s="221">
        <f ca="1">IFERROR(INT(CampList[[#This Row],[Distance]]/5)+1,"")</f>
        <v>1</v>
      </c>
    </row>
    <row r="166" spans="2:32" ht="15.75" customHeight="1" x14ac:dyDescent="0.25">
      <c r="B166" s="203" t="s">
        <v>1740</v>
      </c>
      <c r="C166" s="197" t="s">
        <v>378</v>
      </c>
      <c r="D166" s="197" t="s">
        <v>478</v>
      </c>
      <c r="E166" s="197" t="s">
        <v>5</v>
      </c>
      <c r="F166" s="197" t="s">
        <v>482</v>
      </c>
      <c r="G166" s="197" t="s">
        <v>151</v>
      </c>
      <c r="H166" s="197" t="s">
        <v>492</v>
      </c>
      <c r="I166" s="197" t="s">
        <v>811</v>
      </c>
      <c r="J166" s="197" t="s">
        <v>1107</v>
      </c>
      <c r="K166" s="197" t="s">
        <v>811</v>
      </c>
      <c r="L166" s="197">
        <v>167301</v>
      </c>
      <c r="M166" s="197" t="s">
        <v>846</v>
      </c>
      <c r="N166" s="197" t="s">
        <v>845</v>
      </c>
      <c r="O166" s="204">
        <v>97.227057000000002</v>
      </c>
      <c r="P166" s="204">
        <v>23.976571</v>
      </c>
      <c r="Q166" s="217">
        <v>478</v>
      </c>
      <c r="R166" s="206">
        <v>167</v>
      </c>
      <c r="S166" s="206">
        <v>789</v>
      </c>
      <c r="T166" s="207">
        <f>IF(CampList[[#This Row],[HH]]&gt;0,CampList[[#This Row],[Total]]/CampList[[#This Row],[HH]],"NA")</f>
        <v>4.7245508982035931</v>
      </c>
      <c r="U166" s="199" t="s">
        <v>464</v>
      </c>
      <c r="V166" s="199" t="s">
        <v>994</v>
      </c>
      <c r="W166" s="199" t="s">
        <v>507</v>
      </c>
      <c r="X166" s="199" t="s">
        <v>784</v>
      </c>
      <c r="Y166" s="312">
        <v>41548</v>
      </c>
      <c r="Z166" s="673" t="s">
        <v>934</v>
      </c>
      <c r="AA166" s="197" t="s">
        <v>774</v>
      </c>
      <c r="AB166" s="210">
        <v>43405</v>
      </c>
      <c r="AC166" s="211" t="s">
        <v>1858</v>
      </c>
      <c r="AD166" s="199" t="str">
        <f ca="1">IFERROR(OFFSET(DistanceToCamp[Nearest Town],MATCH(CampList[[#This Row],[CP_Pcode]],DistanceToCamp[CP_Pcode],0)-1,0,1,1),"")</f>
        <v>Kamaing Town</v>
      </c>
      <c r="AE166" s="212">
        <f ca="1">IFERROR(OFFSET(DistanceToCamp[distance],MATCH(CampList[[#This Row],[CP_Pcode]],DistanceToCamp[CP_Pcode],0)-1,0,1,1),"")</f>
        <v>12.257552920582597</v>
      </c>
      <c r="AF166" s="213">
        <f ca="1">IFERROR(INT(CampList[[#This Row],[Distance]]/5)+1,"")</f>
        <v>3</v>
      </c>
    </row>
    <row r="167" spans="2:32" ht="15.75" customHeight="1" x14ac:dyDescent="0.25">
      <c r="B167" s="203" t="s">
        <v>1740</v>
      </c>
      <c r="C167" s="198" t="s">
        <v>378</v>
      </c>
      <c r="D167" s="198" t="s">
        <v>478</v>
      </c>
      <c r="E167" s="198" t="s">
        <v>237</v>
      </c>
      <c r="F167" s="198" t="s">
        <v>484</v>
      </c>
      <c r="G167" s="198" t="s">
        <v>27</v>
      </c>
      <c r="H167" s="198" t="s">
        <v>487</v>
      </c>
      <c r="I167" s="198" t="s">
        <v>730</v>
      </c>
      <c r="J167" s="216" t="s">
        <v>729</v>
      </c>
      <c r="K167" s="198" t="s">
        <v>874</v>
      </c>
      <c r="L167" s="198"/>
      <c r="M167" s="198" t="s">
        <v>874</v>
      </c>
      <c r="N167" s="198" t="s">
        <v>875</v>
      </c>
      <c r="O167" s="206">
        <v>98.356260000000006</v>
      </c>
      <c r="P167" s="206">
        <v>25.645959999999999</v>
      </c>
      <c r="Q167" s="217">
        <v>1945</v>
      </c>
      <c r="R167" s="274">
        <v>28</v>
      </c>
      <c r="S167" s="274">
        <v>165</v>
      </c>
      <c r="T167" s="207">
        <f>IF(CampList[[#This Row],[HH]]&gt;0,CampList[[#This Row],[Total]]/CampList[[#This Row],[HH]],"NA")</f>
        <v>5.8928571428571432</v>
      </c>
      <c r="U167" s="183" t="s">
        <v>464</v>
      </c>
      <c r="V167" s="199" t="s">
        <v>994</v>
      </c>
      <c r="W167" s="183" t="s">
        <v>507</v>
      </c>
      <c r="X167" s="183" t="s">
        <v>742</v>
      </c>
      <c r="Y167" s="313">
        <v>41091</v>
      </c>
      <c r="Z167" s="217" t="s">
        <v>935</v>
      </c>
      <c r="AA167" s="198" t="s">
        <v>774</v>
      </c>
      <c r="AB167" s="210">
        <v>43405</v>
      </c>
      <c r="AC167" s="219" t="s">
        <v>1830</v>
      </c>
      <c r="AD167" s="220" t="str">
        <f ca="1">IFERROR(OFFSET(DistanceToCamp[Nearest Town],MATCH(CampList[[#This Row],[CP_Pcode]],DistanceToCamp[CP_Pcode],0)-1,0,1,1),"")</f>
        <v>Naypyitaw Town</v>
      </c>
      <c r="AE167" s="212">
        <f ca="1">IFERROR(OFFSET(DistanceToCamp[distance],MATCH(CampList[[#This Row],[CP_Pcode]],DistanceToCamp[CP_Pcode],0)-1,0,1,1),"")</f>
        <v>0</v>
      </c>
      <c r="AF167" s="221">
        <f ca="1">IFERROR(INT(CampList[[#This Row],[Distance]]/5)+1,"")</f>
        <v>1</v>
      </c>
    </row>
    <row r="168" spans="2:32" ht="15.75" customHeight="1" x14ac:dyDescent="0.25">
      <c r="B168" s="203" t="s">
        <v>1740</v>
      </c>
      <c r="C168" s="197" t="s">
        <v>378</v>
      </c>
      <c r="D168" s="197" t="s">
        <v>478</v>
      </c>
      <c r="E168" s="197" t="s">
        <v>299</v>
      </c>
      <c r="F168" s="197" t="s">
        <v>499</v>
      </c>
      <c r="G168" s="197" t="s">
        <v>299</v>
      </c>
      <c r="H168" s="197" t="s">
        <v>505</v>
      </c>
      <c r="I168" s="197" t="s">
        <v>882</v>
      </c>
      <c r="J168" s="197" t="s">
        <v>883</v>
      </c>
      <c r="K168" s="197" t="s">
        <v>890</v>
      </c>
      <c r="L168" s="197">
        <v>217032</v>
      </c>
      <c r="M168" s="197" t="s">
        <v>891</v>
      </c>
      <c r="N168" s="197" t="s">
        <v>892</v>
      </c>
      <c r="O168" s="206">
        <v>97.561105999999995</v>
      </c>
      <c r="P168" s="206">
        <v>27.248964999999998</v>
      </c>
      <c r="Q168" s="217">
        <v>398</v>
      </c>
      <c r="R168" s="206">
        <v>10</v>
      </c>
      <c r="S168" s="217">
        <v>56</v>
      </c>
      <c r="T168" s="207">
        <f>IF(CampList[[#This Row],[HH]]&gt;0,CampList[[#This Row],[Total]]/CampList[[#This Row],[HH]],"NA")</f>
        <v>5.6</v>
      </c>
      <c r="U168" s="199" t="s">
        <v>464</v>
      </c>
      <c r="V168" s="199" t="s">
        <v>994</v>
      </c>
      <c r="W168" s="199" t="s">
        <v>12</v>
      </c>
      <c r="X168" s="199" t="s">
        <v>784</v>
      </c>
      <c r="Y168" s="313">
        <v>41487</v>
      </c>
      <c r="Z168" s="209" t="s">
        <v>1314</v>
      </c>
      <c r="AA168" s="197" t="s">
        <v>774</v>
      </c>
      <c r="AB168" s="210">
        <v>41736</v>
      </c>
      <c r="AC168" s="211" t="s">
        <v>1384</v>
      </c>
      <c r="AD168" s="199" t="str">
        <f ca="1">IFERROR(OFFSET(DistanceToCamp[Nearest Town],MATCH(CampList[[#This Row],[CP_Pcode]],DistanceToCamp[CP_Pcode],0)-1,0,1,1),"")</f>
        <v>Machanbaw Town</v>
      </c>
      <c r="AE168" s="212">
        <f ca="1">IFERROR(OFFSET(DistanceToCamp[distance],MATCH(CampList[[#This Row],[CP_Pcode]],DistanceToCamp[CP_Pcode],0)-1,0,1,1),"")</f>
        <v>4.789460146835963</v>
      </c>
      <c r="AF168" s="213">
        <f ca="1">IFERROR(INT(CampList[[#This Row],[Distance]]/5)+1,"")</f>
        <v>1</v>
      </c>
    </row>
    <row r="169" spans="2:32" ht="15.75" customHeight="1" x14ac:dyDescent="0.25">
      <c r="B169" s="203" t="s">
        <v>1740</v>
      </c>
      <c r="C169" s="198" t="s">
        <v>378</v>
      </c>
      <c r="D169" s="198" t="s">
        <v>478</v>
      </c>
      <c r="E169" s="198" t="s">
        <v>5</v>
      </c>
      <c r="F169" s="198" t="s">
        <v>482</v>
      </c>
      <c r="G169" s="198" t="s">
        <v>151</v>
      </c>
      <c r="H169" s="198" t="s">
        <v>492</v>
      </c>
      <c r="I169" s="198" t="s">
        <v>600</v>
      </c>
      <c r="J169" s="216" t="s">
        <v>601</v>
      </c>
      <c r="K169" s="211" t="s">
        <v>600</v>
      </c>
      <c r="L169" s="222">
        <v>167405</v>
      </c>
      <c r="M169" s="198" t="s">
        <v>910</v>
      </c>
      <c r="N169" s="198" t="s">
        <v>911</v>
      </c>
      <c r="O169" s="206">
        <v>97.578367</v>
      </c>
      <c r="P169" s="206">
        <v>23.833477999999999</v>
      </c>
      <c r="Q169" s="217">
        <v>925</v>
      </c>
      <c r="R169" s="206">
        <v>151</v>
      </c>
      <c r="S169" s="740">
        <v>729</v>
      </c>
      <c r="T169" s="207">
        <f>IF(CampList[[#This Row],[HH]]&gt;0,CampList[[#This Row],[Total]]/CampList[[#This Row],[HH]],"NA")</f>
        <v>4.8278145695364234</v>
      </c>
      <c r="U169" s="183" t="s">
        <v>464</v>
      </c>
      <c r="V169" s="199" t="s">
        <v>994</v>
      </c>
      <c r="W169" s="183" t="s">
        <v>507</v>
      </c>
      <c r="X169" s="183" t="s">
        <v>784</v>
      </c>
      <c r="Y169" s="313">
        <v>41791</v>
      </c>
      <c r="Z169" s="217" t="s">
        <v>934</v>
      </c>
      <c r="AA169" s="198" t="s">
        <v>774</v>
      </c>
      <c r="AB169" s="210">
        <v>43405</v>
      </c>
      <c r="AC169" s="219" t="s">
        <v>1847</v>
      </c>
      <c r="AD169" s="220" t="str">
        <f ca="1">IFERROR(OFFSET(DistanceToCamp[Nearest Town],MATCH(CampList[[#This Row],[CP_Pcode]],DistanceToCamp[CP_Pcode],0)-1,0,1,1),"")</f>
        <v>Namhkan Town</v>
      </c>
      <c r="AE169" s="212">
        <f ca="1">IFERROR(OFFSET(DistanceToCamp[distance],MATCH(CampList[[#This Row],[CP_Pcode]],DistanceToCamp[CP_Pcode],0)-1,0,1,1),"")</f>
        <v>10.527586947557506</v>
      </c>
      <c r="AF169" s="221">
        <f ca="1">IFERROR(INT(CampList[[#This Row],[Distance]]/5)+1,"")</f>
        <v>3</v>
      </c>
    </row>
    <row r="170" spans="2:32" ht="15.75" hidden="1" customHeight="1" x14ac:dyDescent="0.25">
      <c r="B170" s="203" t="s">
        <v>775</v>
      </c>
      <c r="C170" s="197" t="s">
        <v>378</v>
      </c>
      <c r="D170" s="197" t="s">
        <v>478</v>
      </c>
      <c r="E170" s="197" t="s">
        <v>5</v>
      </c>
      <c r="F170" s="197" t="s">
        <v>482</v>
      </c>
      <c r="G170" s="197" t="s">
        <v>185</v>
      </c>
      <c r="H170" s="197" t="s">
        <v>486</v>
      </c>
      <c r="I170" s="211" t="s">
        <v>743</v>
      </c>
      <c r="J170" s="211" t="s">
        <v>744</v>
      </c>
      <c r="K170" s="211" t="s">
        <v>745</v>
      </c>
      <c r="L170" s="211">
        <v>167270</v>
      </c>
      <c r="M170" s="197" t="s">
        <v>205</v>
      </c>
      <c r="N170" s="197" t="s">
        <v>390</v>
      </c>
      <c r="O170" s="204">
        <v>97.276591999999994</v>
      </c>
      <c r="P170" s="204">
        <v>24.759551999999999</v>
      </c>
      <c r="Q170" s="217"/>
      <c r="R170" s="310"/>
      <c r="S170" s="311"/>
      <c r="T170" s="207" t="str">
        <f>IF(CampList[[#This Row],[HH]]&gt;0,CampList[[#This Row],[Total]]/CampList[[#This Row],[HH]],"NA")</f>
        <v>NA</v>
      </c>
      <c r="U170" s="199" t="s">
        <v>464</v>
      </c>
      <c r="V170" s="199" t="s">
        <v>994</v>
      </c>
      <c r="W170" s="227" t="s">
        <v>12</v>
      </c>
      <c r="X170" s="199" t="s">
        <v>784</v>
      </c>
      <c r="Y170" s="313"/>
      <c r="Z170" s="209"/>
      <c r="AA170" s="223" t="s">
        <v>773</v>
      </c>
      <c r="AB170" s="210">
        <v>42927</v>
      </c>
      <c r="AC170" s="203" t="s">
        <v>1287</v>
      </c>
      <c r="AD170" s="199" t="str">
        <f ca="1">IFERROR(OFFSET(DistanceToCamp[Nearest Town],MATCH(CampList[[#This Row],[CP_Pcode]],DistanceToCamp[CP_Pcode],0)-1,0,1,1),"")</f>
        <v>Dawthponeyan  Town</v>
      </c>
      <c r="AE170" s="212">
        <f ca="1">IFERROR(OFFSET(DistanceToCamp[distance],MATCH(CampList[[#This Row],[CP_Pcode]],DistanceToCamp[CP_Pcode],0)-1,0,1,1),"")</f>
        <v>24.701686141136339</v>
      </c>
      <c r="AF170" s="213">
        <f ca="1">IFERROR(INT(CampList[[#This Row],[Distance]]/5)+1,"")</f>
        <v>5</v>
      </c>
    </row>
    <row r="171" spans="2:32" ht="15.75" hidden="1" customHeight="1" x14ac:dyDescent="0.25">
      <c r="B171" s="203" t="s">
        <v>775</v>
      </c>
      <c r="C171" s="197" t="s">
        <v>378</v>
      </c>
      <c r="D171" s="197" t="s">
        <v>478</v>
      </c>
      <c r="E171" s="197" t="s">
        <v>5</v>
      </c>
      <c r="F171" s="197" t="s">
        <v>482</v>
      </c>
      <c r="G171" s="197" t="s">
        <v>301</v>
      </c>
      <c r="H171" s="197" t="s">
        <v>493</v>
      </c>
      <c r="I171" s="197" t="s">
        <v>561</v>
      </c>
      <c r="J171" s="197" t="s">
        <v>562</v>
      </c>
      <c r="K171" s="197"/>
      <c r="L171" s="197"/>
      <c r="M171" s="197" t="s">
        <v>12</v>
      </c>
      <c r="N171" s="197" t="s">
        <v>391</v>
      </c>
      <c r="O171" s="204">
        <v>96.793177</v>
      </c>
      <c r="P171" s="204">
        <v>24.224830999999998</v>
      </c>
      <c r="Q171" s="217"/>
      <c r="R171" s="310"/>
      <c r="S171" s="311"/>
      <c r="T171" s="207" t="str">
        <f>IF(CampList[[#This Row],[HH]]&gt;0,CampList[[#This Row],[Total]]/CampList[[#This Row],[HH]],"NA")</f>
        <v>NA</v>
      </c>
      <c r="U171" s="199" t="s">
        <v>464</v>
      </c>
      <c r="V171" s="199" t="s">
        <v>994</v>
      </c>
      <c r="W171" s="229" t="s">
        <v>12</v>
      </c>
      <c r="X171" s="199" t="s">
        <v>742</v>
      </c>
      <c r="Y171" s="313"/>
      <c r="Z171" s="209"/>
      <c r="AA171" s="223" t="s">
        <v>773</v>
      </c>
      <c r="AB171" s="210">
        <v>42927</v>
      </c>
      <c r="AC171" s="203" t="s">
        <v>1284</v>
      </c>
      <c r="AD171" s="199" t="str">
        <f ca="1">IFERROR(OFFSET(DistanceToCamp[Nearest Town],MATCH(CampList[[#This Row],[CP_Pcode]],DistanceToCamp[CP_Pcode],0)-1,0,1,1),"")</f>
        <v>Shwegu Town</v>
      </c>
      <c r="AE171" s="212">
        <f ca="1">IFERROR(OFFSET(DistanceToCamp[distance],MATCH(CampList[[#This Row],[CP_Pcode]],DistanceToCamp[CP_Pcode],0)-1,0,1,1),"")</f>
        <v>2.3794331620169178</v>
      </c>
      <c r="AF171" s="213">
        <f ca="1">IFERROR(INT(CampList[[#This Row],[Distance]]/5)+1,"")</f>
        <v>1</v>
      </c>
    </row>
    <row r="172" spans="2:32" ht="15.75" customHeight="1" x14ac:dyDescent="0.25">
      <c r="B172" s="203" t="s">
        <v>1740</v>
      </c>
      <c r="C172" s="197" t="s">
        <v>378</v>
      </c>
      <c r="D172" s="197" t="s">
        <v>478</v>
      </c>
      <c r="E172" s="197" t="s">
        <v>180</v>
      </c>
      <c r="F172" s="197" t="s">
        <v>479</v>
      </c>
      <c r="G172" s="197" t="s">
        <v>480</v>
      </c>
      <c r="H172" s="197" t="s">
        <v>481</v>
      </c>
      <c r="I172" s="211" t="s">
        <v>549</v>
      </c>
      <c r="J172" s="211" t="s">
        <v>550</v>
      </c>
      <c r="K172" s="211" t="s">
        <v>549</v>
      </c>
      <c r="L172" s="211">
        <v>166776</v>
      </c>
      <c r="M172" s="197" t="s">
        <v>914</v>
      </c>
      <c r="N172" s="197" t="s">
        <v>915</v>
      </c>
      <c r="O172" s="204">
        <v>96.312790000000007</v>
      </c>
      <c r="P172" s="204">
        <v>25.611160000000002</v>
      </c>
      <c r="Q172" s="217"/>
      <c r="R172" s="708">
        <v>107</v>
      </c>
      <c r="S172" s="708">
        <v>529</v>
      </c>
      <c r="T172" s="207">
        <f>IF(CampList[[#This Row],[HH]]&gt;0,CampList[[#This Row],[Total]]/CampList[[#This Row],[HH]],"NA")</f>
        <v>4.94392523364486</v>
      </c>
      <c r="U172" s="199" t="s">
        <v>464</v>
      </c>
      <c r="V172" s="199" t="s">
        <v>994</v>
      </c>
      <c r="W172" s="199" t="s">
        <v>507</v>
      </c>
      <c r="X172" s="199" t="s">
        <v>742</v>
      </c>
      <c r="Y172" s="313">
        <v>41122</v>
      </c>
      <c r="Z172" s="209" t="s">
        <v>424</v>
      </c>
      <c r="AA172" s="197" t="s">
        <v>774</v>
      </c>
      <c r="AB172" s="210">
        <v>43405</v>
      </c>
      <c r="AC172" s="211" t="s">
        <v>1890</v>
      </c>
      <c r="AD172" s="199" t="str">
        <f ca="1">IFERROR(OFFSET(DistanceToCamp[Nearest Town],MATCH(CampList[[#This Row],[CP_Pcode]],DistanceToCamp[CP_Pcode],0)-1,0,1,1),"")</f>
        <v>Hpakant Town</v>
      </c>
      <c r="AE172" s="212">
        <f ca="1">IFERROR(OFFSET(DistanceToCamp[distance],MATCH(CampList[[#This Row],[CP_Pcode]],DistanceToCamp[CP_Pcode],0)-1,0,1,1),"")</f>
        <v>0.19374952337076978</v>
      </c>
      <c r="AF172" s="221">
        <f ca="1">IFERROR(INT(CampList[[#This Row],[Distance]]/5)+1,"")</f>
        <v>1</v>
      </c>
    </row>
    <row r="173" spans="2:32" ht="15.75" hidden="1" customHeight="1" x14ac:dyDescent="0.25">
      <c r="B173" s="203" t="s">
        <v>775</v>
      </c>
      <c r="C173" s="197" t="s">
        <v>378</v>
      </c>
      <c r="D173" s="197" t="s">
        <v>478</v>
      </c>
      <c r="E173" s="197" t="s">
        <v>180</v>
      </c>
      <c r="F173" s="197" t="s">
        <v>479</v>
      </c>
      <c r="G173" s="197" t="s">
        <v>480</v>
      </c>
      <c r="H173" s="197" t="s">
        <v>481</v>
      </c>
      <c r="I173" s="211" t="s">
        <v>543</v>
      </c>
      <c r="J173" s="211" t="s">
        <v>544</v>
      </c>
      <c r="K173" s="211" t="s">
        <v>547</v>
      </c>
      <c r="L173" s="211" t="s">
        <v>548</v>
      </c>
      <c r="M173" s="197" t="s">
        <v>467</v>
      </c>
      <c r="N173" s="197" t="s">
        <v>468</v>
      </c>
      <c r="O173" s="204">
        <v>96.315601999999998</v>
      </c>
      <c r="P173" s="204">
        <v>25.615006000000001</v>
      </c>
      <c r="Q173" s="217"/>
      <c r="R173" s="284">
        <v>0</v>
      </c>
      <c r="S173" s="285">
        <v>0</v>
      </c>
      <c r="T173" s="207" t="str">
        <f>IF(CampList[[#This Row],[HH]]&gt;0,CampList[[#This Row],[Total]]/CampList[[#This Row],[HH]],"NA")</f>
        <v>NA</v>
      </c>
      <c r="U173" s="199" t="s">
        <v>464</v>
      </c>
      <c r="V173" s="199" t="s">
        <v>994</v>
      </c>
      <c r="W173" s="199" t="s">
        <v>507</v>
      </c>
      <c r="X173" s="199"/>
      <c r="Y173" s="218"/>
      <c r="Z173" s="209"/>
      <c r="AA173" s="223"/>
      <c r="AB173" s="226"/>
      <c r="AC173" s="203" t="s">
        <v>541</v>
      </c>
      <c r="AD173" s="199" t="str">
        <f ca="1">IFERROR(OFFSET(DistanceToCamp[Nearest Town],MATCH(CampList[[#This Row],[CP_Pcode]],DistanceToCamp[CP_Pcode],0)-1,0,1,1),"")</f>
        <v/>
      </c>
      <c r="AE173" s="212" t="str">
        <f ca="1">IFERROR(OFFSET(DistanceToCamp[distance],MATCH(CampList[[#This Row],[CP_Pcode]],DistanceToCamp[CP_Pcode],0)-1,0,1,1),"")</f>
        <v/>
      </c>
      <c r="AF173" s="213" t="str">
        <f ca="1">IFERROR(INT(CampList[[#This Row],[Distance]]/5)+1,"")</f>
        <v/>
      </c>
    </row>
    <row r="174" spans="2:32" ht="15.75" hidden="1" customHeight="1" x14ac:dyDescent="0.25">
      <c r="B174" s="203" t="s">
        <v>775</v>
      </c>
      <c r="C174" s="197" t="s">
        <v>378</v>
      </c>
      <c r="D174" s="197" t="s">
        <v>478</v>
      </c>
      <c r="E174" s="197" t="s">
        <v>5</v>
      </c>
      <c r="F174" s="197" t="s">
        <v>482</v>
      </c>
      <c r="G174" s="197" t="s">
        <v>151</v>
      </c>
      <c r="H174" s="197" t="s">
        <v>492</v>
      </c>
      <c r="I174" s="692" t="s">
        <v>681</v>
      </c>
      <c r="J174" s="692" t="s">
        <v>682</v>
      </c>
      <c r="K174" s="211"/>
      <c r="L174" s="692"/>
      <c r="M174" s="197" t="s">
        <v>469</v>
      </c>
      <c r="N174" s="197" t="s">
        <v>470</v>
      </c>
      <c r="O174" s="204">
        <v>97.601243999999994</v>
      </c>
      <c r="P174" s="204">
        <v>23.867713999999999</v>
      </c>
      <c r="Q174" s="205">
        <v>755</v>
      </c>
      <c r="R174" s="284">
        <v>0</v>
      </c>
      <c r="S174" s="285">
        <v>0</v>
      </c>
      <c r="T174" s="207" t="str">
        <f>IF(CampList[[#This Row],[HH]]&gt;0,CampList[[#This Row],[Total]]/CampList[[#This Row],[HH]],"NA")</f>
        <v>NA</v>
      </c>
      <c r="U174" s="199" t="s">
        <v>466</v>
      </c>
      <c r="V174" s="199" t="s">
        <v>994</v>
      </c>
      <c r="W174" s="199" t="s">
        <v>507</v>
      </c>
      <c r="X174" s="199" t="s">
        <v>784</v>
      </c>
      <c r="Y174" s="673">
        <v>41365</v>
      </c>
      <c r="Z174" s="673" t="s">
        <v>934</v>
      </c>
      <c r="AA174" s="223" t="s">
        <v>774</v>
      </c>
      <c r="AB174" s="210">
        <v>41811</v>
      </c>
      <c r="AC174" s="203" t="s">
        <v>940</v>
      </c>
      <c r="AD174" s="199" t="str">
        <f ca="1">IFERROR(OFFSET(DistanceToCamp[Nearest Town],MATCH(CampList[[#This Row],[CP_Pcode]],DistanceToCamp[CP_Pcode],0)-1,0,1,1),"")</f>
        <v/>
      </c>
      <c r="AE174" s="212" t="str">
        <f ca="1">IFERROR(OFFSET(DistanceToCamp[distance],MATCH(CampList[[#This Row],[CP_Pcode]],DistanceToCamp[CP_Pcode],0)-1,0,1,1),"")</f>
        <v/>
      </c>
      <c r="AF174" s="213" t="str">
        <f ca="1">IFERROR(INT(CampList[[#This Row],[Distance]]/5)+1,"")</f>
        <v/>
      </c>
    </row>
    <row r="175" spans="2:32" ht="15.75" hidden="1" customHeight="1" x14ac:dyDescent="0.25">
      <c r="B175" s="203" t="s">
        <v>775</v>
      </c>
      <c r="C175" s="197" t="s">
        <v>378</v>
      </c>
      <c r="D175" s="197" t="s">
        <v>478</v>
      </c>
      <c r="E175" s="197" t="s">
        <v>5</v>
      </c>
      <c r="F175" s="197" t="s">
        <v>482</v>
      </c>
      <c r="G175" s="197" t="s">
        <v>151</v>
      </c>
      <c r="H175" s="197" t="s">
        <v>492</v>
      </c>
      <c r="I175" s="211" t="s">
        <v>566</v>
      </c>
      <c r="J175" s="211" t="s">
        <v>567</v>
      </c>
      <c r="K175" s="211"/>
      <c r="L175" s="211"/>
      <c r="M175" s="197" t="s">
        <v>471</v>
      </c>
      <c r="N175" s="197" t="s">
        <v>472</v>
      </c>
      <c r="O175" s="204">
        <v>96.808850000000007</v>
      </c>
      <c r="P175" s="204">
        <v>24.20645</v>
      </c>
      <c r="Q175" s="205">
        <v>781.8</v>
      </c>
      <c r="R175" s="284">
        <v>0</v>
      </c>
      <c r="S175" s="285">
        <v>0</v>
      </c>
      <c r="T175" s="207" t="str">
        <f>IF(CampList[[#This Row],[HH]]&gt;0,CampList[[#This Row],[Total]]/CampList[[#This Row],[HH]],"NA")</f>
        <v>NA</v>
      </c>
      <c r="U175" s="199" t="s">
        <v>466</v>
      </c>
      <c r="V175" s="199" t="s">
        <v>994</v>
      </c>
      <c r="W175" s="199" t="s">
        <v>507</v>
      </c>
      <c r="X175" s="199" t="s">
        <v>784</v>
      </c>
      <c r="Y175" s="673">
        <v>41091</v>
      </c>
      <c r="Z175" s="673"/>
      <c r="AA175" s="223" t="s">
        <v>774</v>
      </c>
      <c r="AB175" s="210">
        <v>41661</v>
      </c>
      <c r="AC175" s="203" t="s">
        <v>842</v>
      </c>
      <c r="AD175" s="199" t="str">
        <f ca="1">IFERROR(OFFSET(DistanceToCamp[Nearest Town],MATCH(CampList[[#This Row],[CP_Pcode]],DistanceToCamp[CP_Pcode],0)-1,0,1,1),"")</f>
        <v/>
      </c>
      <c r="AE175" s="212" t="str">
        <f ca="1">IFERROR(OFFSET(DistanceToCamp[distance],MATCH(CampList[[#This Row],[CP_Pcode]],DistanceToCamp[CP_Pcode],0)-1,0,1,1),"")</f>
        <v/>
      </c>
      <c r="AF175" s="213" t="str">
        <f ca="1">IFERROR(INT(CampList[[#This Row],[Distance]]/5)+1,"")</f>
        <v/>
      </c>
    </row>
    <row r="176" spans="2:32" ht="23.45" hidden="1" customHeight="1" x14ac:dyDescent="0.25">
      <c r="B176" s="203" t="s">
        <v>775</v>
      </c>
      <c r="C176" s="197" t="s">
        <v>378</v>
      </c>
      <c r="D176" s="197" t="s">
        <v>478</v>
      </c>
      <c r="E176" s="197" t="s">
        <v>5</v>
      </c>
      <c r="F176" s="197" t="s">
        <v>482</v>
      </c>
      <c r="G176" s="197" t="s">
        <v>151</v>
      </c>
      <c r="H176" s="197" t="s">
        <v>492</v>
      </c>
      <c r="I176" s="211" t="s">
        <v>568</v>
      </c>
      <c r="J176" s="211" t="s">
        <v>569</v>
      </c>
      <c r="K176" s="211"/>
      <c r="L176" s="211"/>
      <c r="M176" s="197" t="s">
        <v>791</v>
      </c>
      <c r="N176" s="197" t="s">
        <v>473</v>
      </c>
      <c r="O176" s="204">
        <v>97.132339999999999</v>
      </c>
      <c r="P176" s="204">
        <v>23.75817</v>
      </c>
      <c r="Q176" s="205">
        <v>781.8</v>
      </c>
      <c r="R176" s="284">
        <v>0</v>
      </c>
      <c r="S176" s="285">
        <v>0</v>
      </c>
      <c r="T176" s="207" t="str">
        <f>IF(CampList[[#This Row],[HH]]&gt;0,CampList[[#This Row],[Total]]/CampList[[#This Row],[HH]],"NA")</f>
        <v>NA</v>
      </c>
      <c r="U176" s="199" t="s">
        <v>466</v>
      </c>
      <c r="V176" s="199" t="s">
        <v>994</v>
      </c>
      <c r="W176" s="199" t="s">
        <v>507</v>
      </c>
      <c r="X176" s="199" t="s">
        <v>784</v>
      </c>
      <c r="Y176" s="673">
        <v>41091</v>
      </c>
      <c r="Z176" s="673"/>
      <c r="AA176" s="223" t="s">
        <v>774</v>
      </c>
      <c r="AB176" s="226"/>
      <c r="AC176" s="203" t="s">
        <v>842</v>
      </c>
      <c r="AD176" s="199" t="str">
        <f ca="1">IFERROR(OFFSET(DistanceToCamp[Nearest Town],MATCH(CampList[[#This Row],[CP_Pcode]],DistanceToCamp[CP_Pcode],0)-1,0,1,1),"")</f>
        <v/>
      </c>
      <c r="AE176" s="212" t="str">
        <f ca="1">IFERROR(OFFSET(DistanceToCamp[distance],MATCH(CampList[[#This Row],[CP_Pcode]],DistanceToCamp[CP_Pcode],0)-1,0,1,1),"")</f>
        <v/>
      </c>
      <c r="AF176" s="213" t="str">
        <f ca="1">IFERROR(INT(CampList[[#This Row],[Distance]]/5)+1,"")</f>
        <v/>
      </c>
    </row>
    <row r="177" spans="2:32" ht="15.75" customHeight="1" x14ac:dyDescent="0.25">
      <c r="B177" s="203" t="s">
        <v>1740</v>
      </c>
      <c r="C177" s="197" t="s">
        <v>378</v>
      </c>
      <c r="D177" s="197" t="s">
        <v>478</v>
      </c>
      <c r="E177" s="197" t="s">
        <v>5</v>
      </c>
      <c r="F177" s="197" t="s">
        <v>482</v>
      </c>
      <c r="G177" s="197" t="s">
        <v>151</v>
      </c>
      <c r="H177" s="197" t="s">
        <v>492</v>
      </c>
      <c r="I177" s="197" t="s">
        <v>600</v>
      </c>
      <c r="J177" s="197" t="s">
        <v>601</v>
      </c>
      <c r="K177" s="197" t="s">
        <v>600</v>
      </c>
      <c r="L177" s="197">
        <v>167405</v>
      </c>
      <c r="M177" s="197" t="s">
        <v>937</v>
      </c>
      <c r="N177" s="197" t="s">
        <v>938</v>
      </c>
      <c r="O177" s="206">
        <v>97.590767</v>
      </c>
      <c r="P177" s="206">
        <v>23.829599000000002</v>
      </c>
      <c r="Q177" s="217"/>
      <c r="R177" s="274">
        <v>155</v>
      </c>
      <c r="S177" s="274">
        <v>681</v>
      </c>
      <c r="T177" s="207">
        <f>IF(CampList[[#This Row],[HH]]&gt;0,CampList[[#This Row],[Total]]/CampList[[#This Row],[HH]],"NA")</f>
        <v>4.3935483870967742</v>
      </c>
      <c r="U177" s="199" t="s">
        <v>464</v>
      </c>
      <c r="V177" s="199" t="s">
        <v>994</v>
      </c>
      <c r="W177" s="199" t="s">
        <v>507</v>
      </c>
      <c r="X177" s="199" t="s">
        <v>784</v>
      </c>
      <c r="Y177" s="313">
        <v>41730</v>
      </c>
      <c r="Z177" s="209" t="s">
        <v>424</v>
      </c>
      <c r="AA177" s="197" t="s">
        <v>774</v>
      </c>
      <c r="AB177" s="210">
        <v>43405</v>
      </c>
      <c r="AC177" s="211" t="s">
        <v>1891</v>
      </c>
      <c r="AD177" s="199" t="str">
        <f ca="1">IFERROR(OFFSET(DistanceToCamp[Nearest Town],MATCH(CampList[[#This Row],[CP_Pcode]],DistanceToCamp[CP_Pcode],0)-1,0,1,1),"")</f>
        <v>Namhkan Town</v>
      </c>
      <c r="AE177" s="212">
        <f ca="1">IFERROR(OFFSET(DistanceToCamp[distance],MATCH(CampList[[#This Row],[CP_Pcode]],DistanceToCamp[CP_Pcode],0)-1,0,1,1),"")</f>
        <v>9.2957189123335944</v>
      </c>
      <c r="AF177" s="221">
        <f ca="1">IFERROR(INT(CampList[[#This Row],[Distance]]/5)+1,"")</f>
        <v>2</v>
      </c>
    </row>
    <row r="178" spans="2:32" ht="15.75" customHeight="1" x14ac:dyDescent="0.25">
      <c r="B178" s="203" t="s">
        <v>1740</v>
      </c>
      <c r="C178" s="197" t="s">
        <v>378</v>
      </c>
      <c r="D178" s="197" t="s">
        <v>478</v>
      </c>
      <c r="E178" s="197" t="s">
        <v>180</v>
      </c>
      <c r="F178" s="197" t="s">
        <v>479</v>
      </c>
      <c r="G178" s="197" t="s">
        <v>180</v>
      </c>
      <c r="H178" s="197" t="s">
        <v>504</v>
      </c>
      <c r="I178" s="197" t="s">
        <v>1006</v>
      </c>
      <c r="J178" s="197" t="s">
        <v>1109</v>
      </c>
      <c r="K178" s="197" t="s">
        <v>1110</v>
      </c>
      <c r="L178" s="197" t="s">
        <v>1111</v>
      </c>
      <c r="M178" s="197" t="s">
        <v>983</v>
      </c>
      <c r="N178" s="197" t="s">
        <v>985</v>
      </c>
      <c r="O178" s="206">
        <v>96.52534</v>
      </c>
      <c r="P178" s="206">
        <v>24.996279999999999</v>
      </c>
      <c r="Q178" s="217"/>
      <c r="R178" s="206">
        <v>26</v>
      </c>
      <c r="S178" s="217">
        <v>116</v>
      </c>
      <c r="T178" s="207">
        <f>IF(CampList[[#This Row],[HH]]&gt;0,CampList[[#This Row],[Total]]/CampList[[#This Row],[HH]],"NA")</f>
        <v>4.4615384615384617</v>
      </c>
      <c r="U178" s="199" t="s">
        <v>464</v>
      </c>
      <c r="V178" s="199" t="s">
        <v>994</v>
      </c>
      <c r="W178" s="227" t="s">
        <v>12</v>
      </c>
      <c r="X178" s="199" t="s">
        <v>742</v>
      </c>
      <c r="Y178" s="313">
        <v>41275</v>
      </c>
      <c r="Z178" s="209" t="s">
        <v>1314</v>
      </c>
      <c r="AA178" s="197" t="s">
        <v>774</v>
      </c>
      <c r="AB178" s="210">
        <v>43374</v>
      </c>
      <c r="AC178" s="211" t="s">
        <v>1784</v>
      </c>
      <c r="AD178" s="199" t="str">
        <f ca="1">IFERROR(OFFSET(DistanceToCamp[Nearest Town],MATCH(CampList[[#This Row],[CP_Pcode]],DistanceToCamp[CP_Pcode],0)-1,0,1,1),"")</f>
        <v>Hopin Town</v>
      </c>
      <c r="AE178" s="212">
        <f ca="1">IFERROR(OFFSET(DistanceToCamp[distance],MATCH(CampList[[#This Row],[CP_Pcode]],DistanceToCamp[CP_Pcode],0)-1,0,1,1),"")</f>
        <v>0</v>
      </c>
      <c r="AF178" s="213">
        <f ca="1">IFERROR(INT(CampList[[#This Row],[Distance]]/5)+1,"")</f>
        <v>1</v>
      </c>
    </row>
    <row r="179" spans="2:32" ht="15.75" hidden="1" customHeight="1" x14ac:dyDescent="0.25">
      <c r="B179" s="203" t="s">
        <v>775</v>
      </c>
      <c r="C179" s="197" t="s">
        <v>378</v>
      </c>
      <c r="D179" s="197" t="s">
        <v>478</v>
      </c>
      <c r="E179" s="197" t="s">
        <v>5</v>
      </c>
      <c r="F179" s="197" t="s">
        <v>482</v>
      </c>
      <c r="G179" s="197" t="s">
        <v>151</v>
      </c>
      <c r="H179" s="197" t="s">
        <v>492</v>
      </c>
      <c r="I179" s="211" t="s">
        <v>568</v>
      </c>
      <c r="J179" s="211" t="s">
        <v>569</v>
      </c>
      <c r="K179" s="197"/>
      <c r="L179" s="215"/>
      <c r="M179" s="197" t="s">
        <v>792</v>
      </c>
      <c r="N179" s="197" t="s">
        <v>793</v>
      </c>
      <c r="O179" s="204"/>
      <c r="P179" s="204"/>
      <c r="Q179" s="217"/>
      <c r="R179" s="284">
        <v>0</v>
      </c>
      <c r="S179" s="285">
        <v>0</v>
      </c>
      <c r="T179" s="207" t="str">
        <f>IF(CampList[[#This Row],[HH]]&gt;0,CampList[[#This Row],[Total]]/CampList[[#This Row],[HH]],"NA")</f>
        <v>NA</v>
      </c>
      <c r="U179" s="199" t="s">
        <v>466</v>
      </c>
      <c r="V179" s="199" t="s">
        <v>994</v>
      </c>
      <c r="W179" s="199" t="s">
        <v>507</v>
      </c>
      <c r="X179" s="199"/>
      <c r="Y179" s="218"/>
      <c r="Z179" s="209"/>
      <c r="AA179" s="223" t="s">
        <v>774</v>
      </c>
      <c r="AB179" s="226"/>
      <c r="AC179" s="203" t="s">
        <v>842</v>
      </c>
      <c r="AD179" s="199" t="str">
        <f ca="1">IFERROR(OFFSET(DistanceToCamp[Nearest Town],MATCH(CampList[[#This Row],[CP_Pcode]],DistanceToCamp[CP_Pcode],0)-1,0,1,1),"")</f>
        <v/>
      </c>
      <c r="AE179" s="212" t="str">
        <f ca="1">IFERROR(OFFSET(DistanceToCamp[distance],MATCH(CampList[[#This Row],[CP_Pcode]],DistanceToCamp[CP_Pcode],0)-1,0,1,1),"")</f>
        <v/>
      </c>
      <c r="AF179" s="213" t="str">
        <f ca="1">IFERROR(INT(CampList[[#This Row],[Distance]]/5)+1,"")</f>
        <v/>
      </c>
    </row>
    <row r="180" spans="2:32" ht="15.75" customHeight="1" x14ac:dyDescent="0.25">
      <c r="B180" s="203" t="s">
        <v>1740</v>
      </c>
      <c r="C180" s="197" t="s">
        <v>378</v>
      </c>
      <c r="D180" s="197" t="s">
        <v>478</v>
      </c>
      <c r="E180" s="197" t="s">
        <v>180</v>
      </c>
      <c r="F180" s="197" t="s">
        <v>479</v>
      </c>
      <c r="G180" s="197" t="s">
        <v>180</v>
      </c>
      <c r="H180" s="197" t="s">
        <v>504</v>
      </c>
      <c r="I180" s="197" t="s">
        <v>959</v>
      </c>
      <c r="J180" s="197" t="s">
        <v>1037</v>
      </c>
      <c r="K180" s="197"/>
      <c r="L180" s="197"/>
      <c r="M180" s="197" t="s">
        <v>984</v>
      </c>
      <c r="N180" s="197" t="s">
        <v>986</v>
      </c>
      <c r="O180" s="206">
        <v>96.366919999999993</v>
      </c>
      <c r="P180" s="206">
        <v>24.764959999999999</v>
      </c>
      <c r="Q180" s="217"/>
      <c r="R180" s="206">
        <v>14</v>
      </c>
      <c r="S180" s="217">
        <v>51</v>
      </c>
      <c r="T180" s="207">
        <f>IF(CampList[[#This Row],[HH]]&gt;0,CampList[[#This Row],[Total]]/CampList[[#This Row],[HH]],"NA")</f>
        <v>3.6428571428571428</v>
      </c>
      <c r="U180" s="199" t="s">
        <v>464</v>
      </c>
      <c r="V180" s="199" t="s">
        <v>994</v>
      </c>
      <c r="W180" s="227" t="s">
        <v>12</v>
      </c>
      <c r="X180" s="199" t="s">
        <v>742</v>
      </c>
      <c r="Y180" s="313">
        <v>41275</v>
      </c>
      <c r="Z180" s="209" t="s">
        <v>1314</v>
      </c>
      <c r="AA180" s="197" t="s">
        <v>774</v>
      </c>
      <c r="AB180" s="210">
        <v>43374</v>
      </c>
      <c r="AC180" s="211" t="s">
        <v>1785</v>
      </c>
      <c r="AD180" s="199" t="str">
        <f ca="1">IFERROR(OFFSET(DistanceToCamp[Nearest Town],MATCH(CampList[[#This Row],[CP_Pcode]],DistanceToCamp[CP_Pcode],0)-1,0,1,1),"")</f>
        <v>Mohnyin Town</v>
      </c>
      <c r="AE180" s="212">
        <f ca="1">IFERROR(OFFSET(DistanceToCamp[distance],MATCH(CampList[[#This Row],[CP_Pcode]],DistanceToCamp[CP_Pcode],0)-1,0,1,1),"")</f>
        <v>0</v>
      </c>
      <c r="AF180" s="213">
        <f ca="1">IFERROR(INT(CampList[[#This Row],[Distance]]/5)+1,"")</f>
        <v>1</v>
      </c>
    </row>
    <row r="181" spans="2:32" ht="15.75" hidden="1" customHeight="1" x14ac:dyDescent="0.25">
      <c r="B181" s="203" t="s">
        <v>775</v>
      </c>
      <c r="C181" s="197" t="s">
        <v>378</v>
      </c>
      <c r="D181" s="197" t="s">
        <v>478</v>
      </c>
      <c r="E181" s="197" t="s">
        <v>5</v>
      </c>
      <c r="F181" s="197" t="s">
        <v>482</v>
      </c>
      <c r="G181" s="197" t="s">
        <v>5</v>
      </c>
      <c r="H181" s="197" t="s">
        <v>483</v>
      </c>
      <c r="I181" s="211"/>
      <c r="J181" s="211"/>
      <c r="K181" s="211"/>
      <c r="L181" s="211"/>
      <c r="M181" s="197" t="s">
        <v>795</v>
      </c>
      <c r="N181" s="197" t="s">
        <v>783</v>
      </c>
      <c r="O181" s="204"/>
      <c r="P181" s="204"/>
      <c r="Q181" s="205"/>
      <c r="R181" s="284">
        <v>0</v>
      </c>
      <c r="S181" s="285">
        <v>0</v>
      </c>
      <c r="T181" s="207" t="str">
        <f>IF(CampList[[#This Row],[HH]]&gt;0,CampList[[#This Row],[Total]]/CampList[[#This Row],[HH]],"NA")</f>
        <v>NA</v>
      </c>
      <c r="U181" s="199" t="s">
        <v>464</v>
      </c>
      <c r="V181" s="199" t="s">
        <v>994</v>
      </c>
      <c r="W181" s="199" t="s">
        <v>507</v>
      </c>
      <c r="X181" s="199" t="s">
        <v>742</v>
      </c>
      <c r="Y181" s="673"/>
      <c r="Z181" s="673"/>
      <c r="AA181" s="223" t="s">
        <v>774</v>
      </c>
      <c r="AB181" s="210">
        <v>41701</v>
      </c>
      <c r="AC181" s="203" t="s">
        <v>872</v>
      </c>
      <c r="AD181" s="199" t="str">
        <f ca="1">IFERROR(OFFSET(DistanceToCamp[Nearest Town],MATCH(CampList[[#This Row],[CP_Pcode]],DistanceToCamp[CP_Pcode],0)-1,0,1,1),"")</f>
        <v/>
      </c>
      <c r="AE181" s="212" t="str">
        <f ca="1">IFERROR(OFFSET(DistanceToCamp[distance],MATCH(CampList[[#This Row],[CP_Pcode]],DistanceToCamp[CP_Pcode],0)-1,0,1,1),"")</f>
        <v/>
      </c>
      <c r="AF181" s="213" t="str">
        <f ca="1">IFERROR(INT(CampList[[#This Row],[Distance]]/5)+1,"")</f>
        <v/>
      </c>
    </row>
    <row r="182" spans="2:32" ht="23.45" hidden="1" customHeight="1" x14ac:dyDescent="0.25">
      <c r="B182" s="203" t="s">
        <v>775</v>
      </c>
      <c r="C182" s="197" t="s">
        <v>378</v>
      </c>
      <c r="D182" s="197" t="s">
        <v>478</v>
      </c>
      <c r="E182" s="197" t="s">
        <v>5</v>
      </c>
      <c r="F182" s="197" t="s">
        <v>482</v>
      </c>
      <c r="G182" s="197" t="s">
        <v>151</v>
      </c>
      <c r="H182" s="197" t="s">
        <v>492</v>
      </c>
      <c r="I182" s="211" t="s">
        <v>798</v>
      </c>
      <c r="J182" s="211" t="s">
        <v>799</v>
      </c>
      <c r="K182" s="211" t="s">
        <v>797</v>
      </c>
      <c r="L182" s="211">
        <v>167391</v>
      </c>
      <c r="M182" s="197" t="s">
        <v>802</v>
      </c>
      <c r="N182" s="197" t="s">
        <v>796</v>
      </c>
      <c r="O182" s="204">
        <v>97.710989999999995</v>
      </c>
      <c r="P182" s="232">
        <v>24.181640000000002</v>
      </c>
      <c r="Q182" s="217"/>
      <c r="R182" s="284">
        <v>0</v>
      </c>
      <c r="S182" s="285">
        <v>0</v>
      </c>
      <c r="T182" s="207" t="str">
        <f>IF(CampList[[#This Row],[HH]]&gt;0,CampList[[#This Row],[Total]]/CampList[[#This Row],[HH]],"NA")</f>
        <v>NA</v>
      </c>
      <c r="U182" s="199" t="s">
        <v>464</v>
      </c>
      <c r="V182" s="199" t="s">
        <v>994</v>
      </c>
      <c r="W182" s="199" t="s">
        <v>507</v>
      </c>
      <c r="X182" s="199"/>
      <c r="Y182" s="218"/>
      <c r="Z182" s="209"/>
      <c r="AA182" s="223" t="s">
        <v>774</v>
      </c>
      <c r="AB182" s="210">
        <v>41701</v>
      </c>
      <c r="AC182" s="203" t="s">
        <v>867</v>
      </c>
      <c r="AD182" s="199" t="str">
        <f ca="1">IFERROR(OFFSET(DistanceToCamp[Nearest Town],MATCH(CampList[[#This Row],[CP_Pcode]],DistanceToCamp[CP_Pcode],0)-1,0,1,1),"")</f>
        <v/>
      </c>
      <c r="AE182" s="212" t="str">
        <f ca="1">IFERROR(OFFSET(DistanceToCamp[distance],MATCH(CampList[[#This Row],[CP_Pcode]],DistanceToCamp[CP_Pcode],0)-1,0,1,1),"")</f>
        <v/>
      </c>
      <c r="AF182" s="213" t="str">
        <f ca="1">IFERROR(INT(CampList[[#This Row],[Distance]]/5)+1,"")</f>
        <v/>
      </c>
    </row>
    <row r="183" spans="2:32" ht="15.75" hidden="1" customHeight="1" x14ac:dyDescent="0.25">
      <c r="B183" s="203" t="s">
        <v>775</v>
      </c>
      <c r="C183" s="197" t="s">
        <v>378</v>
      </c>
      <c r="D183" s="197" t="s">
        <v>478</v>
      </c>
      <c r="E183" s="197" t="s">
        <v>5</v>
      </c>
      <c r="F183" s="197" t="s">
        <v>482</v>
      </c>
      <c r="G183" s="197" t="s">
        <v>151</v>
      </c>
      <c r="H183" s="197" t="s">
        <v>492</v>
      </c>
      <c r="I183" s="211" t="s">
        <v>798</v>
      </c>
      <c r="J183" s="211" t="s">
        <v>799</v>
      </c>
      <c r="K183" s="211" t="s">
        <v>797</v>
      </c>
      <c r="L183" s="211">
        <v>167391</v>
      </c>
      <c r="M183" s="197" t="s">
        <v>801</v>
      </c>
      <c r="N183" s="197" t="s">
        <v>800</v>
      </c>
      <c r="O183" s="204">
        <v>97.710989999999995</v>
      </c>
      <c r="P183" s="232">
        <v>24.181640000000002</v>
      </c>
      <c r="Q183" s="217"/>
      <c r="R183" s="284">
        <v>0</v>
      </c>
      <c r="S183" s="285">
        <v>0</v>
      </c>
      <c r="T183" s="207" t="str">
        <f>IF(CampList[[#This Row],[HH]]&gt;0,CampList[[#This Row],[Total]]/CampList[[#This Row],[HH]],"NA")</f>
        <v>NA</v>
      </c>
      <c r="U183" s="199" t="s">
        <v>464</v>
      </c>
      <c r="V183" s="199" t="s">
        <v>994</v>
      </c>
      <c r="W183" s="199" t="s">
        <v>507</v>
      </c>
      <c r="X183" s="199"/>
      <c r="Y183" s="218"/>
      <c r="Z183" s="209"/>
      <c r="AA183" s="223" t="s">
        <v>774</v>
      </c>
      <c r="AB183" s="210">
        <v>41701</v>
      </c>
      <c r="AC183" s="203" t="s">
        <v>867</v>
      </c>
      <c r="AD183" s="199" t="str">
        <f ca="1">IFERROR(OFFSET(DistanceToCamp[Nearest Town],MATCH(CampList[[#This Row],[CP_Pcode]],DistanceToCamp[CP_Pcode],0)-1,0,1,1),"")</f>
        <v/>
      </c>
      <c r="AE183" s="212" t="str">
        <f ca="1">IFERROR(OFFSET(DistanceToCamp[distance],MATCH(CampList[[#This Row],[CP_Pcode]],DistanceToCamp[CP_Pcode],0)-1,0,1,1),"")</f>
        <v/>
      </c>
      <c r="AF183" s="213" t="str">
        <f ca="1">IFERROR(INT(CampList[[#This Row],[Distance]]/5)+1,"")</f>
        <v/>
      </c>
    </row>
    <row r="184" spans="2:32" ht="15.75" hidden="1" customHeight="1" x14ac:dyDescent="0.25">
      <c r="B184" s="203" t="s">
        <v>775</v>
      </c>
      <c r="C184" s="197" t="s">
        <v>378</v>
      </c>
      <c r="D184" s="197" t="s">
        <v>478</v>
      </c>
      <c r="E184" s="197" t="s">
        <v>5</v>
      </c>
      <c r="F184" s="197" t="s">
        <v>482</v>
      </c>
      <c r="G184" s="197" t="s">
        <v>151</v>
      </c>
      <c r="H184" s="197" t="s">
        <v>492</v>
      </c>
      <c r="I184" s="211"/>
      <c r="J184" s="211"/>
      <c r="K184" s="211"/>
      <c r="L184" s="211"/>
      <c r="M184" s="197" t="s">
        <v>804</v>
      </c>
      <c r="N184" s="197" t="s">
        <v>805</v>
      </c>
      <c r="O184" s="204"/>
      <c r="P184" s="204"/>
      <c r="Q184" s="217"/>
      <c r="R184" s="284">
        <v>0</v>
      </c>
      <c r="S184" s="285">
        <v>0</v>
      </c>
      <c r="T184" s="207" t="str">
        <f>IF(CampList[[#This Row],[HH]]&gt;0,CampList[[#This Row],[Total]]/CampList[[#This Row],[HH]],"NA")</f>
        <v>NA</v>
      </c>
      <c r="U184" s="199" t="s">
        <v>464</v>
      </c>
      <c r="V184" s="199" t="s">
        <v>994</v>
      </c>
      <c r="W184" s="199" t="s">
        <v>507</v>
      </c>
      <c r="X184" s="199"/>
      <c r="Y184" s="218"/>
      <c r="Z184" s="209"/>
      <c r="AA184" s="223" t="s">
        <v>774</v>
      </c>
      <c r="AB184" s="210">
        <v>41701</v>
      </c>
      <c r="AC184" s="203" t="s">
        <v>866</v>
      </c>
      <c r="AD184" s="199" t="str">
        <f ca="1">IFERROR(OFFSET(DistanceToCamp[Nearest Town],MATCH(CampList[[#This Row],[CP_Pcode]],DistanceToCamp[CP_Pcode],0)-1,0,1,1),"")</f>
        <v/>
      </c>
      <c r="AE184" s="212" t="str">
        <f ca="1">IFERROR(OFFSET(DistanceToCamp[distance],MATCH(CampList[[#This Row],[CP_Pcode]],DistanceToCamp[CP_Pcode],0)-1,0,1,1),"")</f>
        <v/>
      </c>
      <c r="AF184" s="213" t="str">
        <f ca="1">IFERROR(INT(CampList[[#This Row],[Distance]]/5)+1,"")</f>
        <v/>
      </c>
    </row>
    <row r="185" spans="2:32" ht="15.75" hidden="1" customHeight="1" x14ac:dyDescent="0.25">
      <c r="B185" s="203" t="s">
        <v>775</v>
      </c>
      <c r="C185" s="197" t="s">
        <v>378</v>
      </c>
      <c r="D185" s="197" t="s">
        <v>478</v>
      </c>
      <c r="E185" s="197" t="s">
        <v>5</v>
      </c>
      <c r="F185" s="197" t="s">
        <v>482</v>
      </c>
      <c r="G185" s="197" t="s">
        <v>151</v>
      </c>
      <c r="H185" s="197" t="s">
        <v>492</v>
      </c>
      <c r="I185" s="211"/>
      <c r="J185" s="211"/>
      <c r="K185" s="211"/>
      <c r="L185" s="211"/>
      <c r="M185" s="197" t="s">
        <v>808</v>
      </c>
      <c r="N185" s="197" t="s">
        <v>806</v>
      </c>
      <c r="O185" s="204"/>
      <c r="P185" s="204"/>
      <c r="Q185" s="217"/>
      <c r="R185" s="284">
        <v>0</v>
      </c>
      <c r="S185" s="285">
        <v>0</v>
      </c>
      <c r="T185" s="207" t="str">
        <f>IF(CampList[[#This Row],[HH]]&gt;0,CampList[[#This Row],[Total]]/CampList[[#This Row],[HH]],"NA")</f>
        <v>NA</v>
      </c>
      <c r="U185" s="199" t="s">
        <v>464</v>
      </c>
      <c r="V185" s="199" t="s">
        <v>994</v>
      </c>
      <c r="W185" s="199" t="s">
        <v>507</v>
      </c>
      <c r="X185" s="199"/>
      <c r="Y185" s="218"/>
      <c r="Z185" s="209"/>
      <c r="AA185" s="223" t="s">
        <v>774</v>
      </c>
      <c r="AB185" s="210">
        <v>41701</v>
      </c>
      <c r="AC185" s="203" t="s">
        <v>866</v>
      </c>
      <c r="AD185" s="199" t="str">
        <f ca="1">IFERROR(OFFSET(DistanceToCamp[Nearest Town],MATCH(CampList[[#This Row],[CP_Pcode]],DistanceToCamp[CP_Pcode],0)-1,0,1,1),"")</f>
        <v/>
      </c>
      <c r="AE185" s="212" t="str">
        <f ca="1">IFERROR(OFFSET(DistanceToCamp[distance],MATCH(CampList[[#This Row],[CP_Pcode]],DistanceToCamp[CP_Pcode],0)-1,0,1,1),"")</f>
        <v/>
      </c>
      <c r="AF185" s="213" t="str">
        <f ca="1">IFERROR(INT(CampList[[#This Row],[Distance]]/5)+1,"")</f>
        <v/>
      </c>
    </row>
    <row r="186" spans="2:32" ht="15.75" hidden="1" customHeight="1" x14ac:dyDescent="0.25">
      <c r="B186" s="203" t="s">
        <v>775</v>
      </c>
      <c r="C186" s="197" t="s">
        <v>378</v>
      </c>
      <c r="D186" s="197" t="s">
        <v>478</v>
      </c>
      <c r="E186" s="197" t="s">
        <v>5</v>
      </c>
      <c r="F186" s="197" t="s">
        <v>482</v>
      </c>
      <c r="G186" s="197" t="s">
        <v>151</v>
      </c>
      <c r="H186" s="197" t="s">
        <v>492</v>
      </c>
      <c r="I186" s="211"/>
      <c r="J186" s="211"/>
      <c r="K186" s="211"/>
      <c r="L186" s="211"/>
      <c r="M186" s="197" t="s">
        <v>803</v>
      </c>
      <c r="N186" s="197" t="s">
        <v>807</v>
      </c>
      <c r="O186" s="204"/>
      <c r="P186" s="204"/>
      <c r="Q186" s="217"/>
      <c r="R186" s="284">
        <v>0</v>
      </c>
      <c r="S186" s="285">
        <v>0</v>
      </c>
      <c r="T186" s="207" t="str">
        <f>IF(CampList[[#This Row],[HH]]&gt;0,CampList[[#This Row],[Total]]/CampList[[#This Row],[HH]],"NA")</f>
        <v>NA</v>
      </c>
      <c r="U186" s="199" t="s">
        <v>464</v>
      </c>
      <c r="V186" s="199" t="s">
        <v>994</v>
      </c>
      <c r="W186" s="199" t="s">
        <v>12</v>
      </c>
      <c r="X186" s="199" t="s">
        <v>784</v>
      </c>
      <c r="Y186" s="218"/>
      <c r="Z186" s="209"/>
      <c r="AA186" s="223" t="s">
        <v>774</v>
      </c>
      <c r="AB186" s="210">
        <v>42090</v>
      </c>
      <c r="AC186" s="203" t="s">
        <v>1026</v>
      </c>
      <c r="AD186" s="199" t="str">
        <f ca="1">IFERROR(OFFSET(DistanceToCamp[Nearest Town],MATCH(CampList[[#This Row],[CP_Pcode]],DistanceToCamp[CP_Pcode],0)-1,0,1,1),"")</f>
        <v/>
      </c>
      <c r="AE186" s="212" t="str">
        <f ca="1">IFERROR(OFFSET(DistanceToCamp[distance],MATCH(CampList[[#This Row],[CP_Pcode]],DistanceToCamp[CP_Pcode],0)-1,0,1,1),"")</f>
        <v/>
      </c>
      <c r="AF186" s="213" t="str">
        <f ca="1">IFERROR(INT(CampList[[#This Row],[Distance]]/5)+1,"")</f>
        <v/>
      </c>
    </row>
    <row r="187" spans="2:32" ht="15.75" hidden="1" customHeight="1" x14ac:dyDescent="0.25">
      <c r="B187" s="203" t="s">
        <v>775</v>
      </c>
      <c r="C187" s="197" t="s">
        <v>378</v>
      </c>
      <c r="D187" s="197" t="s">
        <v>478</v>
      </c>
      <c r="E187" s="197" t="s">
        <v>5</v>
      </c>
      <c r="F187" s="197" t="s">
        <v>482</v>
      </c>
      <c r="G187" s="197" t="s">
        <v>151</v>
      </c>
      <c r="H187" s="197" t="s">
        <v>492</v>
      </c>
      <c r="I187" s="211"/>
      <c r="J187" s="211"/>
      <c r="K187" s="211"/>
      <c r="L187" s="211"/>
      <c r="M187" s="197" t="s">
        <v>810</v>
      </c>
      <c r="N187" s="197" t="s">
        <v>809</v>
      </c>
      <c r="O187" s="204"/>
      <c r="P187" s="232"/>
      <c r="Q187" s="217"/>
      <c r="R187" s="284">
        <v>0</v>
      </c>
      <c r="S187" s="285">
        <v>0</v>
      </c>
      <c r="T187" s="207" t="str">
        <f>IF(CampList[[#This Row],[HH]]&gt;0,CampList[[#This Row],[Total]]/CampList[[#This Row],[HH]],"NA")</f>
        <v>NA</v>
      </c>
      <c r="U187" s="199" t="s">
        <v>464</v>
      </c>
      <c r="V187" s="199" t="s">
        <v>994</v>
      </c>
      <c r="W187" s="199" t="s">
        <v>784</v>
      </c>
      <c r="X187" s="199"/>
      <c r="Y187" s="218"/>
      <c r="Z187" s="209"/>
      <c r="AA187" s="223" t="s">
        <v>774</v>
      </c>
      <c r="AB187" s="210">
        <v>41677</v>
      </c>
      <c r="AC187" s="203" t="s">
        <v>847</v>
      </c>
      <c r="AD187" s="199" t="str">
        <f ca="1">IFERROR(OFFSET(DistanceToCamp[Nearest Town],MATCH(CampList[[#This Row],[CP_Pcode]],DistanceToCamp[CP_Pcode],0)-1,0,1,1),"")</f>
        <v/>
      </c>
      <c r="AE187" s="212" t="str">
        <f ca="1">IFERROR(OFFSET(DistanceToCamp[distance],MATCH(CampList[[#This Row],[CP_Pcode]],DistanceToCamp[CP_Pcode],0)-1,0,1,1),"")</f>
        <v/>
      </c>
      <c r="AF187" s="213" t="str">
        <f ca="1">IFERROR(INT(CampList[[#This Row],[Distance]]/5)+1,"")</f>
        <v/>
      </c>
    </row>
    <row r="188" spans="2:32" ht="15.75" customHeight="1" x14ac:dyDescent="0.25">
      <c r="B188" s="203" t="s">
        <v>1740</v>
      </c>
      <c r="C188" s="197" t="s">
        <v>378</v>
      </c>
      <c r="D188" s="197" t="s">
        <v>478</v>
      </c>
      <c r="E188" s="197" t="s">
        <v>299</v>
      </c>
      <c r="F188" s="197" t="s">
        <v>499</v>
      </c>
      <c r="G188" s="197" t="s">
        <v>299</v>
      </c>
      <c r="H188" s="197" t="s">
        <v>505</v>
      </c>
      <c r="I188" s="198" t="s">
        <v>740</v>
      </c>
      <c r="J188" s="216" t="s">
        <v>741</v>
      </c>
      <c r="K188" s="198" t="s">
        <v>1051</v>
      </c>
      <c r="L188" s="211" t="s">
        <v>1052</v>
      </c>
      <c r="M188" s="198" t="s">
        <v>1045</v>
      </c>
      <c r="N188" s="197" t="s">
        <v>1044</v>
      </c>
      <c r="O188" s="234">
        <v>97.416121000000004</v>
      </c>
      <c r="P188" s="234">
        <v>27.337499999999999</v>
      </c>
      <c r="Q188" s="217"/>
      <c r="R188" s="274">
        <v>61</v>
      </c>
      <c r="S188" s="274">
        <v>281</v>
      </c>
      <c r="T188" s="207">
        <f>IF(CampList[[#This Row],[HH]]&gt;0,CampList[[#This Row],[Total]]/CampList[[#This Row],[HH]],"NA")</f>
        <v>4.6065573770491799</v>
      </c>
      <c r="U188" s="199" t="s">
        <v>464</v>
      </c>
      <c r="V188" s="199" t="s">
        <v>994</v>
      </c>
      <c r="W188" s="199" t="s">
        <v>507</v>
      </c>
      <c r="X188" s="183" t="s">
        <v>742</v>
      </c>
      <c r="Y188" s="313">
        <v>42180</v>
      </c>
      <c r="Z188" s="217" t="s">
        <v>424</v>
      </c>
      <c r="AA188" s="197" t="s">
        <v>774</v>
      </c>
      <c r="AB188" s="210">
        <v>43405</v>
      </c>
      <c r="AC188" s="219" t="s">
        <v>1892</v>
      </c>
      <c r="AD188" s="199" t="str">
        <f ca="1">IFERROR(OFFSET(DistanceToCamp[Nearest Town],MATCH(CampList[[#This Row],[CP_Pcode]],DistanceToCamp[CP_Pcode],0)-1,0,1,1),"")</f>
        <v>Puta-O Town</v>
      </c>
      <c r="AE188" s="212">
        <f ca="1">IFERROR(OFFSET(DistanceToCamp[distance],MATCH(CampList[[#This Row],[CP_Pcode]],DistanceToCamp[CP_Pcode],0)-1,0,1,1),"")</f>
        <v>0</v>
      </c>
      <c r="AF188" s="213">
        <f ca="1">IFERROR(INT(CampList[[#This Row],[Distance]]/5)+1,"")</f>
        <v>1</v>
      </c>
    </row>
    <row r="189" spans="2:32" ht="15.75" hidden="1" customHeight="1" x14ac:dyDescent="0.25">
      <c r="B189" s="203" t="s">
        <v>775</v>
      </c>
      <c r="C189" s="197" t="s">
        <v>378</v>
      </c>
      <c r="D189" s="197" t="s">
        <v>478</v>
      </c>
      <c r="E189" s="197" t="s">
        <v>5</v>
      </c>
      <c r="F189" s="197" t="s">
        <v>482</v>
      </c>
      <c r="G189" s="197" t="s">
        <v>151</v>
      </c>
      <c r="H189" s="197" t="s">
        <v>492</v>
      </c>
      <c r="I189" s="197"/>
      <c r="J189" s="197"/>
      <c r="K189" s="197"/>
      <c r="L189" s="197"/>
      <c r="M189" s="197" t="s">
        <v>813</v>
      </c>
      <c r="N189" s="197" t="s">
        <v>814</v>
      </c>
      <c r="O189" s="206"/>
      <c r="P189" s="206"/>
      <c r="Q189" s="217"/>
      <c r="R189" s="284">
        <v>0</v>
      </c>
      <c r="S189" s="285">
        <v>0</v>
      </c>
      <c r="T189" s="207" t="str">
        <f>IF(CampList[[#This Row],[HH]]&gt;0,CampList[[#This Row],[Total]]/CampList[[#This Row],[HH]],"NA")</f>
        <v>NA</v>
      </c>
      <c r="U189" s="199" t="s">
        <v>464</v>
      </c>
      <c r="V189" s="199" t="s">
        <v>994</v>
      </c>
      <c r="W189" s="199" t="s">
        <v>507</v>
      </c>
      <c r="X189" s="199" t="s">
        <v>784</v>
      </c>
      <c r="Y189" s="218"/>
      <c r="Z189" s="209"/>
      <c r="AA189" s="197" t="s">
        <v>774</v>
      </c>
      <c r="AB189" s="210">
        <v>41652</v>
      </c>
      <c r="AC189" s="203" t="s">
        <v>835</v>
      </c>
      <c r="AD189" s="199" t="str">
        <f ca="1">IFERROR(OFFSET(DistanceToCamp[Nearest Town],MATCH(CampList[[#This Row],[CP_Pcode]],DistanceToCamp[CP_Pcode],0)-1,0,1,1),"")</f>
        <v/>
      </c>
      <c r="AE189" s="212" t="str">
        <f ca="1">IFERROR(OFFSET(DistanceToCamp[distance],MATCH(CampList[[#This Row],[CP_Pcode]],DistanceToCamp[CP_Pcode],0)-1,0,1,1),"")</f>
        <v/>
      </c>
      <c r="AF189" s="213" t="str">
        <f ca="1">IFERROR(INT(CampList[[#This Row],[Distance]]/5)+1,"")</f>
        <v/>
      </c>
    </row>
    <row r="190" spans="2:32" ht="15.75" hidden="1" customHeight="1" x14ac:dyDescent="0.25">
      <c r="B190" s="203" t="s">
        <v>775</v>
      </c>
      <c r="C190" s="197" t="s">
        <v>378</v>
      </c>
      <c r="D190" s="197" t="s">
        <v>478</v>
      </c>
      <c r="E190" s="197" t="s">
        <v>299</v>
      </c>
      <c r="F190" s="197" t="s">
        <v>499</v>
      </c>
      <c r="G190" s="197" t="s">
        <v>299</v>
      </c>
      <c r="H190" s="197" t="s">
        <v>505</v>
      </c>
      <c r="I190" s="197" t="s">
        <v>882</v>
      </c>
      <c r="J190" s="197" t="s">
        <v>883</v>
      </c>
      <c r="K190" s="197" t="s">
        <v>884</v>
      </c>
      <c r="L190" s="197">
        <v>167567</v>
      </c>
      <c r="M190" s="197" t="s">
        <v>815</v>
      </c>
      <c r="N190" s="197" t="s">
        <v>816</v>
      </c>
      <c r="O190" s="204">
        <v>97.58184</v>
      </c>
      <c r="P190" s="204">
        <v>27.270199999999999</v>
      </c>
      <c r="Q190" s="205">
        <v>372.9</v>
      </c>
      <c r="R190" s="220">
        <v>0</v>
      </c>
      <c r="S190" s="225">
        <v>0</v>
      </c>
      <c r="T190" s="207" t="str">
        <f>IF(CampList[[#This Row],[HH]]&gt;0,CampList[[#This Row],[Total]]/CampList[[#This Row],[HH]],"NA")</f>
        <v>NA</v>
      </c>
      <c r="U190" s="199" t="s">
        <v>464</v>
      </c>
      <c r="V190" s="199" t="s">
        <v>994</v>
      </c>
      <c r="W190" s="199" t="s">
        <v>507</v>
      </c>
      <c r="X190" s="199" t="s">
        <v>784</v>
      </c>
      <c r="Y190" s="673">
        <v>41487</v>
      </c>
      <c r="Z190" s="673"/>
      <c r="AA190" s="197" t="s">
        <v>774</v>
      </c>
      <c r="AB190" s="210">
        <v>41725</v>
      </c>
      <c r="AC190" s="211" t="s">
        <v>1050</v>
      </c>
      <c r="AD190" s="199" t="str">
        <f ca="1">IFERROR(OFFSET(DistanceToCamp[Nearest Town],MATCH(CampList[[#This Row],[CP_Pcode]],DistanceToCamp[CP_Pcode],0)-1,0,1,1),"")</f>
        <v>Machanbaw Town</v>
      </c>
      <c r="AE190" s="212">
        <f ca="1">IFERROR(OFFSET(DistanceToCamp[distance],MATCH(CampList[[#This Row],[CP_Pcode]],DistanceToCamp[CP_Pcode],0)-1,0,1,1),"")</f>
        <v>1.7005689699647599</v>
      </c>
      <c r="AF190" s="213">
        <f ca="1">IFERROR(INT(CampList[[#This Row],[Distance]]/5)+1,"")</f>
        <v>1</v>
      </c>
    </row>
    <row r="191" spans="2:32" ht="15.75" hidden="1" customHeight="1" x14ac:dyDescent="0.25">
      <c r="B191" s="203" t="s">
        <v>775</v>
      </c>
      <c r="C191" s="197" t="s">
        <v>378</v>
      </c>
      <c r="D191" s="197" t="s">
        <v>478</v>
      </c>
      <c r="E191" s="197" t="s">
        <v>299</v>
      </c>
      <c r="F191" s="197" t="s">
        <v>499</v>
      </c>
      <c r="G191" s="197" t="s">
        <v>817</v>
      </c>
      <c r="H191" s="197" t="s">
        <v>818</v>
      </c>
      <c r="I191" s="197"/>
      <c r="J191" s="197"/>
      <c r="K191" s="197"/>
      <c r="L191" s="197"/>
      <c r="M191" s="197" t="s">
        <v>819</v>
      </c>
      <c r="N191" s="197" t="s">
        <v>820</v>
      </c>
      <c r="O191" s="204">
        <v>97.586470000000006</v>
      </c>
      <c r="P191" s="204">
        <v>27.274059999999999</v>
      </c>
      <c r="Q191" s="217">
        <v>403</v>
      </c>
      <c r="R191" s="183"/>
      <c r="S191" s="225"/>
      <c r="T191" s="207" t="str">
        <f>IF(CampList[[#This Row],[HH]]&gt;0,CampList[[#This Row],[Total]]/CampList[[#This Row],[HH]],"NA")</f>
        <v>NA</v>
      </c>
      <c r="U191" s="199" t="s">
        <v>464</v>
      </c>
      <c r="V191" s="199" t="s">
        <v>994</v>
      </c>
      <c r="W191" s="199" t="s">
        <v>507</v>
      </c>
      <c r="X191" s="199" t="s">
        <v>784</v>
      </c>
      <c r="Y191" s="218">
        <v>41518</v>
      </c>
      <c r="Z191" s="233"/>
      <c r="AA191" s="197" t="s">
        <v>774</v>
      </c>
      <c r="AB191" s="210">
        <v>42180</v>
      </c>
      <c r="AC191" s="203" t="s">
        <v>1049</v>
      </c>
      <c r="AD191" s="199" t="str">
        <f ca="1">IFERROR(OFFSET(DistanceToCamp[Nearest Town],MATCH(CampList[[#This Row],[CP_Pcode]],DistanceToCamp[CP_Pcode],0)-1,0,1,1),"")</f>
        <v>Machanbaw Town</v>
      </c>
      <c r="AE191" s="212">
        <f ca="1">IFERROR(OFFSET(DistanceToCamp[distance],MATCH(CampList[[#This Row],[CP_Pcode]],DistanceToCamp[CP_Pcode],0)-1,0,1,1),"")</f>
        <v>1.136583238544624</v>
      </c>
      <c r="AF191" s="213">
        <f ca="1">IFERROR(INT(CampList[[#This Row],[Distance]]/5)+1,"")</f>
        <v>1</v>
      </c>
    </row>
    <row r="192" spans="2:32" ht="15.75" hidden="1" customHeight="1" x14ac:dyDescent="0.25">
      <c r="B192" s="203" t="s">
        <v>775</v>
      </c>
      <c r="C192" s="197" t="s">
        <v>378</v>
      </c>
      <c r="D192" s="197" t="s">
        <v>478</v>
      </c>
      <c r="E192" s="197" t="s">
        <v>5</v>
      </c>
      <c r="F192" s="197" t="s">
        <v>482</v>
      </c>
      <c r="G192" s="197" t="s">
        <v>5</v>
      </c>
      <c r="H192" s="197" t="s">
        <v>483</v>
      </c>
      <c r="I192" s="197"/>
      <c r="J192" s="197"/>
      <c r="K192" s="197"/>
      <c r="L192" s="197"/>
      <c r="M192" s="197" t="s">
        <v>822</v>
      </c>
      <c r="N192" s="197" t="s">
        <v>821</v>
      </c>
      <c r="O192" s="204"/>
      <c r="P192" s="204"/>
      <c r="Q192" s="217"/>
      <c r="R192" s="284"/>
      <c r="S192" s="285"/>
      <c r="T192" s="207" t="str">
        <f>IF(CampList[[#This Row],[HH]]&gt;0,CampList[[#This Row],[Total]]/CampList[[#This Row],[HH]],"NA")</f>
        <v>NA</v>
      </c>
      <c r="U192" s="199" t="s">
        <v>464</v>
      </c>
      <c r="V192" s="199" t="s">
        <v>994</v>
      </c>
      <c r="W192" s="199" t="s">
        <v>507</v>
      </c>
      <c r="X192" s="199" t="s">
        <v>742</v>
      </c>
      <c r="Y192" s="218"/>
      <c r="Z192" s="209"/>
      <c r="AA192" s="223" t="s">
        <v>774</v>
      </c>
      <c r="AB192" s="210">
        <v>41702</v>
      </c>
      <c r="AC192" s="211" t="s">
        <v>871</v>
      </c>
      <c r="AD192" s="199" t="str">
        <f ca="1">IFERROR(OFFSET(DistanceToCamp[Nearest Town],MATCH(CampList[[#This Row],[CP_Pcode]],DistanceToCamp[CP_Pcode],0)-1,0,1,1),"")</f>
        <v/>
      </c>
      <c r="AE192" s="212" t="str">
        <f ca="1">IFERROR(OFFSET(DistanceToCamp[distance],MATCH(CampList[[#This Row],[CP_Pcode]],DistanceToCamp[CP_Pcode],0)-1,0,1,1),"")</f>
        <v/>
      </c>
      <c r="AF192" s="213" t="str">
        <f ca="1">IFERROR(INT(CampList[[#This Row],[Distance]]/5)+1,"")</f>
        <v/>
      </c>
    </row>
    <row r="193" spans="2:32" ht="15.75" customHeight="1" x14ac:dyDescent="0.25">
      <c r="B193" s="203" t="s">
        <v>1740</v>
      </c>
      <c r="C193" s="197" t="s">
        <v>378</v>
      </c>
      <c r="D193" s="197" t="s">
        <v>478</v>
      </c>
      <c r="E193" s="197" t="s">
        <v>180</v>
      </c>
      <c r="F193" s="197" t="s">
        <v>479</v>
      </c>
      <c r="G193" s="197" t="s">
        <v>173</v>
      </c>
      <c r="H193" s="197" t="s">
        <v>498</v>
      </c>
      <c r="I193" s="197" t="s">
        <v>1057</v>
      </c>
      <c r="J193" s="197" t="s">
        <v>1058</v>
      </c>
      <c r="K193" s="197" t="s">
        <v>1057</v>
      </c>
      <c r="L193" s="197">
        <v>166724</v>
      </c>
      <c r="M193" s="197" t="s">
        <v>1061</v>
      </c>
      <c r="N193" s="197" t="s">
        <v>1055</v>
      </c>
      <c r="O193" s="204">
        <v>96.793999999999997</v>
      </c>
      <c r="P193" s="204">
        <v>25.225000000000001</v>
      </c>
      <c r="Q193" s="217"/>
      <c r="R193" s="274">
        <v>26</v>
      </c>
      <c r="S193" s="274">
        <v>133</v>
      </c>
      <c r="T193" s="207">
        <f>IF(CampList[[#This Row],[HH]]&gt;0,CampList[[#This Row],[Total]]/CampList[[#This Row],[HH]],"NA")</f>
        <v>5.115384615384615</v>
      </c>
      <c r="U193" s="199" t="s">
        <v>464</v>
      </c>
      <c r="V193" s="199" t="s">
        <v>994</v>
      </c>
      <c r="W193" s="199" t="s">
        <v>507</v>
      </c>
      <c r="X193" s="199" t="s">
        <v>784</v>
      </c>
      <c r="Y193" s="313">
        <v>42125</v>
      </c>
      <c r="Z193" s="209" t="s">
        <v>424</v>
      </c>
      <c r="AA193" s="198" t="s">
        <v>774</v>
      </c>
      <c r="AB193" s="210">
        <v>43405</v>
      </c>
      <c r="AC193" s="211" t="s">
        <v>1893</v>
      </c>
      <c r="AD193" s="199" t="str">
        <f ca="1">IFERROR(OFFSET(DistanceToCamp[Nearest Town],MATCH(CampList[[#This Row],[CP_Pcode]],DistanceToCamp[CP_Pcode],0)-1,0,1,1),"")</f>
        <v>Mogaung Town</v>
      </c>
      <c r="AE193" s="212">
        <f ca="1">IFERROR(OFFSET(DistanceToCamp[distance],MATCH(CampList[[#This Row],[CP_Pcode]],DistanceToCamp[CP_Pcode],0)-1,0,1,1),"")</f>
        <v>5</v>
      </c>
      <c r="AF193" s="213">
        <f ca="1">IFERROR(INT(CampList[[#This Row],[Distance]]/5)+1,"")</f>
        <v>2</v>
      </c>
    </row>
    <row r="194" spans="2:32" ht="15.75" hidden="1" customHeight="1" x14ac:dyDescent="0.25">
      <c r="B194" s="203" t="s">
        <v>775</v>
      </c>
      <c r="C194" s="197" t="s">
        <v>378</v>
      </c>
      <c r="D194" s="197" t="s">
        <v>478</v>
      </c>
      <c r="E194" s="197" t="s">
        <v>5</v>
      </c>
      <c r="F194" s="197" t="s">
        <v>482</v>
      </c>
      <c r="G194" s="197" t="s">
        <v>5</v>
      </c>
      <c r="H194" s="197" t="s">
        <v>483</v>
      </c>
      <c r="I194" s="197" t="s">
        <v>585</v>
      </c>
      <c r="J194" s="197" t="s">
        <v>586</v>
      </c>
      <c r="K194" s="197"/>
      <c r="L194" s="197"/>
      <c r="M194" s="197" t="s">
        <v>876</v>
      </c>
      <c r="N194" s="197" t="s">
        <v>873</v>
      </c>
      <c r="O194" s="204">
        <v>97.239130000000003</v>
      </c>
      <c r="P194" s="206">
        <v>24.229189999999999</v>
      </c>
      <c r="Q194" s="217">
        <v>126</v>
      </c>
      <c r="R194" s="183"/>
      <c r="S194" s="225"/>
      <c r="T194" s="207" t="str">
        <f>IF(CampList[[#This Row],[HH]]&gt;0,CampList[[#This Row],[Total]]/CampList[[#This Row],[HH]],"NA")</f>
        <v>NA</v>
      </c>
      <c r="U194" s="199" t="s">
        <v>464</v>
      </c>
      <c r="V194" s="199" t="s">
        <v>994</v>
      </c>
      <c r="W194" s="199" t="s">
        <v>507</v>
      </c>
      <c r="X194" s="199" t="s">
        <v>742</v>
      </c>
      <c r="Y194" s="218"/>
      <c r="Z194" s="209" t="s">
        <v>462</v>
      </c>
      <c r="AA194" s="197" t="s">
        <v>774</v>
      </c>
      <c r="AB194" s="210">
        <v>41906</v>
      </c>
      <c r="AC194" s="211" t="s">
        <v>951</v>
      </c>
      <c r="AD194" s="199" t="str">
        <f ca="1">IFERROR(OFFSET(DistanceToCamp[Nearest Town],MATCH(CampList[[#This Row],[CP_Pcode]],DistanceToCamp[CP_Pcode],0)-1,0,1,1),"")</f>
        <v/>
      </c>
      <c r="AE194" s="212" t="str">
        <f ca="1">IFERROR(OFFSET(DistanceToCamp[distance],MATCH(CampList[[#This Row],[CP_Pcode]],DistanceToCamp[CP_Pcode],0)-1,0,1,1),"")</f>
        <v/>
      </c>
      <c r="AF194" s="213" t="str">
        <f ca="1">IFERROR(INT(CampList[[#This Row],[Distance]]/5)+1,"")</f>
        <v/>
      </c>
    </row>
    <row r="195" spans="2:32" ht="17.25" customHeight="1" x14ac:dyDescent="0.25">
      <c r="B195" s="203" t="s">
        <v>1740</v>
      </c>
      <c r="C195" s="198" t="s">
        <v>378</v>
      </c>
      <c r="D195" s="197" t="s">
        <v>478</v>
      </c>
      <c r="E195" s="197" t="s">
        <v>299</v>
      </c>
      <c r="F195" s="197" t="s">
        <v>499</v>
      </c>
      <c r="G195" s="197" t="s">
        <v>746</v>
      </c>
      <c r="H195" s="197" t="s">
        <v>747</v>
      </c>
      <c r="I195" s="198"/>
      <c r="J195" s="216"/>
      <c r="K195" s="198"/>
      <c r="L195" s="198"/>
      <c r="M195" s="197" t="s">
        <v>1065</v>
      </c>
      <c r="N195" s="198" t="s">
        <v>1066</v>
      </c>
      <c r="O195" s="234">
        <v>97.745480999999998</v>
      </c>
      <c r="P195" s="234">
        <v>26.569633</v>
      </c>
      <c r="Q195" s="217"/>
      <c r="R195" s="274">
        <v>111</v>
      </c>
      <c r="S195" s="274">
        <v>634</v>
      </c>
      <c r="T195" s="207">
        <f>IF(CampList[[#This Row],[HH]]&gt;0,CampList[[#This Row],[Total]]/CampList[[#This Row],[HH]],"NA")</f>
        <v>5.711711711711712</v>
      </c>
      <c r="U195" s="183" t="s">
        <v>466</v>
      </c>
      <c r="V195" s="199" t="s">
        <v>994</v>
      </c>
      <c r="W195" s="183" t="s">
        <v>507</v>
      </c>
      <c r="X195" s="183" t="s">
        <v>784</v>
      </c>
      <c r="Y195" s="313">
        <v>42036</v>
      </c>
      <c r="Z195" s="217" t="s">
        <v>424</v>
      </c>
      <c r="AA195" s="198" t="s">
        <v>774</v>
      </c>
      <c r="AB195" s="210">
        <v>43405</v>
      </c>
      <c r="AC195" s="235" t="s">
        <v>1894</v>
      </c>
      <c r="AD195" s="199" t="str">
        <f ca="1">IFERROR(OFFSET(DistanceToCamp[Nearest Town],MATCH(CampList[[#This Row],[CP_Pcode]],DistanceToCamp[CP_Pcode],0)-1,0,1,1),"")</f>
        <v>Sumprabum Town</v>
      </c>
      <c r="AE195" s="212">
        <f ca="1">IFERROR(OFFSET(DistanceToCamp[distance],MATCH(CampList[[#This Row],[CP_Pcode]],DistanceToCamp[CP_Pcode],0)-1,0,1,1),"")</f>
        <v>0</v>
      </c>
      <c r="AF195" s="213">
        <f ca="1">IFERROR(INT(CampList[[#This Row],[Distance]]/5)+1,"")</f>
        <v>1</v>
      </c>
    </row>
    <row r="196" spans="2:32" ht="15.75" hidden="1" customHeight="1" x14ac:dyDescent="0.25">
      <c r="B196" s="203" t="s">
        <v>775</v>
      </c>
      <c r="C196" s="197" t="s">
        <v>378</v>
      </c>
      <c r="D196" s="197" t="s">
        <v>478</v>
      </c>
      <c r="E196" s="197" t="s">
        <v>5</v>
      </c>
      <c r="F196" s="197" t="s">
        <v>482</v>
      </c>
      <c r="G196" s="197" t="s">
        <v>151</v>
      </c>
      <c r="H196" s="197" t="s">
        <v>492</v>
      </c>
      <c r="I196" s="197" t="s">
        <v>679</v>
      </c>
      <c r="J196" s="197" t="s">
        <v>680</v>
      </c>
      <c r="K196" s="197" t="s">
        <v>679</v>
      </c>
      <c r="L196" s="216">
        <v>167343</v>
      </c>
      <c r="M196" s="197" t="s">
        <v>887</v>
      </c>
      <c r="N196" s="197" t="s">
        <v>888</v>
      </c>
      <c r="O196" s="204">
        <v>97.608249999999998</v>
      </c>
      <c r="P196" s="204">
        <v>24.000250000000001</v>
      </c>
      <c r="Q196" s="217"/>
      <c r="R196" s="183"/>
      <c r="S196" s="225"/>
      <c r="T196" s="207" t="str">
        <f>IF(CampList[[#This Row],[HH]]&gt;0,CampList[[#This Row],[Total]]/CampList[[#This Row],[HH]],"NA")</f>
        <v>NA</v>
      </c>
      <c r="U196" s="199" t="s">
        <v>466</v>
      </c>
      <c r="V196" s="199" t="s">
        <v>994</v>
      </c>
      <c r="W196" s="199" t="s">
        <v>507</v>
      </c>
      <c r="X196" s="199" t="s">
        <v>784</v>
      </c>
      <c r="Y196" s="218">
        <v>40817</v>
      </c>
      <c r="Z196" s="673" t="s">
        <v>934</v>
      </c>
      <c r="AA196" s="197" t="s">
        <v>774</v>
      </c>
      <c r="AB196" s="210">
        <v>42629</v>
      </c>
      <c r="AC196" s="203" t="s">
        <v>1164</v>
      </c>
      <c r="AD196" s="199" t="str">
        <f ca="1">IFERROR(OFFSET(DistanceToCamp[Nearest Town],MATCH(CampList[[#This Row],[CP_Pcode]],DistanceToCamp[CP_Pcode],0)-1,0,1,1),"")</f>
        <v>Namhkan Town</v>
      </c>
      <c r="AE196" s="212">
        <f ca="1">IFERROR(OFFSET(DistanceToCamp[distance],MATCH(CampList[[#This Row],[CP_Pcode]],DistanceToCamp[CP_Pcode],0)-1,0,1,1),"")</f>
        <v>19.631786732140053</v>
      </c>
      <c r="AF196" s="213">
        <f ca="1">IFERROR(INT(CampList[[#This Row],[Distance]]/5)+1,"")</f>
        <v>4</v>
      </c>
    </row>
    <row r="197" spans="2:32" ht="15.75" customHeight="1" x14ac:dyDescent="0.25">
      <c r="B197" s="203" t="s">
        <v>1740</v>
      </c>
      <c r="C197" s="198" t="s">
        <v>378</v>
      </c>
      <c r="D197" s="197" t="s">
        <v>478</v>
      </c>
      <c r="E197" s="197" t="s">
        <v>299</v>
      </c>
      <c r="F197" s="197" t="s">
        <v>499</v>
      </c>
      <c r="G197" s="197" t="s">
        <v>746</v>
      </c>
      <c r="H197" s="197" t="s">
        <v>747</v>
      </c>
      <c r="I197" s="198"/>
      <c r="J197" s="216"/>
      <c r="K197" s="198"/>
      <c r="L197" s="198"/>
      <c r="M197" s="198" t="s">
        <v>1067</v>
      </c>
      <c r="N197" s="198" t="s">
        <v>1068</v>
      </c>
      <c r="O197" s="234">
        <v>97.75609</v>
      </c>
      <c r="P197" s="234">
        <v>26.548506</v>
      </c>
      <c r="Q197" s="217"/>
      <c r="R197" s="274">
        <v>64</v>
      </c>
      <c r="S197" s="274">
        <v>311</v>
      </c>
      <c r="T197" s="207">
        <f>IF(CampList[[#This Row],[HH]]&gt;0,CampList[[#This Row],[Total]]/CampList[[#This Row],[HH]],"NA")</f>
        <v>4.859375</v>
      </c>
      <c r="U197" s="183" t="s">
        <v>466</v>
      </c>
      <c r="V197" s="199" t="s">
        <v>994</v>
      </c>
      <c r="W197" s="183" t="s">
        <v>507</v>
      </c>
      <c r="X197" s="183" t="s">
        <v>784</v>
      </c>
      <c r="Y197" s="313">
        <v>42036</v>
      </c>
      <c r="Z197" s="217" t="s">
        <v>424</v>
      </c>
      <c r="AA197" s="198" t="s">
        <v>774</v>
      </c>
      <c r="AB197" s="210">
        <v>43405</v>
      </c>
      <c r="AC197" s="235" t="s">
        <v>1895</v>
      </c>
      <c r="AD197" s="199" t="str">
        <f ca="1">IFERROR(OFFSET(DistanceToCamp[Nearest Town],MATCH(CampList[[#This Row],[CP_Pcode]],DistanceToCamp[CP_Pcode],0)-1,0,1,1),"")</f>
        <v>Sumprabum Town</v>
      </c>
      <c r="AE197" s="212">
        <f ca="1">IFERROR(OFFSET(DistanceToCamp[distance],MATCH(CampList[[#This Row],[CP_Pcode]],DistanceToCamp[CP_Pcode],0)-1,0,1,1),"")</f>
        <v>0</v>
      </c>
      <c r="AF197" s="213">
        <f ca="1">IFERROR(INT(CampList[[#This Row],[Distance]]/5)+1,"")</f>
        <v>1</v>
      </c>
    </row>
    <row r="198" spans="2:32" ht="15.75" customHeight="1" x14ac:dyDescent="0.25">
      <c r="B198" s="203" t="s">
        <v>1740</v>
      </c>
      <c r="C198" s="197" t="s">
        <v>378</v>
      </c>
      <c r="D198" s="197" t="s">
        <v>478</v>
      </c>
      <c r="E198" s="197" t="s">
        <v>180</v>
      </c>
      <c r="F198" s="197" t="s">
        <v>479</v>
      </c>
      <c r="G198" s="197" t="s">
        <v>480</v>
      </c>
      <c r="H198" s="197" t="s">
        <v>481</v>
      </c>
      <c r="I198" s="198" t="s">
        <v>1151</v>
      </c>
      <c r="J198" s="216" t="s">
        <v>1152</v>
      </c>
      <c r="K198" s="198" t="s">
        <v>1158</v>
      </c>
      <c r="L198" s="198">
        <v>166819</v>
      </c>
      <c r="M198" s="173" t="s">
        <v>1157</v>
      </c>
      <c r="N198" s="198" t="s">
        <v>1160</v>
      </c>
      <c r="O198" s="241">
        <v>96.662092000000001</v>
      </c>
      <c r="P198" s="241">
        <v>25.920006000000001</v>
      </c>
      <c r="Q198" s="217"/>
      <c r="R198" s="274">
        <v>28</v>
      </c>
      <c r="S198" s="274">
        <v>126</v>
      </c>
      <c r="T198" s="207">
        <f>IF(CampList[[#This Row],[HH]]&gt;0,CampList[[#This Row],[Total]]/CampList[[#This Row],[HH]],"NA")</f>
        <v>4.5</v>
      </c>
      <c r="U198" s="183" t="s">
        <v>464</v>
      </c>
      <c r="V198" s="199" t="s">
        <v>994</v>
      </c>
      <c r="W198" s="183" t="s">
        <v>507</v>
      </c>
      <c r="X198" s="183" t="s">
        <v>784</v>
      </c>
      <c r="Y198" s="313">
        <v>42584</v>
      </c>
      <c r="Z198" s="217" t="s">
        <v>424</v>
      </c>
      <c r="AA198" s="198" t="s">
        <v>774</v>
      </c>
      <c r="AB198" s="210">
        <v>43405</v>
      </c>
      <c r="AC198" s="219" t="s">
        <v>1896</v>
      </c>
      <c r="AD198" s="220" t="str">
        <f ca="1">IFERROR(OFFSET(DistanceToCamp[Nearest Town],MATCH(CampList[[#This Row],[CP_Pcode]],DistanceToCamp[CP_Pcode],0)-1,0,1,1),"")</f>
        <v>Hpakant Town</v>
      </c>
      <c r="AE198" s="212">
        <f ca="1">IFERROR(OFFSET(DistanceToCamp[distance],MATCH(CampList[[#This Row],[CP_Pcode]],DistanceToCamp[CP_Pcode],0)-1,0,1,1),"")</f>
        <v>0</v>
      </c>
      <c r="AF198" s="221">
        <f ca="1">IFERROR(INT(CampList[[#This Row],[Distance]]/5)+1,"")</f>
        <v>1</v>
      </c>
    </row>
    <row r="199" spans="2:32" ht="15.75" customHeight="1" x14ac:dyDescent="0.25">
      <c r="B199" s="203" t="s">
        <v>1740</v>
      </c>
      <c r="C199" s="197" t="s">
        <v>378</v>
      </c>
      <c r="D199" s="197" t="s">
        <v>478</v>
      </c>
      <c r="E199" s="197" t="s">
        <v>180</v>
      </c>
      <c r="F199" s="197" t="s">
        <v>479</v>
      </c>
      <c r="G199" s="197" t="s">
        <v>480</v>
      </c>
      <c r="H199" s="197" t="s">
        <v>481</v>
      </c>
      <c r="I199" s="198" t="s">
        <v>1151</v>
      </c>
      <c r="J199" s="216" t="s">
        <v>1152</v>
      </c>
      <c r="K199" s="198" t="s">
        <v>1158</v>
      </c>
      <c r="L199" s="198">
        <v>166819</v>
      </c>
      <c r="M199" s="173" t="s">
        <v>1156</v>
      </c>
      <c r="N199" s="198" t="s">
        <v>1162</v>
      </c>
      <c r="O199" s="241">
        <v>96.662092000000001</v>
      </c>
      <c r="P199" s="241">
        <v>25.920006000000001</v>
      </c>
      <c r="Q199" s="217"/>
      <c r="R199" s="274">
        <v>4</v>
      </c>
      <c r="S199" s="274">
        <v>11</v>
      </c>
      <c r="T199" s="207">
        <f>IF(CampList[[#This Row],[HH]]&gt;0,CampList[[#This Row],[Total]]/CampList[[#This Row],[HH]],"NA")</f>
        <v>2.75</v>
      </c>
      <c r="U199" s="183" t="s">
        <v>464</v>
      </c>
      <c r="V199" s="199" t="s">
        <v>994</v>
      </c>
      <c r="W199" s="183" t="s">
        <v>1571</v>
      </c>
      <c r="X199" s="183" t="s">
        <v>784</v>
      </c>
      <c r="Y199" s="313">
        <v>42584</v>
      </c>
      <c r="Z199" s="673" t="s">
        <v>1314</v>
      </c>
      <c r="AA199" s="198" t="s">
        <v>774</v>
      </c>
      <c r="AB199" s="210">
        <v>43374</v>
      </c>
      <c r="AC199" s="219" t="s">
        <v>1786</v>
      </c>
      <c r="AD199" s="220" t="str">
        <f ca="1">IFERROR(OFFSET(DistanceToCamp[Nearest Town],MATCH(CampList[[#This Row],[CP_Pcode]],DistanceToCamp[CP_Pcode],0)-1,0,1,1),"")</f>
        <v>Hpakant Town</v>
      </c>
      <c r="AE199" s="212">
        <f ca="1">IFERROR(OFFSET(DistanceToCamp[distance],MATCH(CampList[[#This Row],[CP_Pcode]],DistanceToCamp[CP_Pcode],0)-1,0,1,1),"")</f>
        <v>0</v>
      </c>
      <c r="AF199" s="221">
        <f ca="1">IFERROR(INT(CampList[[#This Row],[Distance]]/5)+1,"")</f>
        <v>1</v>
      </c>
    </row>
    <row r="200" spans="2:32" ht="15.75" customHeight="1" x14ac:dyDescent="0.25">
      <c r="B200" s="203" t="s">
        <v>1740</v>
      </c>
      <c r="C200" s="197" t="s">
        <v>378</v>
      </c>
      <c r="D200" s="197" t="s">
        <v>478</v>
      </c>
      <c r="E200" s="197" t="s">
        <v>180</v>
      </c>
      <c r="F200" s="197" t="s">
        <v>479</v>
      </c>
      <c r="G200" s="197" t="s">
        <v>480</v>
      </c>
      <c r="H200" s="197" t="s">
        <v>481</v>
      </c>
      <c r="I200" s="198" t="s">
        <v>1151</v>
      </c>
      <c r="J200" s="216" t="s">
        <v>1152</v>
      </c>
      <c r="K200" s="198" t="s">
        <v>1158</v>
      </c>
      <c r="L200" s="198">
        <v>166819</v>
      </c>
      <c r="M200" s="173" t="s">
        <v>1155</v>
      </c>
      <c r="N200" s="198" t="s">
        <v>1163</v>
      </c>
      <c r="O200" s="241">
        <v>96.662092000000001</v>
      </c>
      <c r="P200" s="241">
        <v>25.920006000000001</v>
      </c>
      <c r="Q200" s="217"/>
      <c r="R200" s="274">
        <v>21</v>
      </c>
      <c r="S200" s="274">
        <v>92</v>
      </c>
      <c r="T200" s="207">
        <f>IF(CampList[[#This Row],[HH]]&gt;0,CampList[[#This Row],[Total]]/CampList[[#This Row],[HH]],"NA")</f>
        <v>4.3809523809523814</v>
      </c>
      <c r="U200" s="183" t="s">
        <v>464</v>
      </c>
      <c r="V200" s="199" t="s">
        <v>994</v>
      </c>
      <c r="W200" s="183" t="s">
        <v>507</v>
      </c>
      <c r="X200" s="183" t="s">
        <v>784</v>
      </c>
      <c r="Y200" s="313">
        <v>42584</v>
      </c>
      <c r="Z200" s="673" t="s">
        <v>935</v>
      </c>
      <c r="AA200" s="198" t="s">
        <v>774</v>
      </c>
      <c r="AB200" s="210">
        <v>43405</v>
      </c>
      <c r="AC200" s="219" t="s">
        <v>1831</v>
      </c>
      <c r="AD200" s="220" t="str">
        <f ca="1">IFERROR(OFFSET(DistanceToCamp[Nearest Town],MATCH(CampList[[#This Row],[CP_Pcode]],DistanceToCamp[CP_Pcode],0)-1,0,1,1),"")</f>
        <v>Hpakant Town</v>
      </c>
      <c r="AE200" s="212">
        <f ca="1">IFERROR(OFFSET(DistanceToCamp[distance],MATCH(CampList[[#This Row],[CP_Pcode]],DistanceToCamp[CP_Pcode],0)-1,0,1,1),"")</f>
        <v>0</v>
      </c>
      <c r="AF200" s="221">
        <f ca="1">IFERROR(INT(CampList[[#This Row],[Distance]]/5)+1,"")</f>
        <v>1</v>
      </c>
    </row>
    <row r="201" spans="2:32" ht="15.75" hidden="1" customHeight="1" x14ac:dyDescent="0.25">
      <c r="B201" s="203" t="s">
        <v>775</v>
      </c>
      <c r="C201" s="197" t="s">
        <v>378</v>
      </c>
      <c r="D201" s="197" t="s">
        <v>478</v>
      </c>
      <c r="E201" s="197" t="s">
        <v>180</v>
      </c>
      <c r="F201" s="197" t="s">
        <v>479</v>
      </c>
      <c r="G201" s="197" t="s">
        <v>480</v>
      </c>
      <c r="H201" s="197" t="s">
        <v>481</v>
      </c>
      <c r="I201" s="197" t="s">
        <v>552</v>
      </c>
      <c r="J201" s="197" t="s">
        <v>553</v>
      </c>
      <c r="K201" s="197" t="s">
        <v>700</v>
      </c>
      <c r="L201" s="197">
        <v>216877</v>
      </c>
      <c r="M201" s="197" t="s">
        <v>955</v>
      </c>
      <c r="N201" s="197" t="s">
        <v>956</v>
      </c>
      <c r="O201" s="206">
        <v>96.637</v>
      </c>
      <c r="P201" s="206">
        <v>25.806999999999999</v>
      </c>
      <c r="Q201" s="217"/>
      <c r="R201" s="274"/>
      <c r="S201" s="274"/>
      <c r="T201" s="207" t="str">
        <f>IF(CampList[[#This Row],[HH]]&gt;0,CampList[[#This Row],[Total]]/CampList[[#This Row],[HH]],"NA")</f>
        <v>NA</v>
      </c>
      <c r="U201" s="199" t="s">
        <v>464</v>
      </c>
      <c r="V201" s="199" t="s">
        <v>994</v>
      </c>
      <c r="W201" s="199" t="s">
        <v>507</v>
      </c>
      <c r="X201" s="199" t="s">
        <v>784</v>
      </c>
      <c r="Y201" s="312">
        <v>42019</v>
      </c>
      <c r="Z201" s="209" t="s">
        <v>424</v>
      </c>
      <c r="AA201" s="197" t="s">
        <v>774</v>
      </c>
      <c r="AB201" s="210">
        <v>42919</v>
      </c>
      <c r="AC201" s="211" t="s">
        <v>1270</v>
      </c>
      <c r="AD201" s="199" t="str">
        <f ca="1">IFERROR(OFFSET(DistanceToCamp[Nearest Town],MATCH(CampList[[#This Row],[CP_Pcode]],DistanceToCamp[CP_Pcode],0)-1,0,1,1),"")</f>
        <v>Hpakant Town</v>
      </c>
      <c r="AE201" s="212">
        <f ca="1">IFERROR(OFFSET(DistanceToCamp[distance],MATCH(CampList[[#This Row],[CP_Pcode]],DistanceToCamp[CP_Pcode],0)-1,0,1,1),"")</f>
        <v>10</v>
      </c>
      <c r="AF201" s="221">
        <f ca="1">IFERROR(INT(CampList[[#This Row],[Distance]]/5)+1,"")</f>
        <v>3</v>
      </c>
    </row>
    <row r="202" spans="2:32" ht="15.75" customHeight="1" x14ac:dyDescent="0.25">
      <c r="B202" s="203" t="s">
        <v>1740</v>
      </c>
      <c r="C202" s="198" t="s">
        <v>378</v>
      </c>
      <c r="D202" s="198" t="s">
        <v>478</v>
      </c>
      <c r="E202" s="198" t="s">
        <v>237</v>
      </c>
      <c r="F202" s="198" t="s">
        <v>484</v>
      </c>
      <c r="G202" s="198" t="s">
        <v>309</v>
      </c>
      <c r="H202" s="198" t="s">
        <v>485</v>
      </c>
      <c r="I202" s="198" t="s">
        <v>1246</v>
      </c>
      <c r="J202" s="216" t="s">
        <v>1247</v>
      </c>
      <c r="K202" s="198" t="s">
        <v>1248</v>
      </c>
      <c r="L202" s="198">
        <v>216822</v>
      </c>
      <c r="M202" s="198" t="s">
        <v>1252</v>
      </c>
      <c r="N202" s="198" t="s">
        <v>1249</v>
      </c>
      <c r="O202" s="206">
        <v>97.430321000000006</v>
      </c>
      <c r="P202" s="206">
        <v>25.305008999999998</v>
      </c>
      <c r="Q202" s="217"/>
      <c r="R202" s="206">
        <v>62</v>
      </c>
      <c r="S202" s="217">
        <v>410</v>
      </c>
      <c r="T202" s="207">
        <f>IF(CampList[[#This Row],[HH]]&gt;0,CampList[[#This Row],[Total]]/CampList[[#This Row],[HH]],"NA")</f>
        <v>6.612903225806452</v>
      </c>
      <c r="U202" s="183" t="s">
        <v>464</v>
      </c>
      <c r="V202" s="199" t="s">
        <v>994</v>
      </c>
      <c r="W202" s="199" t="s">
        <v>1381</v>
      </c>
      <c r="X202" s="183" t="s">
        <v>784</v>
      </c>
      <c r="Y202" s="313"/>
      <c r="Z202" s="209" t="s">
        <v>1314</v>
      </c>
      <c r="AA202" s="198" t="s">
        <v>1253</v>
      </c>
      <c r="AB202" s="210">
        <v>42888</v>
      </c>
      <c r="AC202" s="219" t="s">
        <v>1254</v>
      </c>
      <c r="AD202" s="220" t="str">
        <f ca="1">IFERROR(OFFSET(DistanceToCamp[Nearest Town],MATCH(CampList[[#This Row],[CP_Pcode]],DistanceToCamp[CP_Pcode],0)-1,0,1,1),"")</f>
        <v>Waingmaw Town</v>
      </c>
      <c r="AE202" s="212">
        <f ca="1">IFERROR(OFFSET(DistanceToCamp[distance],MATCH(CampList[[#This Row],[CP_Pcode]],DistanceToCamp[CP_Pcode],0)-1,0,1,1),"")</f>
        <v>0</v>
      </c>
      <c r="AF202" s="221">
        <f ca="1">IFERROR(INT(CampList[[#This Row],[Distance]]/5)+1,"")</f>
        <v>1</v>
      </c>
    </row>
    <row r="203" spans="2:32" ht="15.75" customHeight="1" x14ac:dyDescent="0.25">
      <c r="B203" s="203" t="s">
        <v>1740</v>
      </c>
      <c r="C203" s="197" t="s">
        <v>378</v>
      </c>
      <c r="D203" s="197" t="s">
        <v>478</v>
      </c>
      <c r="E203" s="197" t="s">
        <v>180</v>
      </c>
      <c r="F203" s="197" t="s">
        <v>479</v>
      </c>
      <c r="G203" s="197" t="s">
        <v>480</v>
      </c>
      <c r="H203" s="197" t="s">
        <v>481</v>
      </c>
      <c r="I203" s="197" t="s">
        <v>552</v>
      </c>
      <c r="J203" s="216" t="s">
        <v>553</v>
      </c>
      <c r="K203" s="197" t="s">
        <v>1266</v>
      </c>
      <c r="L203" s="216">
        <v>220486</v>
      </c>
      <c r="M203" s="198" t="s">
        <v>1591</v>
      </c>
      <c r="N203" s="198" t="s">
        <v>1267</v>
      </c>
      <c r="O203" s="274"/>
      <c r="P203" s="274"/>
      <c r="Q203" s="275"/>
      <c r="R203" s="274">
        <v>123</v>
      </c>
      <c r="S203" s="274">
        <v>665</v>
      </c>
      <c r="T203" s="276">
        <f>IF(CampList[[#This Row],[HH]]&gt;0,CampList[[#This Row],[Total]]/CampList[[#This Row],[HH]],"NA")</f>
        <v>5.4065040650406502</v>
      </c>
      <c r="U203" s="182" t="s">
        <v>464</v>
      </c>
      <c r="V203" s="277" t="s">
        <v>994</v>
      </c>
      <c r="W203" s="182" t="s">
        <v>507</v>
      </c>
      <c r="X203" s="182" t="s">
        <v>784</v>
      </c>
      <c r="Y203" s="322">
        <v>42887</v>
      </c>
      <c r="Z203" s="275" t="s">
        <v>424</v>
      </c>
      <c r="AA203" s="272" t="s">
        <v>774</v>
      </c>
      <c r="AB203" s="210">
        <v>43405</v>
      </c>
      <c r="AC203" s="294" t="s">
        <v>1897</v>
      </c>
      <c r="AD203" s="281" t="str">
        <f ca="1">IFERROR(OFFSET(DistanceToCamp[Nearest Town],MATCH(CampList[[#This Row],[CP_Pcode]],DistanceToCamp[CP_Pcode],0)-1,0,1,1),"")</f>
        <v>Hpakant Town</v>
      </c>
      <c r="AE203" s="282">
        <f ca="1">IFERROR(OFFSET(DistanceToCamp[distance],MATCH(CampList[[#This Row],[CP_Pcode]],DistanceToCamp[CP_Pcode],0)-1,0,1,1),"")</f>
        <v>0</v>
      </c>
      <c r="AF203" s="283">
        <f ca="1">IFERROR(INT(CampList[[#This Row],[Distance]]/5)+1,"")</f>
        <v>1</v>
      </c>
    </row>
    <row r="204" spans="2:32" ht="15.75" customHeight="1" x14ac:dyDescent="0.25">
      <c r="B204" s="203" t="s">
        <v>1740</v>
      </c>
      <c r="C204" s="197" t="s">
        <v>378</v>
      </c>
      <c r="D204" s="197" t="s">
        <v>478</v>
      </c>
      <c r="E204" s="197" t="s">
        <v>237</v>
      </c>
      <c r="F204" s="198" t="s">
        <v>484</v>
      </c>
      <c r="G204" s="197" t="s">
        <v>1135</v>
      </c>
      <c r="H204" s="197" t="s">
        <v>1134</v>
      </c>
      <c r="I204" s="689" t="s">
        <v>1681</v>
      </c>
      <c r="J204" s="689" t="s">
        <v>1682</v>
      </c>
      <c r="K204" s="197"/>
      <c r="L204" s="197"/>
      <c r="M204" s="198" t="s">
        <v>1773</v>
      </c>
      <c r="N204" s="703" t="s">
        <v>1403</v>
      </c>
      <c r="O204" s="204"/>
      <c r="P204" s="204"/>
      <c r="Q204" s="217"/>
      <c r="R204" s="284">
        <v>139</v>
      </c>
      <c r="S204" s="285">
        <v>587</v>
      </c>
      <c r="T204" s="207">
        <f>IF(CampList[[#This Row],[HH]]&gt;0,CampList[[#This Row],[Total]]/CampList[[#This Row],[HH]],"NA")</f>
        <v>4.2230215827338133</v>
      </c>
      <c r="U204" s="183" t="s">
        <v>464</v>
      </c>
      <c r="V204" s="199" t="s">
        <v>994</v>
      </c>
      <c r="W204" s="199" t="s">
        <v>507</v>
      </c>
      <c r="X204" s="199" t="s">
        <v>742</v>
      </c>
      <c r="Y204" s="673">
        <v>42741</v>
      </c>
      <c r="Z204" s="209" t="s">
        <v>935</v>
      </c>
      <c r="AA204" s="223" t="s">
        <v>774</v>
      </c>
      <c r="AB204" s="210">
        <v>43405</v>
      </c>
      <c r="AC204" s="203" t="s">
        <v>1832</v>
      </c>
      <c r="AD204" s="220" t="str">
        <f ca="1">IFERROR(OFFSET(DistanceToCamp[Nearest Town],MATCH(CampList[[#This Row],[CP_Pcode]],DistanceToCamp[CP_Pcode],0)-1,0,1,1),"")</f>
        <v>Tanai Town</v>
      </c>
      <c r="AE204" s="212">
        <f ca="1">IFERROR(OFFSET(DistanceToCamp[distance],MATCH(CampList[[#This Row],[CP_Pcode]],DistanceToCamp[CP_Pcode],0)-1,0,1,1),"")</f>
        <v>0</v>
      </c>
      <c r="AF204" s="221">
        <f ca="1">IFERROR(INT(CampList[[#This Row],[Distance]]/5)+1,"")</f>
        <v>1</v>
      </c>
    </row>
    <row r="205" spans="2:32" ht="15.75" hidden="1" customHeight="1" x14ac:dyDescent="0.25">
      <c r="B205" s="203" t="s">
        <v>775</v>
      </c>
      <c r="C205" s="197" t="s">
        <v>378</v>
      </c>
      <c r="D205" s="197" t="s">
        <v>478</v>
      </c>
      <c r="E205" s="197" t="s">
        <v>180</v>
      </c>
      <c r="F205" s="197" t="s">
        <v>479</v>
      </c>
      <c r="G205" s="197" t="s">
        <v>173</v>
      </c>
      <c r="H205" s="197" t="s">
        <v>498</v>
      </c>
      <c r="I205" s="197" t="s">
        <v>1057</v>
      </c>
      <c r="J205" s="197" t="s">
        <v>1058</v>
      </c>
      <c r="K205" s="197" t="s">
        <v>1057</v>
      </c>
      <c r="L205" s="224">
        <v>166724</v>
      </c>
      <c r="M205" s="197" t="s">
        <v>1062</v>
      </c>
      <c r="N205" s="197" t="s">
        <v>1054</v>
      </c>
      <c r="O205" s="204">
        <v>96.793999999999997</v>
      </c>
      <c r="P205" s="204">
        <v>25.225000000000001</v>
      </c>
      <c r="Q205" s="217"/>
      <c r="R205" s="206"/>
      <c r="S205" s="217"/>
      <c r="T205" s="207" t="str">
        <f>IF(CampList[[#This Row],[HH]]&gt;0,CampList[[#This Row],[Total]]/CampList[[#This Row],[HH]],"NA")</f>
        <v>NA</v>
      </c>
      <c r="U205" s="199" t="s">
        <v>464</v>
      </c>
      <c r="V205" s="199" t="s">
        <v>994</v>
      </c>
      <c r="W205" s="199" t="s">
        <v>12</v>
      </c>
      <c r="X205" s="199" t="s">
        <v>784</v>
      </c>
      <c r="Y205" s="313">
        <v>42125</v>
      </c>
      <c r="Z205" s="209"/>
      <c r="AA205" s="223" t="s">
        <v>773</v>
      </c>
      <c r="AB205" s="210">
        <v>42927</v>
      </c>
      <c r="AC205" s="211" t="s">
        <v>1285</v>
      </c>
      <c r="AD205" s="199" t="str">
        <f ca="1">IFERROR(OFFSET(DistanceToCamp[Nearest Town],MATCH(CampList[[#This Row],[CP_Pcode]],DistanceToCamp[CP_Pcode],0)-1,0,1,1),"")</f>
        <v>Mogaung Town</v>
      </c>
      <c r="AE205" s="212">
        <f ca="1">IFERROR(OFFSET(DistanceToCamp[distance],MATCH(CampList[[#This Row],[CP_Pcode]],DistanceToCamp[CP_Pcode],0)-1,0,1,1),"")</f>
        <v>5</v>
      </c>
      <c r="AF205" s="213">
        <f ca="1">IFERROR(INT(CampList[[#This Row],[Distance]]/5)+1,"")</f>
        <v>2</v>
      </c>
    </row>
    <row r="206" spans="2:32" ht="15.75" customHeight="1" x14ac:dyDescent="0.25">
      <c r="B206" s="203" t="s">
        <v>1740</v>
      </c>
      <c r="C206" s="197" t="s">
        <v>378</v>
      </c>
      <c r="D206" s="197" t="s">
        <v>478</v>
      </c>
      <c r="E206" s="197" t="s">
        <v>237</v>
      </c>
      <c r="F206" s="198" t="s">
        <v>484</v>
      </c>
      <c r="G206" s="197" t="s">
        <v>1135</v>
      </c>
      <c r="H206" s="197" t="s">
        <v>1134</v>
      </c>
      <c r="I206" s="689" t="s">
        <v>1681</v>
      </c>
      <c r="J206" s="689" t="s">
        <v>1682</v>
      </c>
      <c r="K206" s="197"/>
      <c r="L206" s="197"/>
      <c r="M206" s="198" t="s">
        <v>1727</v>
      </c>
      <c r="N206" s="197" t="s">
        <v>1405</v>
      </c>
      <c r="O206" s="204"/>
      <c r="P206" s="204"/>
      <c r="Q206" s="217"/>
      <c r="R206" s="284">
        <v>101</v>
      </c>
      <c r="S206" s="285">
        <v>380</v>
      </c>
      <c r="T206" s="207">
        <f>IF(CampList[[#This Row],[HH]]&gt;0,CampList[[#This Row],[Total]]/CampList[[#This Row],[HH]],"NA")</f>
        <v>3.7623762376237622</v>
      </c>
      <c r="U206" s="183" t="s">
        <v>464</v>
      </c>
      <c r="V206" s="199" t="s">
        <v>994</v>
      </c>
      <c r="W206" s="199" t="s">
        <v>507</v>
      </c>
      <c r="X206" s="199" t="s">
        <v>742</v>
      </c>
      <c r="Y206" s="673">
        <v>42741</v>
      </c>
      <c r="Z206" s="209" t="s">
        <v>424</v>
      </c>
      <c r="AA206" s="223" t="s">
        <v>774</v>
      </c>
      <c r="AB206" s="210">
        <v>43405</v>
      </c>
      <c r="AC206" s="203" t="s">
        <v>1898</v>
      </c>
      <c r="AD206" s="220" t="str">
        <f ca="1">IFERROR(OFFSET(DistanceToCamp[Nearest Town],MATCH(CampList[[#This Row],[CP_Pcode]],DistanceToCamp[CP_Pcode],0)-1,0,1,1),"")</f>
        <v>Tanai Town</v>
      </c>
      <c r="AE206" s="212">
        <f ca="1">IFERROR(OFFSET(DistanceToCamp[distance],MATCH(CampList[[#This Row],[CP_Pcode]],DistanceToCamp[CP_Pcode],0)-1,0,1,1),"")</f>
        <v>0</v>
      </c>
      <c r="AF206" s="221">
        <f ca="1">IFERROR(INT(CampList[[#This Row],[Distance]]/5)+1,"")</f>
        <v>1</v>
      </c>
    </row>
    <row r="207" spans="2:32" ht="15.75" hidden="1" customHeight="1" x14ac:dyDescent="0.25">
      <c r="B207" s="203" t="s">
        <v>775</v>
      </c>
      <c r="C207" s="198" t="s">
        <v>378</v>
      </c>
      <c r="D207" s="197" t="s">
        <v>478</v>
      </c>
      <c r="E207" s="197" t="s">
        <v>180</v>
      </c>
      <c r="F207" s="197" t="s">
        <v>479</v>
      </c>
      <c r="G207" s="198" t="s">
        <v>173</v>
      </c>
      <c r="H207" s="198" t="s">
        <v>498</v>
      </c>
      <c r="I207" s="198" t="s">
        <v>572</v>
      </c>
      <c r="J207" s="216" t="s">
        <v>573</v>
      </c>
      <c r="K207" s="198" t="s">
        <v>574</v>
      </c>
      <c r="L207" s="198">
        <v>166676</v>
      </c>
      <c r="M207" s="198" t="s">
        <v>1053</v>
      </c>
      <c r="N207" s="198" t="s">
        <v>1056</v>
      </c>
      <c r="O207" s="206">
        <v>96.942279999999997</v>
      </c>
      <c r="P207" s="206">
        <v>25.299679999999999</v>
      </c>
      <c r="Q207" s="217"/>
      <c r="R207" s="206">
        <v>6</v>
      </c>
      <c r="S207" s="217">
        <v>31</v>
      </c>
      <c r="T207" s="207">
        <f>IF(CampList[[#This Row],[HH]]&gt;0,CampList[[#This Row],[Total]]/CampList[[#This Row],[HH]],"NA")</f>
        <v>5.166666666666667</v>
      </c>
      <c r="U207" s="183" t="s">
        <v>464</v>
      </c>
      <c r="V207" s="199" t="s">
        <v>994</v>
      </c>
      <c r="W207" s="199" t="s">
        <v>1381</v>
      </c>
      <c r="X207" s="183" t="s">
        <v>742</v>
      </c>
      <c r="Y207" s="313">
        <v>42125</v>
      </c>
      <c r="Z207" s="217"/>
      <c r="AA207" s="198" t="s">
        <v>774</v>
      </c>
      <c r="AB207" s="210">
        <v>43189</v>
      </c>
      <c r="AC207" s="219" t="s">
        <v>1708</v>
      </c>
      <c r="AD207" s="199" t="str">
        <f ca="1">IFERROR(OFFSET(DistanceToCamp[Nearest Town],MATCH(CampList[[#This Row],[CP_Pcode]],DistanceToCamp[CP_Pcode],0)-1,0,1,1),"")</f>
        <v>Mogaung Town</v>
      </c>
      <c r="AE207" s="212">
        <f ca="1">IFERROR(OFFSET(DistanceToCamp[distance],MATCH(CampList[[#This Row],[CP_Pcode]],DistanceToCamp[CP_Pcode],0)-1,0,1,1),"")</f>
        <v>0.75</v>
      </c>
      <c r="AF207" s="213">
        <f ca="1">IFERROR(INT(CampList[[#This Row],[Distance]]/5)+1,"")</f>
        <v>1</v>
      </c>
    </row>
    <row r="208" spans="2:32" ht="15.75" customHeight="1" x14ac:dyDescent="0.25">
      <c r="B208" s="203" t="s">
        <v>1740</v>
      </c>
      <c r="C208" s="197" t="s">
        <v>378</v>
      </c>
      <c r="D208" s="197" t="s">
        <v>478</v>
      </c>
      <c r="E208" s="197" t="s">
        <v>237</v>
      </c>
      <c r="F208" s="198" t="s">
        <v>484</v>
      </c>
      <c r="G208" s="197" t="s">
        <v>1135</v>
      </c>
      <c r="H208" s="197" t="s">
        <v>1134</v>
      </c>
      <c r="I208" s="689" t="s">
        <v>1681</v>
      </c>
      <c r="J208" s="689" t="s">
        <v>1682</v>
      </c>
      <c r="K208" s="197"/>
      <c r="L208" s="197"/>
      <c r="M208" s="198" t="s">
        <v>1393</v>
      </c>
      <c r="N208" s="197" t="s">
        <v>1406</v>
      </c>
      <c r="O208" s="204"/>
      <c r="P208" s="204"/>
      <c r="Q208" s="217"/>
      <c r="R208" s="284">
        <v>34</v>
      </c>
      <c r="S208" s="285">
        <v>143</v>
      </c>
      <c r="T208" s="207">
        <f>IF(CampList[[#This Row],[HH]]&gt;0,CampList[[#This Row],[Total]]/CampList[[#This Row],[HH]],"NA")</f>
        <v>4.2058823529411766</v>
      </c>
      <c r="U208" s="183" t="s">
        <v>464</v>
      </c>
      <c r="V208" s="199" t="s">
        <v>994</v>
      </c>
      <c r="W208" s="199" t="s">
        <v>507</v>
      </c>
      <c r="X208" s="199" t="s">
        <v>742</v>
      </c>
      <c r="Y208" s="673">
        <v>42741</v>
      </c>
      <c r="Z208" s="209" t="s">
        <v>935</v>
      </c>
      <c r="AA208" s="223" t="s">
        <v>774</v>
      </c>
      <c r="AB208" s="210">
        <v>43405</v>
      </c>
      <c r="AC208" s="203" t="s">
        <v>1833</v>
      </c>
      <c r="AD208" s="220" t="str">
        <f ca="1">IFERROR(OFFSET(DistanceToCamp[Nearest Town],MATCH(CampList[[#This Row],[CP_Pcode]],DistanceToCamp[CP_Pcode],0)-1,0,1,1),"")</f>
        <v>Tanai Town</v>
      </c>
      <c r="AE208" s="212">
        <f ca="1">IFERROR(OFFSET(DistanceToCamp[distance],MATCH(CampList[[#This Row],[CP_Pcode]],DistanceToCamp[CP_Pcode],0)-1,0,1,1),"")</f>
        <v>0</v>
      </c>
      <c r="AF208" s="221">
        <f ca="1">IFERROR(INT(CampList[[#This Row],[Distance]]/5)+1,"")</f>
        <v>1</v>
      </c>
    </row>
    <row r="209" spans="2:35" ht="15.75" customHeight="1" x14ac:dyDescent="0.25">
      <c r="B209" s="203" t="s">
        <v>1740</v>
      </c>
      <c r="C209" s="197" t="s">
        <v>378</v>
      </c>
      <c r="D209" s="197" t="s">
        <v>478</v>
      </c>
      <c r="E209" s="197" t="s">
        <v>237</v>
      </c>
      <c r="F209" s="198" t="s">
        <v>484</v>
      </c>
      <c r="G209" s="197" t="s">
        <v>237</v>
      </c>
      <c r="H209" s="197" t="s">
        <v>488</v>
      </c>
      <c r="I209" s="197" t="s">
        <v>611</v>
      </c>
      <c r="J209" s="216"/>
      <c r="K209" s="197" t="s">
        <v>1511</v>
      </c>
      <c r="L209" s="197"/>
      <c r="M209" s="197" t="s">
        <v>1512</v>
      </c>
      <c r="N209" s="197" t="s">
        <v>1543</v>
      </c>
      <c r="O209" s="204"/>
      <c r="P209" s="204"/>
      <c r="Q209" s="217"/>
      <c r="R209" s="182">
        <v>14</v>
      </c>
      <c r="S209" s="292">
        <v>38</v>
      </c>
      <c r="T209" s="207">
        <f>IF(CampList[[#This Row],[HH]]&gt;0,CampList[[#This Row],[Total]]/CampList[[#This Row],[HH]],"NA")</f>
        <v>2.7142857142857144</v>
      </c>
      <c r="U209" s="199" t="s">
        <v>464</v>
      </c>
      <c r="V209" s="199" t="s">
        <v>994</v>
      </c>
      <c r="W209" s="199" t="s">
        <v>507</v>
      </c>
      <c r="X209" s="199" t="s">
        <v>742</v>
      </c>
      <c r="Y209" s="673">
        <v>42929</v>
      </c>
      <c r="Z209" s="673" t="s">
        <v>935</v>
      </c>
      <c r="AA209" s="197" t="s">
        <v>774</v>
      </c>
      <c r="AB209" s="210">
        <v>43405</v>
      </c>
      <c r="AC209" s="211" t="s">
        <v>1834</v>
      </c>
      <c r="AD209" s="220" t="str">
        <f ca="1">IFERROR(OFFSET(DistanceToCamp[Nearest Town],MATCH(CampList[[#This Row],[CP_Pcode]],DistanceToCamp[CP_Pcode],0)-1,0,1,1),"")</f>
        <v>Myitkyina Town</v>
      </c>
      <c r="AE209" s="212">
        <f ca="1">IFERROR(OFFSET(DistanceToCamp[distance],MATCH(CampList[[#This Row],[CP_Pcode]],DistanceToCamp[CP_Pcode],0)-1,0,1,1),"")</f>
        <v>0</v>
      </c>
      <c r="AF209" s="221">
        <f ca="1">IFERROR(INT(CampList[[#This Row],[Distance]]/5)+1,"")</f>
        <v>1</v>
      </c>
    </row>
    <row r="210" spans="2:35" ht="15.75" hidden="1" customHeight="1" x14ac:dyDescent="0.25">
      <c r="B210" s="203" t="s">
        <v>775</v>
      </c>
      <c r="C210" s="197" t="s">
        <v>378</v>
      </c>
      <c r="D210" s="197" t="s">
        <v>478</v>
      </c>
      <c r="E210" s="197" t="s">
        <v>5</v>
      </c>
      <c r="F210" s="197" t="s">
        <v>482</v>
      </c>
      <c r="G210" s="239" t="s">
        <v>185</v>
      </c>
      <c r="H210" s="239" t="s">
        <v>486</v>
      </c>
      <c r="I210" s="239" t="s">
        <v>1008</v>
      </c>
      <c r="J210" s="239" t="s">
        <v>1078</v>
      </c>
      <c r="K210" s="198" t="s">
        <v>656</v>
      </c>
      <c r="L210" s="197" t="s">
        <v>1108</v>
      </c>
      <c r="M210" s="197" t="s">
        <v>1079</v>
      </c>
      <c r="N210" s="197" t="s">
        <v>1080</v>
      </c>
      <c r="O210" s="240">
        <v>97.461271999999994</v>
      </c>
      <c r="P210" s="240">
        <v>24.613976000000001</v>
      </c>
      <c r="Q210" s="217"/>
      <c r="R210" s="205"/>
      <c r="S210" s="217"/>
      <c r="T210" s="207" t="str">
        <f>IF(CampList[[#This Row],[HH]]&gt;0,CampList[[#This Row],[Total]]/CampList[[#This Row],[HH]],"NA")</f>
        <v>NA</v>
      </c>
      <c r="U210" s="199" t="s">
        <v>464</v>
      </c>
      <c r="V210" s="199" t="s">
        <v>994</v>
      </c>
      <c r="W210" s="199" t="s">
        <v>848</v>
      </c>
      <c r="X210" s="199" t="s">
        <v>784</v>
      </c>
      <c r="Y210" s="312"/>
      <c r="Z210" s="673"/>
      <c r="AA210" s="197" t="s">
        <v>1165</v>
      </c>
      <c r="AB210" s="210">
        <v>42927</v>
      </c>
      <c r="AC210" s="211" t="s">
        <v>1282</v>
      </c>
      <c r="AD210" s="199" t="str">
        <f ca="1">IFERROR(OFFSET(DistanceToCamp[Nearest Town],MATCH(CampList[[#This Row],[CP_Pcode]],DistanceToCamp[CP_Pcode],0)-1,0,1,1),"")</f>
        <v>Dawthponeyan  Town</v>
      </c>
      <c r="AE210" s="212">
        <f ca="1">IFERROR(OFFSET(DistanceToCamp[distance],MATCH(CampList[[#This Row],[CP_Pcode]],DistanceToCamp[CP_Pcode],0)-1,0,1,1),"")</f>
        <v>0</v>
      </c>
      <c r="AF210" s="213">
        <f ca="1">IFERROR(INT(CampList[[#This Row],[Distance]]/5)+1,"")</f>
        <v>1</v>
      </c>
    </row>
    <row r="211" spans="2:35" ht="15.75" hidden="1" customHeight="1" x14ac:dyDescent="0.25">
      <c r="B211" s="203" t="s">
        <v>775</v>
      </c>
      <c r="C211" s="197" t="s">
        <v>378</v>
      </c>
      <c r="D211" s="197" t="s">
        <v>478</v>
      </c>
      <c r="E211" s="197" t="s">
        <v>5</v>
      </c>
      <c r="F211" s="197" t="s">
        <v>482</v>
      </c>
      <c r="G211" s="197" t="s">
        <v>151</v>
      </c>
      <c r="H211" s="197" t="s">
        <v>492</v>
      </c>
      <c r="I211" s="197" t="s">
        <v>566</v>
      </c>
      <c r="J211" s="197" t="s">
        <v>567</v>
      </c>
      <c r="K211" s="197" t="s">
        <v>566</v>
      </c>
      <c r="L211" s="197">
        <v>167495</v>
      </c>
      <c r="M211" s="197" t="s">
        <v>295</v>
      </c>
      <c r="N211" s="197" t="s">
        <v>1131</v>
      </c>
      <c r="O211" s="204">
        <v>97.174999999999997</v>
      </c>
      <c r="P211" s="204">
        <v>23.867000000000001</v>
      </c>
      <c r="Q211" s="217"/>
      <c r="R211" s="284"/>
      <c r="S211" s="285"/>
      <c r="T211" s="207" t="str">
        <f>IF(CampList[[#This Row],[HH]]&gt;0,CampList[[#This Row],[Total]]/CampList[[#This Row],[HH]],"NA")</f>
        <v>NA</v>
      </c>
      <c r="U211" s="199" t="s">
        <v>466</v>
      </c>
      <c r="V211" s="199" t="s">
        <v>994</v>
      </c>
      <c r="W211" s="199" t="s">
        <v>507</v>
      </c>
      <c r="X211" s="199"/>
      <c r="Y211" s="218"/>
      <c r="Z211" s="209"/>
      <c r="AA211" s="223"/>
      <c r="AB211" s="210">
        <v>41701</v>
      </c>
      <c r="AC211" s="203" t="s">
        <v>868</v>
      </c>
      <c r="AD211" s="199" t="str">
        <f ca="1">IFERROR(OFFSET(DistanceToCamp[Nearest Town],MATCH(CampList[[#This Row],[CP_Pcode]],DistanceToCamp[CP_Pcode],0)-1,0,1,1),"")</f>
        <v/>
      </c>
      <c r="AE211" s="212" t="str">
        <f ca="1">IFERROR(OFFSET(DistanceToCamp[distance],MATCH(CampList[[#This Row],[CP_Pcode]],DistanceToCamp[CP_Pcode],0)-1,0,1,1),"")</f>
        <v/>
      </c>
      <c r="AF211" s="213" t="str">
        <f ca="1">IFERROR(INT(CampList[[#This Row],[Distance]]/5)+1,"")</f>
        <v/>
      </c>
    </row>
    <row r="212" spans="2:35" ht="15.75" hidden="1" customHeight="1" x14ac:dyDescent="0.25">
      <c r="B212" s="203" t="s">
        <v>775</v>
      </c>
      <c r="C212" s="197" t="s">
        <v>378</v>
      </c>
      <c r="D212" s="197" t="s">
        <v>478</v>
      </c>
      <c r="E212" s="198" t="s">
        <v>237</v>
      </c>
      <c r="F212" s="198" t="s">
        <v>484</v>
      </c>
      <c r="G212" s="198" t="s">
        <v>480</v>
      </c>
      <c r="H212" s="198" t="s">
        <v>1134</v>
      </c>
      <c r="I212" s="198" t="s">
        <v>1151</v>
      </c>
      <c r="J212" s="216" t="s">
        <v>1152</v>
      </c>
      <c r="K212" s="197" t="s">
        <v>1151</v>
      </c>
      <c r="L212" s="216">
        <v>166818</v>
      </c>
      <c r="M212" s="198" t="s">
        <v>1132</v>
      </c>
      <c r="N212" s="197" t="s">
        <v>1133</v>
      </c>
      <c r="O212" s="206">
        <v>96.637</v>
      </c>
      <c r="P212" s="206">
        <v>25.806999999999999</v>
      </c>
      <c r="Q212" s="217"/>
      <c r="R212" s="205"/>
      <c r="S212" s="217"/>
      <c r="T212" s="207" t="str">
        <f>IF(CampList[[#This Row],[HH]]&gt;0,CampList[[#This Row],[Total]]/CampList[[#This Row],[HH]],"NA")</f>
        <v>NA</v>
      </c>
      <c r="U212" s="199" t="s">
        <v>464</v>
      </c>
      <c r="V212" s="199" t="s">
        <v>994</v>
      </c>
      <c r="W212" s="199" t="s">
        <v>507</v>
      </c>
      <c r="X212" s="199" t="s">
        <v>784</v>
      </c>
      <c r="Y212" s="313">
        <v>42370</v>
      </c>
      <c r="Z212" s="673"/>
      <c r="AA212" s="197" t="s">
        <v>774</v>
      </c>
      <c r="AB212" s="210">
        <v>42927</v>
      </c>
      <c r="AC212" s="203" t="s">
        <v>1286</v>
      </c>
      <c r="AD212" s="199" t="str">
        <f ca="1">IFERROR(OFFSET(DistanceToCamp[Nearest Town],MATCH(CampList[[#This Row],[CP_Pcode]],DistanceToCamp[CP_Pcode],0)-1,0,1,1),"")</f>
        <v>Hpakant Town</v>
      </c>
      <c r="AE212" s="212">
        <f ca="1">IFERROR(OFFSET(DistanceToCamp[distance],MATCH(CampList[[#This Row],[CP_Pcode]],DistanceToCamp[CP_Pcode],0)-1,0,1,1),"")</f>
        <v>0</v>
      </c>
      <c r="AF212" s="213">
        <f ca="1">IFERROR(INT(CampList[[#This Row],[Distance]]/5)+1,"")</f>
        <v>1</v>
      </c>
    </row>
    <row r="213" spans="2:35" ht="15.75" hidden="1" customHeight="1" x14ac:dyDescent="0.25">
      <c r="B213" s="203" t="s">
        <v>775</v>
      </c>
      <c r="C213" s="197" t="s">
        <v>378</v>
      </c>
      <c r="D213" s="197" t="s">
        <v>478</v>
      </c>
      <c r="E213" s="197" t="s">
        <v>180</v>
      </c>
      <c r="F213" s="197" t="s">
        <v>479</v>
      </c>
      <c r="G213" s="197" t="s">
        <v>480</v>
      </c>
      <c r="H213" s="197" t="s">
        <v>481</v>
      </c>
      <c r="I213" s="198" t="s">
        <v>1151</v>
      </c>
      <c r="J213" s="216" t="s">
        <v>1152</v>
      </c>
      <c r="K213" s="198" t="s">
        <v>1158</v>
      </c>
      <c r="L213" s="198">
        <v>166819</v>
      </c>
      <c r="M213" s="173" t="s">
        <v>1153</v>
      </c>
      <c r="N213" s="198" t="s">
        <v>1159</v>
      </c>
      <c r="O213" s="241">
        <v>96.662092000000001</v>
      </c>
      <c r="P213" s="241">
        <v>25.920006000000001</v>
      </c>
      <c r="Q213" s="217"/>
      <c r="R213" s="183"/>
      <c r="S213" s="225"/>
      <c r="T213" s="207" t="str">
        <f>IF(CampList[[#This Row],[HH]]&gt;0,CampList[[#This Row],[Total]]/CampList[[#This Row],[HH]],"NA")</f>
        <v>NA</v>
      </c>
      <c r="U213" s="183" t="s">
        <v>464</v>
      </c>
      <c r="V213" s="199" t="s">
        <v>994</v>
      </c>
      <c r="W213" s="183" t="s">
        <v>507</v>
      </c>
      <c r="X213" s="183" t="s">
        <v>784</v>
      </c>
      <c r="Y213" s="218">
        <v>42584</v>
      </c>
      <c r="Z213" s="217"/>
      <c r="AA213" s="198" t="s">
        <v>774</v>
      </c>
      <c r="AB213" s="210">
        <v>42849</v>
      </c>
      <c r="AC213" s="219" t="s">
        <v>1232</v>
      </c>
      <c r="AD213" s="220" t="str">
        <f ca="1">IFERROR(OFFSET(DistanceToCamp[Nearest Town],MATCH(CampList[[#This Row],[CP_Pcode]],DistanceToCamp[CP_Pcode],0)-1,0,1,1),"")</f>
        <v>Hpakant Town</v>
      </c>
      <c r="AE213" s="212">
        <f ca="1">IFERROR(OFFSET(DistanceToCamp[distance],MATCH(CampList[[#This Row],[CP_Pcode]],DistanceToCamp[CP_Pcode],0)-1,0,1,1),"")</f>
        <v>0</v>
      </c>
      <c r="AF213" s="221">
        <f ca="1">IFERROR(INT(CampList[[#This Row],[Distance]]/5)+1,"")</f>
        <v>1</v>
      </c>
    </row>
    <row r="214" spans="2:35" ht="15.75" customHeight="1" x14ac:dyDescent="0.25">
      <c r="B214" s="203" t="s">
        <v>1740</v>
      </c>
      <c r="C214" s="197" t="s">
        <v>378</v>
      </c>
      <c r="D214" s="197" t="s">
        <v>478</v>
      </c>
      <c r="E214" s="197" t="s">
        <v>1533</v>
      </c>
      <c r="F214" s="198" t="s">
        <v>484</v>
      </c>
      <c r="G214" s="197" t="s">
        <v>309</v>
      </c>
      <c r="H214" s="197" t="s">
        <v>485</v>
      </c>
      <c r="I214" s="197" t="s">
        <v>1012</v>
      </c>
      <c r="J214" s="216" t="s">
        <v>1674</v>
      </c>
      <c r="K214" s="197" t="s">
        <v>1675</v>
      </c>
      <c r="L214" s="689" t="s">
        <v>1676</v>
      </c>
      <c r="M214" s="197" t="s">
        <v>1257</v>
      </c>
      <c r="N214" s="197" t="s">
        <v>1545</v>
      </c>
      <c r="O214" s="204"/>
      <c r="P214" s="204"/>
      <c r="Q214" s="217"/>
      <c r="R214" s="284">
        <v>80</v>
      </c>
      <c r="S214" s="285">
        <v>449</v>
      </c>
      <c r="T214" s="207">
        <f>IF(CampList[[#This Row],[HH]]&gt;0,CampList[[#This Row],[Total]]/CampList[[#This Row],[HH]],"NA")</f>
        <v>5.6124999999999998</v>
      </c>
      <c r="U214" s="199" t="s">
        <v>464</v>
      </c>
      <c r="V214" s="199" t="s">
        <v>994</v>
      </c>
      <c r="W214" s="199" t="s">
        <v>1381</v>
      </c>
      <c r="X214" s="199" t="s">
        <v>784</v>
      </c>
      <c r="Y214" s="673">
        <v>42751</v>
      </c>
      <c r="Z214" s="209" t="s">
        <v>1314</v>
      </c>
      <c r="AA214" s="223" t="s">
        <v>774</v>
      </c>
      <c r="AB214" s="210">
        <v>43039</v>
      </c>
      <c r="AC214" s="203" t="s">
        <v>1536</v>
      </c>
      <c r="AD214" s="220" t="str">
        <f ca="1">IFERROR(OFFSET(DistanceToCamp[Nearest Town],MATCH(CampList[[#This Row],[CP_Pcode]],DistanceToCamp[CP_Pcode],0)-1,0,1,1),"")</f>
        <v>Sadung Town</v>
      </c>
      <c r="AE214" s="212">
        <f ca="1">IFERROR(OFFSET(DistanceToCamp[distance],MATCH(CampList[[#This Row],[CP_Pcode]],DistanceToCamp[CP_Pcode],0)-1,0,1,1),"")</f>
        <v>0</v>
      </c>
      <c r="AF214" s="221">
        <f ca="1">IFERROR(INT(CampList[[#This Row],[Distance]]/5)+1,"")</f>
        <v>1</v>
      </c>
    </row>
    <row r="215" spans="2:35" s="185" customFormat="1" ht="15.75" hidden="1" customHeight="1" x14ac:dyDescent="0.25">
      <c r="B215" s="203" t="s">
        <v>775</v>
      </c>
      <c r="C215" s="197" t="s">
        <v>378</v>
      </c>
      <c r="D215" s="197" t="s">
        <v>478</v>
      </c>
      <c r="E215" s="197" t="s">
        <v>180</v>
      </c>
      <c r="F215" s="197" t="s">
        <v>479</v>
      </c>
      <c r="G215" s="197" t="s">
        <v>480</v>
      </c>
      <c r="H215" s="197" t="s">
        <v>481</v>
      </c>
      <c r="I215" s="198" t="s">
        <v>1151</v>
      </c>
      <c r="J215" s="216" t="s">
        <v>1152</v>
      </c>
      <c r="K215" s="198" t="s">
        <v>1158</v>
      </c>
      <c r="L215" s="198">
        <v>166819</v>
      </c>
      <c r="M215" s="173" t="s">
        <v>1154</v>
      </c>
      <c r="N215" s="198" t="s">
        <v>1161</v>
      </c>
      <c r="O215" s="241">
        <v>96.662092000000001</v>
      </c>
      <c r="P215" s="241">
        <v>25.920006000000001</v>
      </c>
      <c r="Q215" s="217"/>
      <c r="R215" s="183"/>
      <c r="S215" s="225"/>
      <c r="T215" s="207" t="str">
        <f>IF(CampList[[#This Row],[HH]]&gt;0,CampList[[#This Row],[Total]]/CampList[[#This Row],[HH]],"NA")</f>
        <v>NA</v>
      </c>
      <c r="U215" s="183" t="s">
        <v>464</v>
      </c>
      <c r="V215" s="199" t="s">
        <v>994</v>
      </c>
      <c r="W215" s="183" t="s">
        <v>507</v>
      </c>
      <c r="X215" s="183" t="s">
        <v>784</v>
      </c>
      <c r="Y215" s="218">
        <v>42584</v>
      </c>
      <c r="Z215" s="217"/>
      <c r="AA215" s="198" t="s">
        <v>774</v>
      </c>
      <c r="AB215" s="210">
        <v>42849</v>
      </c>
      <c r="AC215" s="219" t="s">
        <v>1232</v>
      </c>
      <c r="AD215" s="220" t="str">
        <f ca="1">IFERROR(OFFSET(DistanceToCamp[Nearest Town],MATCH(CampList[[#This Row],[CP_Pcode]],DistanceToCamp[CP_Pcode],0)-1,0,1,1),"")</f>
        <v>Hpakant Town</v>
      </c>
      <c r="AE215" s="212">
        <f ca="1">IFERROR(OFFSET(DistanceToCamp[distance],MATCH(CampList[[#This Row],[CP_Pcode]],DistanceToCamp[CP_Pcode],0)-1,0,1,1),"")</f>
        <v>0</v>
      </c>
      <c r="AF215" s="221">
        <f ca="1">IFERROR(INT(CampList[[#This Row],[Distance]]/5)+1,"")</f>
        <v>1</v>
      </c>
      <c r="AH215" s="605"/>
      <c r="AI215" s="605"/>
    </row>
    <row r="216" spans="2:35" s="185" customFormat="1" ht="15.75" customHeight="1" x14ac:dyDescent="0.25">
      <c r="B216" s="203" t="s">
        <v>1740</v>
      </c>
      <c r="C216" s="197" t="s">
        <v>378</v>
      </c>
      <c r="D216" s="197" t="s">
        <v>478</v>
      </c>
      <c r="E216" s="197" t="s">
        <v>180</v>
      </c>
      <c r="F216" s="197" t="s">
        <v>479</v>
      </c>
      <c r="G216" s="197" t="s">
        <v>173</v>
      </c>
      <c r="H216" s="197" t="s">
        <v>498</v>
      </c>
      <c r="I216" s="197" t="s">
        <v>1656</v>
      </c>
      <c r="J216" s="216" t="s">
        <v>1655</v>
      </c>
      <c r="K216" s="197" t="s">
        <v>1659</v>
      </c>
      <c r="L216" s="197" t="s">
        <v>1660</v>
      </c>
      <c r="M216" s="197" t="s">
        <v>1661</v>
      </c>
      <c r="N216" s="197" t="s">
        <v>1649</v>
      </c>
      <c r="O216" s="204">
        <v>97.010629910000006</v>
      </c>
      <c r="P216" s="204">
        <v>25.370330525559201</v>
      </c>
      <c r="Q216" s="217"/>
      <c r="R216" s="182">
        <v>45</v>
      </c>
      <c r="S216" s="292">
        <v>242</v>
      </c>
      <c r="T216" s="207">
        <f>IF(CampList[[#This Row],[HH]]&gt;0,CampList[[#This Row],[Total]]/CampList[[#This Row],[HH]],"NA")</f>
        <v>5.3777777777777782</v>
      </c>
      <c r="U216" s="199" t="s">
        <v>464</v>
      </c>
      <c r="V216" s="199" t="s">
        <v>994</v>
      </c>
      <c r="W216" s="199" t="s">
        <v>507</v>
      </c>
      <c r="X216" s="199" t="s">
        <v>742</v>
      </c>
      <c r="Y216" s="312">
        <v>43212</v>
      </c>
      <c r="Z216" s="673" t="s">
        <v>935</v>
      </c>
      <c r="AA216" s="197" t="s">
        <v>774</v>
      </c>
      <c r="AB216" s="210">
        <v>43405</v>
      </c>
      <c r="AC216" s="211" t="s">
        <v>1835</v>
      </c>
      <c r="AD216" s="220" t="str">
        <f ca="1">IFERROR(OFFSET(DistanceToCamp[Nearest Town],MATCH(CampList[[#This Row],[CP_Pcode]],DistanceToCamp[CP_Pcode],0)-1,0,1,1),"")</f>
        <v>Panmatee Town</v>
      </c>
      <c r="AE216" s="212">
        <f ca="1">IFERROR(OFFSET(DistanceToCamp[distance],MATCH(CampList[[#This Row],[CP_Pcode]],DistanceToCamp[CP_Pcode],0)-1,0,1,1),"")</f>
        <v>0.4</v>
      </c>
      <c r="AF216" s="221">
        <f ca="1">IFERROR(INT(CampList[[#This Row],[Distance]]/5)+1,"")</f>
        <v>1</v>
      </c>
      <c r="AH216" s="605"/>
      <c r="AI216" s="605"/>
    </row>
    <row r="217" spans="2:35" s="185" customFormat="1" ht="15.75" customHeight="1" x14ac:dyDescent="0.25">
      <c r="B217" s="203" t="s">
        <v>1740</v>
      </c>
      <c r="C217" s="197" t="s">
        <v>378</v>
      </c>
      <c r="D217" s="197" t="s">
        <v>478</v>
      </c>
      <c r="E217" s="197" t="s">
        <v>180</v>
      </c>
      <c r="F217" s="197" t="s">
        <v>479</v>
      </c>
      <c r="G217" s="197" t="s">
        <v>173</v>
      </c>
      <c r="H217" s="197" t="s">
        <v>498</v>
      </c>
      <c r="I217" s="197" t="s">
        <v>1657</v>
      </c>
      <c r="J217" s="216" t="s">
        <v>1658</v>
      </c>
      <c r="K217" s="197" t="s">
        <v>1657</v>
      </c>
      <c r="L217" s="216">
        <v>166765</v>
      </c>
      <c r="M217" s="197" t="s">
        <v>1728</v>
      </c>
      <c r="N217" s="197" t="s">
        <v>1651</v>
      </c>
      <c r="O217" s="204">
        <v>97.104997409999996</v>
      </c>
      <c r="P217" s="204">
        <v>25.379014999999999</v>
      </c>
      <c r="Q217" s="217"/>
      <c r="R217" s="182">
        <v>112</v>
      </c>
      <c r="S217" s="292">
        <v>487</v>
      </c>
      <c r="T217" s="207">
        <f>IF(CampList[[#This Row],[HH]]&gt;0,CampList[[#This Row],[Total]]/CampList[[#This Row],[HH]],"NA")</f>
        <v>4.3482142857142856</v>
      </c>
      <c r="U217" s="199" t="s">
        <v>464</v>
      </c>
      <c r="V217" s="199" t="s">
        <v>994</v>
      </c>
      <c r="W217" s="199" t="s">
        <v>507</v>
      </c>
      <c r="X217" s="199" t="s">
        <v>742</v>
      </c>
      <c r="Y217" s="312">
        <v>43212</v>
      </c>
      <c r="Z217" s="673" t="s">
        <v>424</v>
      </c>
      <c r="AA217" s="197" t="s">
        <v>774</v>
      </c>
      <c r="AB217" s="210">
        <v>43405</v>
      </c>
      <c r="AC217" s="211" t="s">
        <v>1899</v>
      </c>
      <c r="AD217" s="220" t="str">
        <f ca="1">IFERROR(OFFSET(DistanceToCamp[Nearest Town],MATCH(CampList[[#This Row],[CP_Pcode]],DistanceToCamp[CP_Pcode],0)-1,0,1,1),"")</f>
        <v>Panmatee Town</v>
      </c>
      <c r="AE217" s="212">
        <f ca="1">IFERROR(OFFSET(DistanceToCamp[distance],MATCH(CampList[[#This Row],[CP_Pcode]],DistanceToCamp[CP_Pcode],0)-1,0,1,1),"")</f>
        <v>0.4</v>
      </c>
      <c r="AF217" s="221">
        <f ca="1">IFERROR(INT(CampList[[#This Row],[Distance]]/5)+1,"")</f>
        <v>1</v>
      </c>
      <c r="AH217" s="605"/>
      <c r="AI217" s="605"/>
    </row>
    <row r="218" spans="2:35" s="185" customFormat="1" ht="15.75" customHeight="1" x14ac:dyDescent="0.25">
      <c r="B218" s="203" t="s">
        <v>1740</v>
      </c>
      <c r="C218" s="197" t="s">
        <v>378</v>
      </c>
      <c r="D218" s="197" t="s">
        <v>478</v>
      </c>
      <c r="E218" s="197" t="s">
        <v>237</v>
      </c>
      <c r="F218" s="198" t="s">
        <v>484</v>
      </c>
      <c r="G218" s="197" t="s">
        <v>237</v>
      </c>
      <c r="H218" s="197" t="s">
        <v>488</v>
      </c>
      <c r="I218" s="197" t="s">
        <v>1672</v>
      </c>
      <c r="J218" s="216" t="s">
        <v>1673</v>
      </c>
      <c r="K218" s="197" t="s">
        <v>1672</v>
      </c>
      <c r="L218" s="216">
        <v>165704</v>
      </c>
      <c r="M218" s="197" t="s">
        <v>1671</v>
      </c>
      <c r="N218" s="197" t="s">
        <v>1654</v>
      </c>
      <c r="O218" s="204">
        <v>97.49136</v>
      </c>
      <c r="P218" s="204">
        <v>25.717300000000002</v>
      </c>
      <c r="Q218" s="217"/>
      <c r="R218" s="182">
        <v>229</v>
      </c>
      <c r="S218" s="292">
        <v>1247</v>
      </c>
      <c r="T218" s="207">
        <f>IF(CampList[[#This Row],[HH]]&gt;0,CampList[[#This Row],[Total]]/CampList[[#This Row],[HH]],"NA")</f>
        <v>5.4454148471615724</v>
      </c>
      <c r="U218" s="199" t="s">
        <v>464</v>
      </c>
      <c r="V218" s="199" t="s">
        <v>994</v>
      </c>
      <c r="W218" s="199" t="s">
        <v>1571</v>
      </c>
      <c r="X218" s="199" t="s">
        <v>784</v>
      </c>
      <c r="Y218" s="312">
        <v>43212</v>
      </c>
      <c r="Z218" s="673" t="s">
        <v>1314</v>
      </c>
      <c r="AA218" s="197" t="s">
        <v>774</v>
      </c>
      <c r="AB218" s="210">
        <v>43343</v>
      </c>
      <c r="AC218" s="211" t="s">
        <v>1772</v>
      </c>
      <c r="AD218" s="220" t="str">
        <f ca="1">IFERROR(OFFSET(DistanceToCamp[Nearest Town],MATCH(CampList[[#This Row],[CP_Pcode]],DistanceToCamp[CP_Pcode],0)-1,0,1,1),"")</f>
        <v>Myitkyina Town</v>
      </c>
      <c r="AE218" s="212">
        <f ca="1">IFERROR(OFFSET(DistanceToCamp[distance],MATCH(CampList[[#This Row],[CP_Pcode]],DistanceToCamp[CP_Pcode],0)-1,0,1,1),"")</f>
        <v>27</v>
      </c>
      <c r="AF218" s="221">
        <f ca="1">IFERROR(INT(CampList[[#This Row],[Distance]]/5)+1,"")</f>
        <v>6</v>
      </c>
      <c r="AH218" s="605"/>
      <c r="AI218" s="605"/>
    </row>
    <row r="219" spans="2:35" s="185" customFormat="1" ht="18.600000000000001" customHeight="1" x14ac:dyDescent="0.25">
      <c r="B219" s="203" t="s">
        <v>1740</v>
      </c>
      <c r="C219" s="197" t="s">
        <v>378</v>
      </c>
      <c r="D219" s="197" t="s">
        <v>478</v>
      </c>
      <c r="E219" s="197" t="s">
        <v>237</v>
      </c>
      <c r="F219" s="198" t="s">
        <v>484</v>
      </c>
      <c r="G219" s="197" t="s">
        <v>237</v>
      </c>
      <c r="H219" s="197" t="s">
        <v>488</v>
      </c>
      <c r="I219" s="197" t="s">
        <v>1667</v>
      </c>
      <c r="J219" s="216" t="s">
        <v>1668</v>
      </c>
      <c r="K219" s="197" t="s">
        <v>1667</v>
      </c>
      <c r="L219" s="216">
        <v>165676</v>
      </c>
      <c r="M219" s="197" t="s">
        <v>1765</v>
      </c>
      <c r="N219" s="197" t="s">
        <v>1690</v>
      </c>
      <c r="O219" s="204"/>
      <c r="P219" s="204"/>
      <c r="Q219" s="217"/>
      <c r="R219" s="182">
        <v>143</v>
      </c>
      <c r="S219" s="182">
        <v>623</v>
      </c>
      <c r="T219" s="207">
        <f>IF(CampList[[#This Row],[HH]]&gt;0,CampList[[#This Row],[Total]]/CampList[[#This Row],[HH]],"NA")</f>
        <v>4.3566433566433567</v>
      </c>
      <c r="U219" s="199" t="s">
        <v>464</v>
      </c>
      <c r="V219" s="199" t="s">
        <v>994</v>
      </c>
      <c r="W219" s="199" t="s">
        <v>507</v>
      </c>
      <c r="X219" s="199" t="s">
        <v>784</v>
      </c>
      <c r="Y219" s="312">
        <v>43312</v>
      </c>
      <c r="Z219" s="673" t="s">
        <v>424</v>
      </c>
      <c r="AA219" s="197" t="s">
        <v>774</v>
      </c>
      <c r="AB219" s="210">
        <v>43405</v>
      </c>
      <c r="AC219" s="211" t="s">
        <v>1900</v>
      </c>
      <c r="AD219" s="220" t="str">
        <f ca="1">IFERROR(OFFSET(DistanceToCamp[Nearest Town],MATCH(CampList[[#This Row],[CP_Pcode]],DistanceToCamp[CP_Pcode],0)-1,0,1,1),"")</f>
        <v>Myitkyina Town</v>
      </c>
      <c r="AE219" s="212">
        <f ca="1">IFERROR(OFFSET(DistanceToCamp[distance],MATCH(CampList[[#This Row],[CP_Pcode]],DistanceToCamp[CP_Pcode],0)-1,0,1,1),"")</f>
        <v>10</v>
      </c>
      <c r="AF219" s="221">
        <f ca="1">IFERROR(INT(CampList[[#This Row],[Distance]]/5)+1,"")</f>
        <v>3</v>
      </c>
      <c r="AH219" s="605"/>
      <c r="AI219" s="605"/>
    </row>
    <row r="220" spans="2:35" s="185" customFormat="1" ht="15.75" customHeight="1" x14ac:dyDescent="0.25">
      <c r="B220" s="203" t="s">
        <v>1740</v>
      </c>
      <c r="C220" s="197" t="s">
        <v>378</v>
      </c>
      <c r="D220" s="197" t="s">
        <v>478</v>
      </c>
      <c r="E220" s="197" t="s">
        <v>237</v>
      </c>
      <c r="F220" s="198" t="s">
        <v>484</v>
      </c>
      <c r="G220" s="197" t="s">
        <v>237</v>
      </c>
      <c r="H220" s="197" t="s">
        <v>488</v>
      </c>
      <c r="I220" s="197" t="s">
        <v>1698</v>
      </c>
      <c r="J220" s="216" t="s">
        <v>1699</v>
      </c>
      <c r="K220" s="197" t="s">
        <v>1698</v>
      </c>
      <c r="L220" s="216">
        <v>165707</v>
      </c>
      <c r="M220" s="197" t="s">
        <v>1697</v>
      </c>
      <c r="N220" s="197" t="s">
        <v>1692</v>
      </c>
      <c r="O220" s="204"/>
      <c r="P220" s="204"/>
      <c r="Q220" s="217"/>
      <c r="R220" s="182">
        <v>8</v>
      </c>
      <c r="S220" s="292">
        <v>32</v>
      </c>
      <c r="T220" s="207">
        <f>IF(CampList[[#This Row],[HH]]&gt;0,CampList[[#This Row],[Total]]/CampList[[#This Row],[HH]],"NA")</f>
        <v>4</v>
      </c>
      <c r="U220" s="199" t="s">
        <v>464</v>
      </c>
      <c r="V220" s="199" t="s">
        <v>994</v>
      </c>
      <c r="W220" s="199" t="s">
        <v>1381</v>
      </c>
      <c r="X220" s="199" t="s">
        <v>784</v>
      </c>
      <c r="Y220" s="312">
        <v>43250</v>
      </c>
      <c r="Z220" s="673" t="s">
        <v>1314</v>
      </c>
      <c r="AA220" s="197"/>
      <c r="AB220" s="210">
        <v>43312</v>
      </c>
      <c r="AC220" s="211" t="s">
        <v>1721</v>
      </c>
      <c r="AD220" s="220" t="str">
        <f ca="1">IFERROR(OFFSET(DistanceToCamp[Nearest Town],MATCH(CampList[[#This Row],[CP_Pcode]],DistanceToCamp[CP_Pcode],0)-1,0,1,1),"")</f>
        <v>Myitkyina Town</v>
      </c>
      <c r="AE220" s="212">
        <f ca="1">IFERROR(OFFSET(DistanceToCamp[distance],MATCH(CampList[[#This Row],[CP_Pcode]],DistanceToCamp[CP_Pcode],0)-1,0,1,1),"")</f>
        <v>51</v>
      </c>
      <c r="AF220" s="221">
        <f ca="1">IFERROR(INT(CampList[[#This Row],[Distance]]/5)+1,"")</f>
        <v>11</v>
      </c>
      <c r="AH220" s="605"/>
      <c r="AI220" s="605"/>
    </row>
    <row r="221" spans="2:35" s="185" customFormat="1" ht="15.75" customHeight="1" x14ac:dyDescent="0.25">
      <c r="B221" s="203" t="s">
        <v>1740</v>
      </c>
      <c r="C221" s="197" t="s">
        <v>378</v>
      </c>
      <c r="D221" s="197" t="s">
        <v>478</v>
      </c>
      <c r="E221" s="197" t="s">
        <v>180</v>
      </c>
      <c r="F221" s="197" t="s">
        <v>479</v>
      </c>
      <c r="G221" s="197" t="s">
        <v>480</v>
      </c>
      <c r="H221" s="197" t="s">
        <v>481</v>
      </c>
      <c r="I221" s="197" t="s">
        <v>1000</v>
      </c>
      <c r="J221" s="216" t="s">
        <v>1704</v>
      </c>
      <c r="K221" s="197" t="s">
        <v>1705</v>
      </c>
      <c r="L221" s="216" t="s">
        <v>1706</v>
      </c>
      <c r="M221" s="197" t="s">
        <v>1703</v>
      </c>
      <c r="N221" s="197" t="s">
        <v>1695</v>
      </c>
      <c r="O221" s="204"/>
      <c r="P221" s="204"/>
      <c r="Q221" s="217"/>
      <c r="R221" s="182">
        <v>16</v>
      </c>
      <c r="S221" s="182">
        <v>63</v>
      </c>
      <c r="T221" s="207">
        <f>IF(CampList[[#This Row],[HH]]&gt;0,CampList[[#This Row],[Total]]/CampList[[#This Row],[HH]],"NA")</f>
        <v>3.9375</v>
      </c>
      <c r="U221" s="199" t="s">
        <v>464</v>
      </c>
      <c r="V221" s="199" t="s">
        <v>994</v>
      </c>
      <c r="W221" s="199" t="s">
        <v>507</v>
      </c>
      <c r="X221" s="199" t="s">
        <v>742</v>
      </c>
      <c r="Y221" s="673"/>
      <c r="Z221" s="673" t="s">
        <v>935</v>
      </c>
      <c r="AA221" s="197"/>
      <c r="AB221" s="210">
        <v>43405</v>
      </c>
      <c r="AC221" s="211" t="s">
        <v>1836</v>
      </c>
      <c r="AD221" s="220" t="str">
        <f ca="1">IFERROR(OFFSET(DistanceToCamp[Nearest Town],MATCH(CampList[[#This Row],[CP_Pcode]],DistanceToCamp[CP_Pcode],0)-1,0,1,1),"")</f>
        <v>Kamaing Town</v>
      </c>
      <c r="AE221" s="212">
        <f ca="1">IFERROR(OFFSET(DistanceToCamp[distance],MATCH(CampList[[#This Row],[CP_Pcode]],DistanceToCamp[CP_Pcode],0)-1,0,1,1),"")</f>
        <v>0</v>
      </c>
      <c r="AF221" s="221">
        <f ca="1">IFERROR(INT(CampList[[#This Row],[Distance]]/5)+1,"")</f>
        <v>1</v>
      </c>
      <c r="AH221" s="605"/>
      <c r="AI221" s="605"/>
    </row>
    <row r="222" spans="2:35" s="185" customFormat="1" ht="24.6" hidden="1" customHeight="1" x14ac:dyDescent="0.25">
      <c r="B222" s="203" t="s">
        <v>775</v>
      </c>
      <c r="C222" s="197" t="s">
        <v>378</v>
      </c>
      <c r="D222" s="197" t="s">
        <v>478</v>
      </c>
      <c r="E222" s="197" t="s">
        <v>237</v>
      </c>
      <c r="F222" s="198" t="s">
        <v>484</v>
      </c>
      <c r="G222" s="197" t="s">
        <v>1135</v>
      </c>
      <c r="H222" s="197" t="s">
        <v>1134</v>
      </c>
      <c r="I222" s="689" t="s">
        <v>1681</v>
      </c>
      <c r="J222" s="689" t="s">
        <v>1682</v>
      </c>
      <c r="K222" s="197"/>
      <c r="L222" s="197"/>
      <c r="M222" s="198" t="s">
        <v>1391</v>
      </c>
      <c r="N222" s="197" t="s">
        <v>1404</v>
      </c>
      <c r="O222" s="204"/>
      <c r="P222" s="204"/>
      <c r="Q222" s="217"/>
      <c r="R222" s="284">
        <v>42</v>
      </c>
      <c r="S222" s="285">
        <v>190</v>
      </c>
      <c r="T222" s="207">
        <f>IF(CampList[[#This Row],[HH]]&gt;0,CampList[[#This Row],[Total]]/CampList[[#This Row],[HH]],"NA")</f>
        <v>4.5238095238095237</v>
      </c>
      <c r="U222" s="183" t="s">
        <v>464</v>
      </c>
      <c r="V222" s="199" t="s">
        <v>994</v>
      </c>
      <c r="W222" s="199" t="s">
        <v>1381</v>
      </c>
      <c r="X222" s="199" t="s">
        <v>742</v>
      </c>
      <c r="Y222" s="673">
        <v>42741</v>
      </c>
      <c r="Z222" s="209" t="s">
        <v>1314</v>
      </c>
      <c r="AA222" s="223" t="s">
        <v>774</v>
      </c>
      <c r="AB222" s="210">
        <v>43343</v>
      </c>
      <c r="AC222" s="203" t="s">
        <v>1776</v>
      </c>
      <c r="AD222" s="220" t="str">
        <f ca="1">IFERROR(OFFSET(DistanceToCamp[Nearest Town],MATCH(CampList[[#This Row],[CP_Pcode]],DistanceToCamp[CP_Pcode],0)-1,0,1,1),"")</f>
        <v>Tanai Town</v>
      </c>
      <c r="AE222" s="212">
        <f ca="1">IFERROR(OFFSET(DistanceToCamp[distance],MATCH(CampList[[#This Row],[CP_Pcode]],DistanceToCamp[CP_Pcode],0)-1,0,1,1),"")</f>
        <v>0</v>
      </c>
      <c r="AF222" s="221">
        <f ca="1">IFERROR(INT(CampList[[#This Row],[Distance]]/5)+1,"")</f>
        <v>1</v>
      </c>
      <c r="AH222" s="605"/>
      <c r="AI222" s="605"/>
    </row>
    <row r="223" spans="2:35" s="185" customFormat="1" ht="15.75" customHeight="1" x14ac:dyDescent="0.25">
      <c r="B223" s="203" t="s">
        <v>1740</v>
      </c>
      <c r="C223" s="198" t="s">
        <v>378</v>
      </c>
      <c r="D223" s="198" t="s">
        <v>478</v>
      </c>
      <c r="E223" s="198" t="s">
        <v>237</v>
      </c>
      <c r="F223" s="198" t="s">
        <v>484</v>
      </c>
      <c r="G223" s="198" t="s">
        <v>237</v>
      </c>
      <c r="H223" s="198" t="s">
        <v>488</v>
      </c>
      <c r="I223" s="198" t="s">
        <v>649</v>
      </c>
      <c r="J223" s="216" t="s">
        <v>650</v>
      </c>
      <c r="K223" s="198" t="s">
        <v>651</v>
      </c>
      <c r="L223" s="198">
        <v>165685</v>
      </c>
      <c r="M223" s="198" t="s">
        <v>1723</v>
      </c>
      <c r="N223" s="198" t="s">
        <v>1722</v>
      </c>
      <c r="O223" s="206">
        <v>97.4345</v>
      </c>
      <c r="P223" s="206">
        <v>25.493819999999999</v>
      </c>
      <c r="Q223" s="217"/>
      <c r="R223" s="274">
        <v>32</v>
      </c>
      <c r="S223" s="274">
        <v>161</v>
      </c>
      <c r="T223" s="207">
        <f>IF(CampList[[#This Row],[HH]]&gt;0,CampList[[#This Row],[Total]]/CampList[[#This Row],[HH]],"NA")</f>
        <v>5.03125</v>
      </c>
      <c r="U223" s="183" t="s">
        <v>464</v>
      </c>
      <c r="V223" s="199" t="s">
        <v>994</v>
      </c>
      <c r="W223" s="199" t="s">
        <v>507</v>
      </c>
      <c r="X223" s="183" t="s">
        <v>742</v>
      </c>
      <c r="Y223" s="312">
        <v>43252</v>
      </c>
      <c r="Z223" s="217" t="s">
        <v>935</v>
      </c>
      <c r="AA223" s="198"/>
      <c r="AB223" s="210">
        <v>43405</v>
      </c>
      <c r="AC223" s="219" t="s">
        <v>1837</v>
      </c>
      <c r="AD223" s="220" t="str">
        <f ca="1">IFERROR(OFFSET(DistanceToCamp[Nearest Town],MATCH(CampList[[#This Row],[CP_Pcode]],DistanceToCamp[CP_Pcode],0)-1,0,1,1),"")</f>
        <v/>
      </c>
      <c r="AE223" s="212" t="str">
        <f ca="1">IFERROR(OFFSET(DistanceToCamp[distance],MATCH(CampList[[#This Row],[CP_Pcode]],DistanceToCamp[CP_Pcode],0)-1,0,1,1),"")</f>
        <v/>
      </c>
      <c r="AF223" s="221" t="str">
        <f ca="1">IFERROR(INT(CampList[[#This Row],[Distance]]/5)+1,"")</f>
        <v/>
      </c>
      <c r="AH223" s="605"/>
      <c r="AI223" s="605"/>
    </row>
    <row r="224" spans="2:35" s="185" customFormat="1" ht="15.75" customHeight="1" x14ac:dyDescent="0.25">
      <c r="B224" s="203" t="s">
        <v>1740</v>
      </c>
      <c r="C224" s="197" t="s">
        <v>506</v>
      </c>
      <c r="D224" s="197" t="s">
        <v>489</v>
      </c>
      <c r="E224" s="197" t="s">
        <v>230</v>
      </c>
      <c r="F224" s="197" t="s">
        <v>490</v>
      </c>
      <c r="G224" s="197" t="s">
        <v>288</v>
      </c>
      <c r="H224" s="197" t="s">
        <v>502</v>
      </c>
      <c r="I224" s="197" t="s">
        <v>691</v>
      </c>
      <c r="J224" s="197" t="s">
        <v>692</v>
      </c>
      <c r="K224" s="197" t="s">
        <v>691</v>
      </c>
      <c r="L224" s="197">
        <v>208353</v>
      </c>
      <c r="M224" s="197" t="s">
        <v>289</v>
      </c>
      <c r="N224" s="197" t="s">
        <v>287</v>
      </c>
      <c r="O224" s="204">
        <v>97.669557999999995</v>
      </c>
      <c r="P224" s="204">
        <v>23.828520000000001</v>
      </c>
      <c r="Q224" s="205">
        <v>740</v>
      </c>
      <c r="R224" s="274">
        <v>67</v>
      </c>
      <c r="S224" s="274">
        <v>347</v>
      </c>
      <c r="T224" s="207">
        <f>IF(CampList[[#This Row],[HH]]&gt;0,CampList[[#This Row],[Total]]/CampList[[#This Row],[HH]],"NA")</f>
        <v>5.1791044776119399</v>
      </c>
      <c r="U224" s="199" t="s">
        <v>464</v>
      </c>
      <c r="V224" s="199" t="s">
        <v>994</v>
      </c>
      <c r="W224" s="199" t="s">
        <v>507</v>
      </c>
      <c r="X224" s="199" t="s">
        <v>742</v>
      </c>
      <c r="Y224" s="673">
        <v>40878</v>
      </c>
      <c r="Z224" s="673" t="s">
        <v>424</v>
      </c>
      <c r="AA224" s="223" t="s">
        <v>774</v>
      </c>
      <c r="AB224" s="210">
        <v>43405</v>
      </c>
      <c r="AC224" s="211" t="s">
        <v>1901</v>
      </c>
      <c r="AD224" s="199" t="str">
        <f ca="1">IFERROR(OFFSET(DistanceToCamp[Nearest Town],MATCH(CampList[[#This Row],[CP_Pcode]],DistanceToCamp[CP_Pcode],0)-1,0,1,1),"")</f>
        <v>Namhkan Town</v>
      </c>
      <c r="AE224" s="212">
        <f ca="1">IFERROR(OFFSET(DistanceToCamp[distance],MATCH(CampList[[#This Row],[CP_Pcode]],DistanceToCamp[CP_Pcode],0)-1,0,1,1),"")</f>
        <v>1.5619149693996526</v>
      </c>
      <c r="AF224" s="213">
        <f ca="1">IFERROR(INT(CampList[[#This Row],[Distance]]/5)+1,"")</f>
        <v>1</v>
      </c>
      <c r="AH224" s="605"/>
      <c r="AI224" s="605"/>
    </row>
    <row r="225" spans="2:35" s="185" customFormat="1" ht="15.75" hidden="1" customHeight="1" x14ac:dyDescent="0.25">
      <c r="B225" s="203" t="s">
        <v>775</v>
      </c>
      <c r="C225" s="197" t="s">
        <v>378</v>
      </c>
      <c r="D225" s="197" t="s">
        <v>478</v>
      </c>
      <c r="E225" s="197" t="s">
        <v>180</v>
      </c>
      <c r="F225" s="197" t="s">
        <v>479</v>
      </c>
      <c r="G225" s="197" t="s">
        <v>173</v>
      </c>
      <c r="H225" s="198" t="s">
        <v>498</v>
      </c>
      <c r="I225" s="691" t="s">
        <v>1656</v>
      </c>
      <c r="J225" s="691" t="s">
        <v>1655</v>
      </c>
      <c r="K225" s="689" t="s">
        <v>1679</v>
      </c>
      <c r="L225" s="689" t="s">
        <v>1680</v>
      </c>
      <c r="M225" s="197" t="s">
        <v>1517</v>
      </c>
      <c r="N225" s="197" t="s">
        <v>1542</v>
      </c>
      <c r="O225" s="204"/>
      <c r="P225" s="204"/>
      <c r="Q225" s="217"/>
      <c r="R225" s="182">
        <v>245</v>
      </c>
      <c r="S225" s="292">
        <v>1084</v>
      </c>
      <c r="T225" s="207">
        <f>IF(CampList[[#This Row],[HH]]&gt;0,CampList[[#This Row],[Total]]/CampList[[#This Row],[HH]],"NA")</f>
        <v>4.4244897959183671</v>
      </c>
      <c r="U225" s="199" t="s">
        <v>464</v>
      </c>
      <c r="V225" s="199" t="s">
        <v>994</v>
      </c>
      <c r="W225" s="199" t="s">
        <v>1381</v>
      </c>
      <c r="X225" s="199" t="s">
        <v>742</v>
      </c>
      <c r="Y225" s="312">
        <v>42962</v>
      </c>
      <c r="Z225" s="673"/>
      <c r="AA225" s="197" t="s">
        <v>774</v>
      </c>
      <c r="AB225" s="210" t="s">
        <v>1518</v>
      </c>
      <c r="AC225" s="211" t="s">
        <v>1530</v>
      </c>
      <c r="AD225" s="220" t="str">
        <f ca="1">IFERROR(OFFSET(DistanceToCamp[Nearest Town],MATCH(CampList[[#This Row],[CP_Pcode]],DistanceToCamp[CP_Pcode],0)-1,0,1,1),"")</f>
        <v/>
      </c>
      <c r="AE225" s="212" t="str">
        <f ca="1">IFERROR(OFFSET(DistanceToCamp[distance],MATCH(CampList[[#This Row],[CP_Pcode]],DistanceToCamp[CP_Pcode],0)-1,0,1,1),"")</f>
        <v/>
      </c>
      <c r="AF225" s="221" t="str">
        <f ca="1">IFERROR(INT(CampList[[#This Row],[Distance]]/5)+1,"")</f>
        <v/>
      </c>
      <c r="AH225" s="605"/>
      <c r="AI225" s="605"/>
    </row>
    <row r="226" spans="2:35" s="185" customFormat="1" ht="15.75" customHeight="1" x14ac:dyDescent="0.25">
      <c r="B226" s="203" t="s">
        <v>1740</v>
      </c>
      <c r="C226" s="198" t="s">
        <v>506</v>
      </c>
      <c r="D226" s="198" t="s">
        <v>489</v>
      </c>
      <c r="E226" s="198" t="s">
        <v>230</v>
      </c>
      <c r="F226" s="198" t="s">
        <v>490</v>
      </c>
      <c r="G226" s="198" t="s">
        <v>288</v>
      </c>
      <c r="H226" s="198" t="s">
        <v>502</v>
      </c>
      <c r="I226" s="198" t="s">
        <v>691</v>
      </c>
      <c r="J226" s="216" t="s">
        <v>692</v>
      </c>
      <c r="K226" s="198" t="s">
        <v>691</v>
      </c>
      <c r="L226" s="198">
        <v>208353</v>
      </c>
      <c r="M226" s="198" t="s">
        <v>372</v>
      </c>
      <c r="N226" s="198" t="s">
        <v>294</v>
      </c>
      <c r="O226" s="206">
        <v>97.670360000000002</v>
      </c>
      <c r="P226" s="206">
        <v>23.828150000000001</v>
      </c>
      <c r="Q226" s="217">
        <v>751.8</v>
      </c>
      <c r="R226" s="206">
        <v>43</v>
      </c>
      <c r="S226" s="217">
        <v>218</v>
      </c>
      <c r="T226" s="207">
        <f>IF(CampList[[#This Row],[HH]]&gt;0,CampList[[#This Row],[Total]]/CampList[[#This Row],[HH]],"NA")</f>
        <v>5.0697674418604652</v>
      </c>
      <c r="U226" s="183" t="s">
        <v>464</v>
      </c>
      <c r="V226" s="199" t="s">
        <v>994</v>
      </c>
      <c r="W226" s="183" t="s">
        <v>507</v>
      </c>
      <c r="X226" s="183" t="s">
        <v>742</v>
      </c>
      <c r="Y226" s="218">
        <v>40878</v>
      </c>
      <c r="Z226" s="217" t="s">
        <v>1047</v>
      </c>
      <c r="AA226" s="198" t="s">
        <v>774</v>
      </c>
      <c r="AB226" s="210">
        <v>43405</v>
      </c>
      <c r="AC226" s="219" t="s">
        <v>1840</v>
      </c>
      <c r="AD226" s="220" t="str">
        <f ca="1">IFERROR(OFFSET(DistanceToCamp[Nearest Town],MATCH(CampList[[#This Row],[CP_Pcode]],DistanceToCamp[CP_Pcode],0)-1,0,1,1),"")</f>
        <v>Namhkan Town</v>
      </c>
      <c r="AE226" s="212">
        <f ca="1">IFERROR(OFFSET(DistanceToCamp[distance],MATCH(CampList[[#This Row],[CP_Pcode]],DistanceToCamp[CP_Pcode],0)-1,0,1,1),"")</f>
        <v>1.5239325151406049</v>
      </c>
      <c r="AF226" s="221">
        <f ca="1">IFERROR(INT(CampList[[#This Row],[Distance]]/5)+1,"")</f>
        <v>1</v>
      </c>
      <c r="AH226" s="605"/>
      <c r="AI226" s="605"/>
    </row>
    <row r="227" spans="2:35" s="185" customFormat="1" ht="15.75" hidden="1" customHeight="1" x14ac:dyDescent="0.25">
      <c r="B227" s="203" t="s">
        <v>775</v>
      </c>
      <c r="C227" s="197" t="s">
        <v>378</v>
      </c>
      <c r="D227" s="197" t="s">
        <v>478</v>
      </c>
      <c r="E227" s="197" t="s">
        <v>237</v>
      </c>
      <c r="F227" s="198" t="s">
        <v>484</v>
      </c>
      <c r="G227" s="197" t="s">
        <v>237</v>
      </c>
      <c r="H227" s="197" t="s">
        <v>488</v>
      </c>
      <c r="I227" s="197" t="s">
        <v>611</v>
      </c>
      <c r="J227" s="216"/>
      <c r="K227" s="689" t="s">
        <v>1677</v>
      </c>
      <c r="L227" s="689" t="s">
        <v>1678</v>
      </c>
      <c r="M227" s="197" t="s">
        <v>1526</v>
      </c>
      <c r="N227" s="197" t="s">
        <v>1544</v>
      </c>
      <c r="O227" s="204"/>
      <c r="P227" s="204"/>
      <c r="Q227" s="217"/>
      <c r="R227" s="182">
        <v>25</v>
      </c>
      <c r="S227" s="292">
        <v>69</v>
      </c>
      <c r="T227" s="207">
        <f>IF(CampList[[#This Row],[HH]]&gt;0,CampList[[#This Row],[Total]]/CampList[[#This Row],[HH]],"NA")</f>
        <v>2.76</v>
      </c>
      <c r="U227" s="199" t="s">
        <v>464</v>
      </c>
      <c r="V227" s="199" t="s">
        <v>994</v>
      </c>
      <c r="W227" s="199" t="s">
        <v>1381</v>
      </c>
      <c r="X227" s="199" t="s">
        <v>742</v>
      </c>
      <c r="Y227" s="312">
        <v>42963</v>
      </c>
      <c r="Z227" s="208" t="s">
        <v>1314</v>
      </c>
      <c r="AA227" s="197" t="s">
        <v>774</v>
      </c>
      <c r="AB227" s="210" t="s">
        <v>1518</v>
      </c>
      <c r="AC227" s="211" t="s">
        <v>1527</v>
      </c>
      <c r="AD227" s="220" t="str">
        <f ca="1">IFERROR(OFFSET(DistanceToCamp[Nearest Town],MATCH(CampList[[#This Row],[CP_Pcode]],DistanceToCamp[CP_Pcode],0)-1,0,1,1),"")</f>
        <v/>
      </c>
      <c r="AE227" s="212" t="str">
        <f ca="1">IFERROR(OFFSET(DistanceToCamp[distance],MATCH(CampList[[#This Row],[CP_Pcode]],DistanceToCamp[CP_Pcode],0)-1,0,1,1),"")</f>
        <v/>
      </c>
      <c r="AF227" s="221" t="str">
        <f ca="1">IFERROR(INT(CampList[[#This Row],[Distance]]/5)+1,"")</f>
        <v/>
      </c>
      <c r="AH227" s="605"/>
      <c r="AI227" s="605"/>
    </row>
    <row r="228" spans="2:35" s="185" customFormat="1" ht="15.75" customHeight="1" x14ac:dyDescent="0.25">
      <c r="B228" s="203" t="s">
        <v>1740</v>
      </c>
      <c r="C228" s="197" t="s">
        <v>506</v>
      </c>
      <c r="D228" s="197" t="s">
        <v>489</v>
      </c>
      <c r="E228" s="197" t="s">
        <v>230</v>
      </c>
      <c r="F228" s="197" t="s">
        <v>490</v>
      </c>
      <c r="G228" s="197" t="s">
        <v>288</v>
      </c>
      <c r="H228" s="197" t="s">
        <v>502</v>
      </c>
      <c r="I228" s="197" t="s">
        <v>691</v>
      </c>
      <c r="J228" s="197" t="s">
        <v>692</v>
      </c>
      <c r="K228" s="197" t="s">
        <v>691</v>
      </c>
      <c r="L228" s="197">
        <v>208353</v>
      </c>
      <c r="M228" s="197" t="s">
        <v>291</v>
      </c>
      <c r="N228" s="197" t="s">
        <v>290</v>
      </c>
      <c r="O228" s="204">
        <v>97.681970000000007</v>
      </c>
      <c r="P228" s="204">
        <v>23.821380000000001</v>
      </c>
      <c r="Q228" s="205">
        <v>811.6</v>
      </c>
      <c r="R228" s="204">
        <v>76</v>
      </c>
      <c r="S228" s="274">
        <v>373</v>
      </c>
      <c r="T228" s="207">
        <f>IF(CampList[[#This Row],[HH]]&gt;0,CampList[[#This Row],[Total]]/CampList[[#This Row],[HH]],"NA")</f>
        <v>4.9078947368421053</v>
      </c>
      <c r="U228" s="199" t="s">
        <v>464</v>
      </c>
      <c r="V228" s="199" t="s">
        <v>994</v>
      </c>
      <c r="W228" s="199" t="s">
        <v>507</v>
      </c>
      <c r="X228" s="199" t="s">
        <v>742</v>
      </c>
      <c r="Y228" s="673">
        <v>41609</v>
      </c>
      <c r="Z228" s="673" t="s">
        <v>424</v>
      </c>
      <c r="AA228" s="223" t="s">
        <v>774</v>
      </c>
      <c r="AB228" s="210">
        <v>43405</v>
      </c>
      <c r="AC228" s="211" t="s">
        <v>1902</v>
      </c>
      <c r="AD228" s="199" t="str">
        <f ca="1">IFERROR(OFFSET(DistanceToCamp[Nearest Town],MATCH(CampList[[#This Row],[CP_Pcode]],DistanceToCamp[CP_Pcode],0)-1,0,1,1),"")</f>
        <v>Namhkan Town</v>
      </c>
      <c r="AE228" s="212">
        <f ca="1">IFERROR(OFFSET(DistanceToCamp[distance],MATCH(CampList[[#This Row],[CP_Pcode]],DistanceToCamp[CP_Pcode],0)-1,0,1,1),"")</f>
        <v>1.7369508287203668</v>
      </c>
      <c r="AF228" s="213">
        <f ca="1">IFERROR(INT(CampList[[#This Row],[Distance]]/5)+1,"")</f>
        <v>1</v>
      </c>
      <c r="AH228" s="605"/>
      <c r="AI228" s="605"/>
    </row>
    <row r="229" spans="2:35" s="185" customFormat="1" ht="15.75" customHeight="1" x14ac:dyDescent="0.25">
      <c r="B229" s="203" t="s">
        <v>1740</v>
      </c>
      <c r="C229" s="197" t="s">
        <v>506</v>
      </c>
      <c r="D229" s="197" t="s">
        <v>489</v>
      </c>
      <c r="E229" s="197" t="s">
        <v>230</v>
      </c>
      <c r="F229" s="197" t="s">
        <v>490</v>
      </c>
      <c r="G229" s="197" t="s">
        <v>146</v>
      </c>
      <c r="H229" s="197" t="s">
        <v>497</v>
      </c>
      <c r="I229" s="197" t="s">
        <v>725</v>
      </c>
      <c r="J229" s="197" t="s">
        <v>726</v>
      </c>
      <c r="K229" s="215" t="s">
        <v>727</v>
      </c>
      <c r="L229" s="198">
        <v>219842</v>
      </c>
      <c r="M229" s="197" t="s">
        <v>369</v>
      </c>
      <c r="N229" s="197" t="s">
        <v>147</v>
      </c>
      <c r="O229" s="204">
        <v>98.220614999999995</v>
      </c>
      <c r="P229" s="204">
        <v>23.400155999999999</v>
      </c>
      <c r="Q229" s="205">
        <v>3109</v>
      </c>
      <c r="R229" s="274">
        <v>41</v>
      </c>
      <c r="S229" s="274">
        <v>232</v>
      </c>
      <c r="T229" s="207">
        <f>IF(CampList[[#This Row],[HH]]&gt;0,CampList[[#This Row],[Total]]/CampList[[#This Row],[HH]],"NA")</f>
        <v>5.6585365853658534</v>
      </c>
      <c r="U229" s="199" t="s">
        <v>464</v>
      </c>
      <c r="V229" s="199" t="s">
        <v>994</v>
      </c>
      <c r="W229" s="199" t="s">
        <v>507</v>
      </c>
      <c r="X229" s="199" t="s">
        <v>784</v>
      </c>
      <c r="Y229" s="673">
        <v>40787</v>
      </c>
      <c r="Z229" s="673" t="s">
        <v>424</v>
      </c>
      <c r="AA229" s="223" t="s">
        <v>774</v>
      </c>
      <c r="AB229" s="210">
        <v>43405</v>
      </c>
      <c r="AC229" s="203" t="s">
        <v>1903</v>
      </c>
      <c r="AD229" s="199" t="str">
        <f ca="1">IFERROR(OFFSET(DistanceToCamp[Nearest Town],MATCH(CampList[[#This Row],[CP_Pcode]],DistanceToCamp[CP_Pcode],0)-1,0,1,1),"")</f>
        <v>Tarmoenye Town</v>
      </c>
      <c r="AE229" s="212">
        <f ca="1">IFERROR(OFFSET(DistanceToCamp[distance],MATCH(CampList[[#This Row],[CP_Pcode]],DistanceToCamp[CP_Pcode],0)-1,0,1,1),"")</f>
        <v>23.172399462804503</v>
      </c>
      <c r="AF229" s="213">
        <f ca="1">IFERROR(INT(CampList[[#This Row],[Distance]]/5)+1,"")</f>
        <v>5</v>
      </c>
      <c r="AH229" s="605"/>
      <c r="AI229" s="605"/>
    </row>
    <row r="230" spans="2:35" s="185" customFormat="1" ht="15.75" customHeight="1" x14ac:dyDescent="0.25">
      <c r="B230" s="203" t="s">
        <v>1740</v>
      </c>
      <c r="C230" s="197" t="s">
        <v>506</v>
      </c>
      <c r="D230" s="197" t="s">
        <v>489</v>
      </c>
      <c r="E230" s="197" t="s">
        <v>230</v>
      </c>
      <c r="F230" s="197" t="s">
        <v>490</v>
      </c>
      <c r="G230" s="197" t="s">
        <v>146</v>
      </c>
      <c r="H230" s="197" t="s">
        <v>497</v>
      </c>
      <c r="I230" s="224" t="s">
        <v>663</v>
      </c>
      <c r="J230" s="197" t="s">
        <v>1040</v>
      </c>
      <c r="K230" s="224" t="s">
        <v>664</v>
      </c>
      <c r="L230" s="236">
        <v>208696</v>
      </c>
      <c r="M230" s="197" t="s">
        <v>149</v>
      </c>
      <c r="N230" s="197" t="s">
        <v>148</v>
      </c>
      <c r="O230" s="204">
        <v>97.818979999999996</v>
      </c>
      <c r="P230" s="204">
        <v>23.694130000000001</v>
      </c>
      <c r="Q230" s="205">
        <v>1135.7</v>
      </c>
      <c r="R230" s="274">
        <v>57</v>
      </c>
      <c r="S230" s="274">
        <v>269</v>
      </c>
      <c r="T230" s="207">
        <f>IF(CampList[[#This Row],[HH]]&gt;0,CampList[[#This Row],[Total]]/CampList[[#This Row],[HH]],"NA")</f>
        <v>4.7192982456140351</v>
      </c>
      <c r="U230" s="199" t="s">
        <v>464</v>
      </c>
      <c r="V230" s="199" t="s">
        <v>994</v>
      </c>
      <c r="W230" s="199" t="s">
        <v>507</v>
      </c>
      <c r="X230" s="199" t="s">
        <v>784</v>
      </c>
      <c r="Y230" s="673">
        <v>40878</v>
      </c>
      <c r="Z230" s="673" t="s">
        <v>424</v>
      </c>
      <c r="AA230" s="223" t="s">
        <v>774</v>
      </c>
      <c r="AB230" s="210">
        <v>43405</v>
      </c>
      <c r="AC230" s="203" t="s">
        <v>1904</v>
      </c>
      <c r="AD230" s="199" t="str">
        <f ca="1">IFERROR(OFFSET(DistanceToCamp[Nearest Town],MATCH(CampList[[#This Row],[CP_Pcode]],DistanceToCamp[CP_Pcode],0)-1,0,1,1),"")</f>
        <v>Namhkan Town</v>
      </c>
      <c r="AE230" s="212">
        <f ca="1">IFERROR(OFFSET(DistanceToCamp[distance],MATCH(CampList[[#This Row],[CP_Pcode]],DistanceToCamp[CP_Pcode],0)-1,0,1,1),"")</f>
        <v>21.148671772283631</v>
      </c>
      <c r="AF230" s="213">
        <f ca="1">IFERROR(INT(CampList[[#This Row],[Distance]]/5)+1,"")</f>
        <v>5</v>
      </c>
      <c r="AH230" s="605"/>
      <c r="AI230" s="605"/>
    </row>
    <row r="231" spans="2:35" s="185" customFormat="1" ht="15.75" customHeight="1" x14ac:dyDescent="0.25">
      <c r="B231" s="203" t="s">
        <v>1740</v>
      </c>
      <c r="C231" s="197" t="s">
        <v>506</v>
      </c>
      <c r="D231" s="197" t="s">
        <v>489</v>
      </c>
      <c r="E231" s="197" t="s">
        <v>494</v>
      </c>
      <c r="F231" s="197" t="s">
        <v>495</v>
      </c>
      <c r="G231" s="197" t="s">
        <v>166</v>
      </c>
      <c r="H231" s="197" t="s">
        <v>496</v>
      </c>
      <c r="I231" s="224" t="s">
        <v>742</v>
      </c>
      <c r="J231" s="237" t="s">
        <v>962</v>
      </c>
      <c r="K231" s="198" t="s">
        <v>656</v>
      </c>
      <c r="L231" s="198" t="s">
        <v>1102</v>
      </c>
      <c r="M231" s="197" t="s">
        <v>167</v>
      </c>
      <c r="N231" s="197" t="s">
        <v>165</v>
      </c>
      <c r="O231" s="204">
        <v>97.124403000000001</v>
      </c>
      <c r="P231" s="204">
        <v>23.250678000000001</v>
      </c>
      <c r="Q231" s="205">
        <v>1250</v>
      </c>
      <c r="R231" s="274">
        <v>33</v>
      </c>
      <c r="S231" s="274">
        <v>177</v>
      </c>
      <c r="T231" s="207">
        <f>IF(CampList[[#This Row],[HH]]&gt;0,CampList[[#This Row],[Total]]/CampList[[#This Row],[HH]],"NA")</f>
        <v>5.3636363636363633</v>
      </c>
      <c r="U231" s="199" t="s">
        <v>464</v>
      </c>
      <c r="V231" s="199" t="s">
        <v>994</v>
      </c>
      <c r="W231" s="199" t="s">
        <v>507</v>
      </c>
      <c r="X231" s="199" t="s">
        <v>742</v>
      </c>
      <c r="Y231" s="673">
        <v>41000</v>
      </c>
      <c r="Z231" s="208" t="s">
        <v>424</v>
      </c>
      <c r="AA231" s="223" t="s">
        <v>774</v>
      </c>
      <c r="AB231" s="210">
        <v>43405</v>
      </c>
      <c r="AC231" s="203" t="s">
        <v>1905</v>
      </c>
      <c r="AD231" s="199" t="str">
        <f ca="1">IFERROR(OFFSET(DistanceToCamp[Nearest Town],MATCH(CampList[[#This Row],[CP_Pcode]],DistanceToCamp[CP_Pcode],0)-1,0,1,1),"")</f>
        <v>Manton Town</v>
      </c>
      <c r="AE231" s="212">
        <f ca="1">IFERROR(OFFSET(DistanceToCamp[distance],MATCH(CampList[[#This Row],[CP_Pcode]],DistanceToCamp[CP_Pcode],0)-1,0,1,1),"")</f>
        <v>0.43878855438285824</v>
      </c>
      <c r="AF231" s="213">
        <f ca="1">IFERROR(INT(CampList[[#This Row],[Distance]]/5)+1,"")</f>
        <v>1</v>
      </c>
      <c r="AH231" s="605"/>
      <c r="AI231" s="605"/>
    </row>
    <row r="232" spans="2:35" s="185" customFormat="1" ht="19.149999999999999" customHeight="1" x14ac:dyDescent="0.25">
      <c r="B232" s="203" t="s">
        <v>1740</v>
      </c>
      <c r="C232" s="197" t="s">
        <v>506</v>
      </c>
      <c r="D232" s="197" t="s">
        <v>489</v>
      </c>
      <c r="E232" s="197" t="s">
        <v>494</v>
      </c>
      <c r="F232" s="197" t="s">
        <v>495</v>
      </c>
      <c r="G232" s="197" t="s">
        <v>297</v>
      </c>
      <c r="H232" s="197" t="s">
        <v>503</v>
      </c>
      <c r="I232" s="224" t="s">
        <v>755</v>
      </c>
      <c r="J232" s="197" t="s">
        <v>756</v>
      </c>
      <c r="K232" s="224" t="s">
        <v>757</v>
      </c>
      <c r="L232" s="224" t="s">
        <v>758</v>
      </c>
      <c r="M232" s="197" t="s">
        <v>759</v>
      </c>
      <c r="N232" s="197" t="s">
        <v>296</v>
      </c>
      <c r="O232" s="204">
        <v>97.404089999999997</v>
      </c>
      <c r="P232" s="204">
        <v>23.094290000000001</v>
      </c>
      <c r="Q232" s="205">
        <v>534.29999999999995</v>
      </c>
      <c r="R232" s="274">
        <v>40</v>
      </c>
      <c r="S232" s="274">
        <v>171</v>
      </c>
      <c r="T232" s="207">
        <f>IF(CampList[[#This Row],[HH]]&gt;0,CampList[[#This Row],[Total]]/CampList[[#This Row],[HH]],"NA")</f>
        <v>4.2750000000000004</v>
      </c>
      <c r="U232" s="199" t="s">
        <v>464</v>
      </c>
      <c r="V232" s="199" t="s">
        <v>994</v>
      </c>
      <c r="W232" s="199" t="s">
        <v>507</v>
      </c>
      <c r="X232" s="199" t="s">
        <v>742</v>
      </c>
      <c r="Y232" s="673">
        <v>41000</v>
      </c>
      <c r="Z232" s="208" t="s">
        <v>424</v>
      </c>
      <c r="AA232" s="223" t="s">
        <v>774</v>
      </c>
      <c r="AB232" s="210">
        <v>43405</v>
      </c>
      <c r="AC232" s="203" t="s">
        <v>1906</v>
      </c>
      <c r="AD232" s="199" t="str">
        <f ca="1">IFERROR(OFFSET(DistanceToCamp[Nearest Town],MATCH(CampList[[#This Row],[CP_Pcode]],DistanceToCamp[CP_Pcode],0)-1,0,1,1),"")</f>
        <v>Namtu Town</v>
      </c>
      <c r="AE232" s="212">
        <f ca="1">IFERROR(OFFSET(DistanceToCamp[distance],MATCH(CampList[[#This Row],[CP_Pcode]],DistanceToCamp[CP_Pcode],0)-1,0,1,1),"")</f>
        <v>0.37588352961435612</v>
      </c>
      <c r="AF232" s="213">
        <f ca="1">IFERROR(INT(CampList[[#This Row],[Distance]]/5)+1,"")</f>
        <v>1</v>
      </c>
      <c r="AH232" s="605"/>
      <c r="AI232" s="605"/>
    </row>
    <row r="233" spans="2:35" s="185" customFormat="1" ht="15.75" customHeight="1" x14ac:dyDescent="0.25">
      <c r="B233" s="203" t="s">
        <v>1740</v>
      </c>
      <c r="C233" s="197" t="s">
        <v>506</v>
      </c>
      <c r="D233" s="197" t="s">
        <v>489</v>
      </c>
      <c r="E233" s="197" t="s">
        <v>230</v>
      </c>
      <c r="F233" s="197" t="s">
        <v>490</v>
      </c>
      <c r="G233" s="197" t="s">
        <v>146</v>
      </c>
      <c r="H233" s="197" t="s">
        <v>497</v>
      </c>
      <c r="I233" s="197" t="s">
        <v>669</v>
      </c>
      <c r="J233" s="197" t="s">
        <v>670</v>
      </c>
      <c r="K233" s="197" t="s">
        <v>671</v>
      </c>
      <c r="L233" s="197" t="s">
        <v>672</v>
      </c>
      <c r="M233" s="197" t="s">
        <v>367</v>
      </c>
      <c r="N233" s="197" t="s">
        <v>381</v>
      </c>
      <c r="O233" s="204">
        <v>97.926813999999993</v>
      </c>
      <c r="P233" s="204">
        <v>23.450914000000001</v>
      </c>
      <c r="Q233" s="205">
        <v>4336</v>
      </c>
      <c r="R233" s="274">
        <v>53</v>
      </c>
      <c r="S233" s="274">
        <v>256</v>
      </c>
      <c r="T233" s="207">
        <f>IF(CampList[[#This Row],[HH]]&gt;0,CampList[[#This Row],[Total]]/CampList[[#This Row],[HH]],"NA")</f>
        <v>4.8301886792452828</v>
      </c>
      <c r="U233" s="199" t="s">
        <v>464</v>
      </c>
      <c r="V233" s="199" t="s">
        <v>994</v>
      </c>
      <c r="W233" s="199" t="s">
        <v>507</v>
      </c>
      <c r="X233" s="199" t="s">
        <v>742</v>
      </c>
      <c r="Y233" s="673">
        <v>41244</v>
      </c>
      <c r="Z233" s="673" t="s">
        <v>424</v>
      </c>
      <c r="AA233" s="223" t="s">
        <v>774</v>
      </c>
      <c r="AB233" s="210">
        <v>43405</v>
      </c>
      <c r="AC233" s="203" t="s">
        <v>1907</v>
      </c>
      <c r="AD233" s="199" t="str">
        <f ca="1">IFERROR(OFFSET(DistanceToCamp[Nearest Town],MATCH(CampList[[#This Row],[CP_Pcode]],DistanceToCamp[CP_Pcode],0)-1,0,1,1),"")</f>
        <v>Kutkai Town</v>
      </c>
      <c r="AE233" s="212">
        <f ca="1">IFERROR(OFFSET(DistanceToCamp[distance],MATCH(CampList[[#This Row],[CP_Pcode]],DistanceToCamp[CP_Pcode],0)-1,0,1,1),"")</f>
        <v>1.9281430163271129</v>
      </c>
      <c r="AF233" s="213">
        <f ca="1">IFERROR(INT(CampList[[#This Row],[Distance]]/5)+1,"")</f>
        <v>1</v>
      </c>
      <c r="AH233" s="605"/>
      <c r="AI233" s="605"/>
    </row>
    <row r="234" spans="2:35" s="185" customFormat="1" ht="16.149999999999999" customHeight="1" x14ac:dyDescent="0.25">
      <c r="B234" s="203" t="s">
        <v>1740</v>
      </c>
      <c r="C234" s="198" t="s">
        <v>506</v>
      </c>
      <c r="D234" s="198" t="s">
        <v>489</v>
      </c>
      <c r="E234" s="198" t="s">
        <v>230</v>
      </c>
      <c r="F234" s="198" t="s">
        <v>490</v>
      </c>
      <c r="G234" s="198" t="s">
        <v>146</v>
      </c>
      <c r="H234" s="198" t="s">
        <v>497</v>
      </c>
      <c r="I234" s="198" t="s">
        <v>669</v>
      </c>
      <c r="J234" s="216" t="s">
        <v>670</v>
      </c>
      <c r="K234" s="198" t="s">
        <v>654</v>
      </c>
      <c r="L234" s="198" t="s">
        <v>673</v>
      </c>
      <c r="M234" s="198" t="s">
        <v>368</v>
      </c>
      <c r="N234" s="198" t="s">
        <v>382</v>
      </c>
      <c r="O234" s="206">
        <v>97.947360000000003</v>
      </c>
      <c r="P234" s="206">
        <v>23.460349999999998</v>
      </c>
      <c r="Q234" s="217">
        <v>4430</v>
      </c>
      <c r="R234" s="206">
        <v>28</v>
      </c>
      <c r="S234" s="217">
        <v>132</v>
      </c>
      <c r="T234" s="207">
        <f>IF(CampList[[#This Row],[HH]]&gt;0,CampList[[#This Row],[Total]]/CampList[[#This Row],[HH]],"NA")</f>
        <v>4.7142857142857144</v>
      </c>
      <c r="U234" s="183" t="s">
        <v>464</v>
      </c>
      <c r="V234" s="199" t="s">
        <v>994</v>
      </c>
      <c r="W234" s="183" t="s">
        <v>507</v>
      </c>
      <c r="X234" s="183" t="s">
        <v>742</v>
      </c>
      <c r="Y234" s="218">
        <v>41244</v>
      </c>
      <c r="Z234" s="217" t="s">
        <v>1047</v>
      </c>
      <c r="AA234" s="198" t="s">
        <v>774</v>
      </c>
      <c r="AB234" s="210">
        <v>43405</v>
      </c>
      <c r="AC234" s="219" t="s">
        <v>1841</v>
      </c>
      <c r="AD234" s="220" t="str">
        <f ca="1">IFERROR(OFFSET(DistanceToCamp[Nearest Town],MATCH(CampList[[#This Row],[CP_Pcode]],DistanceToCamp[CP_Pcode],0)-1,0,1,1),"")</f>
        <v>Kutkai Town</v>
      </c>
      <c r="AE234" s="212">
        <f ca="1">IFERROR(OFFSET(DistanceToCamp[distance],MATCH(CampList[[#This Row],[CP_Pcode]],DistanceToCamp[CP_Pcode],0)-1,0,1,1),"")</f>
        <v>0.42212558305526549</v>
      </c>
      <c r="AF234" s="221">
        <f ca="1">IFERROR(INT(CampList[[#This Row],[Distance]]/5)+1,"")</f>
        <v>1</v>
      </c>
      <c r="AH234" s="605"/>
      <c r="AI234" s="605"/>
    </row>
    <row r="235" spans="2:35" s="185" customFormat="1" ht="23.45" customHeight="1" x14ac:dyDescent="0.25">
      <c r="B235" s="203" t="s">
        <v>1740</v>
      </c>
      <c r="C235" s="197" t="s">
        <v>506</v>
      </c>
      <c r="D235" s="197" t="s">
        <v>489</v>
      </c>
      <c r="E235" s="197" t="s">
        <v>230</v>
      </c>
      <c r="F235" s="197" t="s">
        <v>490</v>
      </c>
      <c r="G235" s="197" t="s">
        <v>146</v>
      </c>
      <c r="H235" s="197" t="s">
        <v>497</v>
      </c>
      <c r="I235" s="224" t="s">
        <v>662</v>
      </c>
      <c r="J235" s="197" t="s">
        <v>1039</v>
      </c>
      <c r="K235" s="224" t="s">
        <v>662</v>
      </c>
      <c r="L235" s="238">
        <v>208747</v>
      </c>
      <c r="M235" s="197" t="s">
        <v>1614</v>
      </c>
      <c r="N235" s="197" t="s">
        <v>383</v>
      </c>
      <c r="O235" s="204">
        <v>97.793019999999999</v>
      </c>
      <c r="P235" s="204">
        <v>23.588920000000002</v>
      </c>
      <c r="Q235" s="205">
        <v>1012.5</v>
      </c>
      <c r="R235" s="274">
        <v>76</v>
      </c>
      <c r="S235" s="274">
        <v>343</v>
      </c>
      <c r="T235" s="207">
        <f>IF(CampList[[#This Row],[HH]]&gt;0,CampList[[#This Row],[Total]]/CampList[[#This Row],[HH]],"NA")</f>
        <v>4.5131578947368425</v>
      </c>
      <c r="U235" s="199" t="s">
        <v>464</v>
      </c>
      <c r="V235" s="199" t="s">
        <v>994</v>
      </c>
      <c r="W235" s="199" t="s">
        <v>507</v>
      </c>
      <c r="X235" s="199" t="s">
        <v>784</v>
      </c>
      <c r="Y235" s="673">
        <v>41275</v>
      </c>
      <c r="Z235" s="208" t="s">
        <v>424</v>
      </c>
      <c r="AA235" s="223" t="s">
        <v>774</v>
      </c>
      <c r="AB235" s="210">
        <v>43405</v>
      </c>
      <c r="AC235" s="203" t="s">
        <v>1908</v>
      </c>
      <c r="AD235" s="199" t="str">
        <f ca="1">IFERROR(OFFSET(DistanceToCamp[Nearest Town],MATCH(CampList[[#This Row],[CP_Pcode]],DistanceToCamp[CP_Pcode],0)-1,0,1,1),"")</f>
        <v>Kutkai Town</v>
      </c>
      <c r="AE235" s="212">
        <f ca="1">IFERROR(OFFSET(DistanceToCamp[distance],MATCH(CampList[[#This Row],[CP_Pcode]],DistanceToCamp[CP_Pcode],0)-1,0,1,1),"")</f>
        <v>21.050742639251741</v>
      </c>
      <c r="AF235" s="213">
        <f ca="1">IFERROR(INT(CampList[[#This Row],[Distance]]/5)+1,"")</f>
        <v>5</v>
      </c>
      <c r="AH235" s="605"/>
      <c r="AI235" s="605"/>
    </row>
    <row r="236" spans="2:35" s="185" customFormat="1" ht="15.75" customHeight="1" x14ac:dyDescent="0.25">
      <c r="B236" s="203" t="s">
        <v>1740</v>
      </c>
      <c r="C236" s="197" t="s">
        <v>506</v>
      </c>
      <c r="D236" s="197" t="s">
        <v>489</v>
      </c>
      <c r="E236" s="197" t="s">
        <v>230</v>
      </c>
      <c r="F236" s="197" t="s">
        <v>490</v>
      </c>
      <c r="G236" s="197" t="s">
        <v>146</v>
      </c>
      <c r="H236" s="197" t="s">
        <v>497</v>
      </c>
      <c r="I236" s="197" t="s">
        <v>706</v>
      </c>
      <c r="J236" s="197" t="s">
        <v>707</v>
      </c>
      <c r="K236" s="197" t="s">
        <v>708</v>
      </c>
      <c r="L236" s="197">
        <v>208557</v>
      </c>
      <c r="M236" s="197" t="s">
        <v>371</v>
      </c>
      <c r="N236" s="197" t="s">
        <v>385</v>
      </c>
      <c r="O236" s="204">
        <v>97.837040000000002</v>
      </c>
      <c r="P236" s="204">
        <v>23.38503</v>
      </c>
      <c r="Q236" s="205">
        <v>0</v>
      </c>
      <c r="R236" s="274">
        <v>204</v>
      </c>
      <c r="S236" s="274">
        <v>1043</v>
      </c>
      <c r="T236" s="207">
        <f>IF(CampList[[#This Row],[HH]]&gt;0,CampList[[#This Row],[Total]]/CampList[[#This Row],[HH]],"NA")</f>
        <v>5.1127450980392153</v>
      </c>
      <c r="U236" s="199" t="s">
        <v>464</v>
      </c>
      <c r="V236" s="199" t="s">
        <v>994</v>
      </c>
      <c r="W236" s="199" t="s">
        <v>507</v>
      </c>
      <c r="X236" s="199" t="s">
        <v>784</v>
      </c>
      <c r="Y236" s="673">
        <v>41244</v>
      </c>
      <c r="Z236" s="673" t="s">
        <v>424</v>
      </c>
      <c r="AA236" s="197" t="s">
        <v>774</v>
      </c>
      <c r="AB236" s="210">
        <v>43405</v>
      </c>
      <c r="AC236" s="211" t="s">
        <v>1909</v>
      </c>
      <c r="AD236" s="199" t="str">
        <f ca="1">IFERROR(OFFSET(DistanceToCamp[Nearest Town],MATCH(CampList[[#This Row],[CP_Pcode]],DistanceToCamp[CP_Pcode],0)-1,0,1,1),"")</f>
        <v>Kutkai Town</v>
      </c>
      <c r="AE236" s="212">
        <f ca="1">IFERROR(OFFSET(DistanceToCamp[distance],MATCH(CampList[[#This Row],[CP_Pcode]],DistanceToCamp[CP_Pcode],0)-1,0,1,1),"")</f>
        <v>13.632081902964599</v>
      </c>
      <c r="AF236" s="213">
        <f ca="1">IFERROR(INT(CampList[[#This Row],[Distance]]/5)+1,"")</f>
        <v>3</v>
      </c>
      <c r="AH236" s="605"/>
      <c r="AI236" s="605"/>
    </row>
    <row r="237" spans="2:35" s="185" customFormat="1" ht="15.75" customHeight="1" x14ac:dyDescent="0.25">
      <c r="B237" s="203" t="s">
        <v>1740</v>
      </c>
      <c r="C237" s="198" t="s">
        <v>506</v>
      </c>
      <c r="D237" s="198" t="s">
        <v>489</v>
      </c>
      <c r="E237" s="198" t="s">
        <v>494</v>
      </c>
      <c r="F237" s="198" t="s">
        <v>495</v>
      </c>
      <c r="G237" s="198" t="s">
        <v>166</v>
      </c>
      <c r="H237" s="198" t="s">
        <v>496</v>
      </c>
      <c r="I237" s="198" t="s">
        <v>742</v>
      </c>
      <c r="J237" s="216" t="s">
        <v>962</v>
      </c>
      <c r="K237" s="198" t="s">
        <v>656</v>
      </c>
      <c r="L237" s="198" t="s">
        <v>1102</v>
      </c>
      <c r="M237" s="198" t="s">
        <v>760</v>
      </c>
      <c r="N237" s="198" t="s">
        <v>761</v>
      </c>
      <c r="O237" s="206">
        <v>97.116680000000002</v>
      </c>
      <c r="P237" s="206">
        <v>23.24661</v>
      </c>
      <c r="Q237" s="217">
        <v>87.3</v>
      </c>
      <c r="R237" s="206">
        <v>29</v>
      </c>
      <c r="S237" s="217">
        <v>171</v>
      </c>
      <c r="T237" s="207">
        <f>IF(CampList[[#This Row],[HH]]&gt;0,CampList[[#This Row],[Total]]/CampList[[#This Row],[HH]],"NA")</f>
        <v>5.8965517241379306</v>
      </c>
      <c r="U237" s="183" t="s">
        <v>464</v>
      </c>
      <c r="V237" s="199" t="s">
        <v>994</v>
      </c>
      <c r="W237" s="183" t="s">
        <v>507</v>
      </c>
      <c r="X237" s="183" t="s">
        <v>742</v>
      </c>
      <c r="Y237" s="218">
        <v>41030</v>
      </c>
      <c r="Z237" s="217" t="s">
        <v>1047</v>
      </c>
      <c r="AA237" s="198" t="s">
        <v>774</v>
      </c>
      <c r="AB237" s="210">
        <v>43405</v>
      </c>
      <c r="AC237" s="219" t="s">
        <v>1842</v>
      </c>
      <c r="AD237" s="220" t="str">
        <f ca="1">IFERROR(OFFSET(DistanceToCamp[Nearest Town],MATCH(CampList[[#This Row],[CP_Pcode]],DistanceToCamp[CP_Pcode],0)-1,0,1,1),"")</f>
        <v>Manton Town</v>
      </c>
      <c r="AE237" s="212">
        <f ca="1">IFERROR(OFFSET(DistanceToCamp[distance],MATCH(CampList[[#This Row],[CP_Pcode]],DistanceToCamp[CP_Pcode],0)-1,0,1,1),"")</f>
        <v>0.71762888500316424</v>
      </c>
      <c r="AF237" s="221">
        <f ca="1">IFERROR(INT(CampList[[#This Row],[Distance]]/5)+1,"")</f>
        <v>1</v>
      </c>
      <c r="AH237" s="605"/>
      <c r="AI237" s="605"/>
    </row>
    <row r="238" spans="2:35" s="185" customFormat="1" ht="15.75" customHeight="1" x14ac:dyDescent="0.25">
      <c r="B238" s="203" t="s">
        <v>1740</v>
      </c>
      <c r="C238" s="197" t="s">
        <v>506</v>
      </c>
      <c r="D238" s="197" t="s">
        <v>489</v>
      </c>
      <c r="E238" s="197" t="s">
        <v>230</v>
      </c>
      <c r="F238" s="197" t="s">
        <v>490</v>
      </c>
      <c r="G238" s="197" t="s">
        <v>230</v>
      </c>
      <c r="H238" s="197" t="s">
        <v>491</v>
      </c>
      <c r="I238" s="197" t="s">
        <v>898</v>
      </c>
      <c r="J238" s="197" t="s">
        <v>899</v>
      </c>
      <c r="K238" s="197" t="s">
        <v>900</v>
      </c>
      <c r="L238" s="224" t="s">
        <v>901</v>
      </c>
      <c r="M238" s="197" t="s">
        <v>902</v>
      </c>
      <c r="N238" s="197" t="s">
        <v>903</v>
      </c>
      <c r="O238" s="204">
        <v>97.909400000000005</v>
      </c>
      <c r="P238" s="204">
        <v>24.006319999999999</v>
      </c>
      <c r="Q238" s="217">
        <v>812.7</v>
      </c>
      <c r="R238" s="274">
        <v>41</v>
      </c>
      <c r="S238" s="274">
        <v>187</v>
      </c>
      <c r="T238" s="207">
        <f>IF(CampList[[#This Row],[HH]]&gt;0,CampList[[#This Row],[Total]]/CampList[[#This Row],[HH]],"NA")</f>
        <v>4.5609756097560972</v>
      </c>
      <c r="U238" s="199" t="s">
        <v>464</v>
      </c>
      <c r="V238" s="199" t="s">
        <v>994</v>
      </c>
      <c r="W238" s="199" t="s">
        <v>507</v>
      </c>
      <c r="X238" s="199" t="s">
        <v>742</v>
      </c>
      <c r="Y238" s="218">
        <v>41703</v>
      </c>
      <c r="Z238" s="209" t="s">
        <v>424</v>
      </c>
      <c r="AA238" s="197" t="s">
        <v>774</v>
      </c>
      <c r="AB238" s="210">
        <v>43405</v>
      </c>
      <c r="AC238" s="211" t="s">
        <v>1910</v>
      </c>
      <c r="AD238" s="199" t="str">
        <f ca="1">IFERROR(OFFSET(DistanceToCamp[Nearest Town],MATCH(CampList[[#This Row],[CP_Pcode]],DistanceToCamp[CP_Pcode],0)-1,0,1,1),"")</f>
        <v>Muse Town</v>
      </c>
      <c r="AE238" s="212">
        <f ca="1">IFERROR(OFFSET(DistanceToCamp[distance],MATCH(CampList[[#This Row],[CP_Pcode]],DistanceToCamp[CP_Pcode],0)-1,0,1,1),"")</f>
        <v>1.989668595899414</v>
      </c>
      <c r="AF238" s="213">
        <f ca="1">IFERROR(INT(CampList[[#This Row],[Distance]]/5)+1,"")</f>
        <v>1</v>
      </c>
      <c r="AH238" s="605"/>
      <c r="AI238" s="605"/>
    </row>
    <row r="239" spans="2:35" s="185" customFormat="1" ht="15.75" customHeight="1" x14ac:dyDescent="0.25">
      <c r="B239" s="203" t="s">
        <v>1740</v>
      </c>
      <c r="C239" s="197" t="s">
        <v>506</v>
      </c>
      <c r="D239" s="197" t="s">
        <v>489</v>
      </c>
      <c r="E239" s="197" t="s">
        <v>230</v>
      </c>
      <c r="F239" s="197" t="s">
        <v>490</v>
      </c>
      <c r="G239" s="197" t="s">
        <v>288</v>
      </c>
      <c r="H239" s="197" t="s">
        <v>502</v>
      </c>
      <c r="I239" s="197" t="s">
        <v>691</v>
      </c>
      <c r="J239" s="197" t="s">
        <v>692</v>
      </c>
      <c r="K239" s="197" t="s">
        <v>691</v>
      </c>
      <c r="L239" s="197">
        <v>208353</v>
      </c>
      <c r="M239" s="197" t="s">
        <v>904</v>
      </c>
      <c r="N239" s="197" t="s">
        <v>905</v>
      </c>
      <c r="O239" s="204">
        <v>97.700940000000003</v>
      </c>
      <c r="P239" s="204">
        <v>23.841646999999998</v>
      </c>
      <c r="Q239" s="217">
        <v>798</v>
      </c>
      <c r="R239" s="274">
        <v>38</v>
      </c>
      <c r="S239" s="274">
        <v>195</v>
      </c>
      <c r="T239" s="207">
        <f>IF(CampList[[#This Row],[HH]]&gt;0,CampList[[#This Row],[Total]]/CampList[[#This Row],[HH]],"NA")</f>
        <v>5.1315789473684212</v>
      </c>
      <c r="U239" s="199" t="s">
        <v>464</v>
      </c>
      <c r="V239" s="199" t="s">
        <v>994</v>
      </c>
      <c r="W239" s="199" t="s">
        <v>507</v>
      </c>
      <c r="X239" s="199" t="s">
        <v>742</v>
      </c>
      <c r="Y239" s="218">
        <v>41947</v>
      </c>
      <c r="Z239" s="209" t="s">
        <v>424</v>
      </c>
      <c r="AA239" s="197" t="s">
        <v>774</v>
      </c>
      <c r="AB239" s="210">
        <v>43405</v>
      </c>
      <c r="AC239" s="211" t="s">
        <v>1911</v>
      </c>
      <c r="AD239" s="199" t="str">
        <f ca="1">IFERROR(OFFSET(DistanceToCamp[Nearest Town],MATCH(CampList[[#This Row],[CP_Pcode]],DistanceToCamp[CP_Pcode],0)-1,0,1,1),"")</f>
        <v>Namhkan Town</v>
      </c>
      <c r="AE239" s="212">
        <f ca="1">IFERROR(OFFSET(DistanceToCamp[distance],MATCH(CampList[[#This Row],[CP_Pcode]],DistanceToCamp[CP_Pcode],0)-1,0,1,1),"")</f>
        <v>2.0141034419413328</v>
      </c>
      <c r="AF239" s="213">
        <f ca="1">IFERROR(INT(CampList[[#This Row],[Distance]]/5)+1,"")</f>
        <v>1</v>
      </c>
      <c r="AH239" s="605"/>
      <c r="AI239" s="605"/>
    </row>
    <row r="240" spans="2:35" s="185" customFormat="1" ht="15.75" customHeight="1" x14ac:dyDescent="0.25">
      <c r="B240" s="203" t="s">
        <v>1740</v>
      </c>
      <c r="C240" s="197" t="s">
        <v>506</v>
      </c>
      <c r="D240" s="197" t="s">
        <v>489</v>
      </c>
      <c r="E240" s="197" t="s">
        <v>230</v>
      </c>
      <c r="F240" s="197" t="s">
        <v>490</v>
      </c>
      <c r="G240" s="197" t="s">
        <v>288</v>
      </c>
      <c r="H240" s="197" t="s">
        <v>502</v>
      </c>
      <c r="I240" s="197" t="s">
        <v>907</v>
      </c>
      <c r="J240" s="197" t="s">
        <v>906</v>
      </c>
      <c r="K240" s="197" t="s">
        <v>908</v>
      </c>
      <c r="L240" s="224">
        <v>208338</v>
      </c>
      <c r="M240" s="197" t="s">
        <v>916</v>
      </c>
      <c r="N240" s="197" t="s">
        <v>909</v>
      </c>
      <c r="O240" s="204">
        <v>97.709879999999998</v>
      </c>
      <c r="P240" s="204">
        <v>23.838190000000001</v>
      </c>
      <c r="Q240" s="217">
        <v>829.8</v>
      </c>
      <c r="R240" s="274">
        <v>115</v>
      </c>
      <c r="S240" s="274">
        <v>548</v>
      </c>
      <c r="T240" s="207">
        <f>IF(CampList[[#This Row],[HH]]&gt;0,CampList[[#This Row],[Total]]/CampList[[#This Row],[HH]],"NA")</f>
        <v>4.7652173913043478</v>
      </c>
      <c r="U240" s="199" t="s">
        <v>464</v>
      </c>
      <c r="V240" s="199" t="s">
        <v>994</v>
      </c>
      <c r="W240" s="199" t="s">
        <v>507</v>
      </c>
      <c r="X240" s="199" t="s">
        <v>742</v>
      </c>
      <c r="Y240" s="218">
        <v>41747</v>
      </c>
      <c r="Z240" s="209" t="s">
        <v>424</v>
      </c>
      <c r="AA240" s="197" t="s">
        <v>774</v>
      </c>
      <c r="AB240" s="210">
        <v>43405</v>
      </c>
      <c r="AC240" s="211" t="s">
        <v>1912</v>
      </c>
      <c r="AD240" s="199" t="str">
        <f ca="1">IFERROR(OFFSET(DistanceToCamp[Nearest Town],MATCH(CampList[[#This Row],[CP_Pcode]],DistanceToCamp[CP_Pcode],0)-1,0,1,1),"")</f>
        <v>Namhkan Town</v>
      </c>
      <c r="AE240" s="212">
        <f ca="1">IFERROR(OFFSET(DistanceToCamp[distance],MATCH(CampList[[#This Row],[CP_Pcode]],DistanceToCamp[CP_Pcode],0)-1,0,1,1),"")</f>
        <v>2.8590638493982405</v>
      </c>
      <c r="AF240" s="213">
        <f ca="1">IFERROR(INT(CampList[[#This Row],[Distance]]/5)+1,"")</f>
        <v>1</v>
      </c>
      <c r="AH240" s="605"/>
      <c r="AI240" s="605"/>
    </row>
    <row r="241" spans="2:35" s="185" customFormat="1" ht="15.75" customHeight="1" x14ac:dyDescent="0.25">
      <c r="B241" s="203" t="s">
        <v>1740</v>
      </c>
      <c r="C241" s="198" t="s">
        <v>506</v>
      </c>
      <c r="D241" s="198" t="s">
        <v>489</v>
      </c>
      <c r="E241" s="198" t="s">
        <v>230</v>
      </c>
      <c r="F241" s="198" t="s">
        <v>490</v>
      </c>
      <c r="G241" s="198" t="s">
        <v>230</v>
      </c>
      <c r="H241" s="198" t="s">
        <v>491</v>
      </c>
      <c r="I241" s="198" t="s">
        <v>898</v>
      </c>
      <c r="J241" s="216" t="s">
        <v>899</v>
      </c>
      <c r="K241" s="198" t="s">
        <v>900</v>
      </c>
      <c r="L241" s="198" t="s">
        <v>901</v>
      </c>
      <c r="M241" s="198" t="s">
        <v>912</v>
      </c>
      <c r="N241" s="198" t="s">
        <v>913</v>
      </c>
      <c r="O241" s="206">
        <v>97.911647000000002</v>
      </c>
      <c r="P241" s="206">
        <v>24.006789000000001</v>
      </c>
      <c r="Q241" s="217">
        <v>814</v>
      </c>
      <c r="R241" s="206">
        <v>18</v>
      </c>
      <c r="S241" s="217">
        <v>80</v>
      </c>
      <c r="T241" s="207">
        <f>IF(CampList[[#This Row],[HH]]&gt;0,CampList[[#This Row],[Total]]/CampList[[#This Row],[HH]],"NA")</f>
        <v>4.4444444444444446</v>
      </c>
      <c r="U241" s="183" t="s">
        <v>464</v>
      </c>
      <c r="V241" s="199" t="s">
        <v>994</v>
      </c>
      <c r="W241" s="183" t="s">
        <v>507</v>
      </c>
      <c r="X241" s="183" t="s">
        <v>742</v>
      </c>
      <c r="Y241" s="218">
        <v>41734</v>
      </c>
      <c r="Z241" s="217" t="s">
        <v>1047</v>
      </c>
      <c r="AA241" s="198" t="s">
        <v>774</v>
      </c>
      <c r="AB241" s="210">
        <v>43405</v>
      </c>
      <c r="AC241" s="219" t="s">
        <v>1843</v>
      </c>
      <c r="AD241" s="220" t="str">
        <f ca="1">IFERROR(OFFSET(DistanceToCamp[Nearest Town],MATCH(CampList[[#This Row],[CP_Pcode]],DistanceToCamp[CP_Pcode],0)-1,0,1,1),"")</f>
        <v>Muse Town</v>
      </c>
      <c r="AE241" s="212">
        <f ca="1">IFERROR(OFFSET(DistanceToCamp[distance],MATCH(CampList[[#This Row],[CP_Pcode]],DistanceToCamp[CP_Pcode],0)-1,0,1,1),"")</f>
        <v>2.1362355825722199</v>
      </c>
      <c r="AF241" s="221">
        <f ca="1">IFERROR(INT(CampList[[#This Row],[Distance]]/5)+1,"")</f>
        <v>1</v>
      </c>
      <c r="AH241" s="605"/>
      <c r="AI241" s="605"/>
    </row>
    <row r="242" spans="2:35" s="185" customFormat="1" ht="15.75" hidden="1" customHeight="1" x14ac:dyDescent="0.25">
      <c r="B242" s="203" t="s">
        <v>775</v>
      </c>
      <c r="C242" s="197" t="s">
        <v>506</v>
      </c>
      <c r="D242" s="197" t="s">
        <v>489</v>
      </c>
      <c r="E242" s="197" t="s">
        <v>230</v>
      </c>
      <c r="F242" s="197" t="s">
        <v>490</v>
      </c>
      <c r="G242" s="197" t="s">
        <v>288</v>
      </c>
      <c r="H242" s="197" t="s">
        <v>502</v>
      </c>
      <c r="I242" s="197" t="s">
        <v>691</v>
      </c>
      <c r="J242" s="197" t="s">
        <v>692</v>
      </c>
      <c r="K242" s="197" t="s">
        <v>691</v>
      </c>
      <c r="L242" s="197">
        <v>208353</v>
      </c>
      <c r="M242" s="197" t="s">
        <v>293</v>
      </c>
      <c r="N242" s="197" t="s">
        <v>292</v>
      </c>
      <c r="O242" s="204"/>
      <c r="P242" s="204"/>
      <c r="Q242" s="217"/>
      <c r="R242" s="284"/>
      <c r="S242" s="285"/>
      <c r="T242" s="207" t="str">
        <f>IF(CampList[[#This Row],[HH]]&gt;0,CampList[[#This Row],[Total]]/CampList[[#This Row],[HH]],"NA")</f>
        <v>NA</v>
      </c>
      <c r="U242" s="199" t="s">
        <v>466</v>
      </c>
      <c r="V242" s="199" t="s">
        <v>994</v>
      </c>
      <c r="W242" s="199" t="s">
        <v>507</v>
      </c>
      <c r="X242" s="199"/>
      <c r="Y242" s="218"/>
      <c r="Z242" s="209"/>
      <c r="AA242" s="223" t="s">
        <v>774</v>
      </c>
      <c r="AB242" s="210">
        <v>41701</v>
      </c>
      <c r="AC242" s="203" t="s">
        <v>869</v>
      </c>
      <c r="AD242" s="199" t="str">
        <f ca="1">IFERROR(OFFSET(DistanceToCamp[Nearest Town],MATCH(CampList[[#This Row],[CP_Pcode]],DistanceToCamp[CP_Pcode],0)-1,0,1,1),"")</f>
        <v/>
      </c>
      <c r="AE242" s="212" t="str">
        <f ca="1">IFERROR(OFFSET(DistanceToCamp[distance],MATCH(CampList[[#This Row],[CP_Pcode]],DistanceToCamp[CP_Pcode],0)-1,0,1,1),"")</f>
        <v/>
      </c>
      <c r="AF242" s="213" t="str">
        <f ca="1">IFERROR(INT(CampList[[#This Row],[Distance]]/5)+1,"")</f>
        <v/>
      </c>
      <c r="AH242" s="605"/>
      <c r="AI242" s="605"/>
    </row>
    <row r="243" spans="2:35" s="185" customFormat="1" ht="15.75" customHeight="1" x14ac:dyDescent="0.25">
      <c r="B243" s="203" t="s">
        <v>1740</v>
      </c>
      <c r="C243" s="198" t="s">
        <v>506</v>
      </c>
      <c r="D243" s="198" t="s">
        <v>489</v>
      </c>
      <c r="E243" s="198" t="s">
        <v>230</v>
      </c>
      <c r="F243" s="198" t="s">
        <v>490</v>
      </c>
      <c r="G243" s="198" t="s">
        <v>146</v>
      </c>
      <c r="H243" s="198" t="s">
        <v>497</v>
      </c>
      <c r="I243" s="198" t="s">
        <v>725</v>
      </c>
      <c r="J243" s="216" t="s">
        <v>726</v>
      </c>
      <c r="K243" s="198" t="s">
        <v>727</v>
      </c>
      <c r="L243" s="198">
        <v>219842</v>
      </c>
      <c r="M243" s="198" t="s">
        <v>942</v>
      </c>
      <c r="N243" s="198" t="s">
        <v>941</v>
      </c>
      <c r="O243" s="206">
        <v>98.248999999999995</v>
      </c>
      <c r="P243" s="206">
        <v>23.463000000000001</v>
      </c>
      <c r="Q243" s="217"/>
      <c r="R243" s="206">
        <v>20</v>
      </c>
      <c r="S243" s="217">
        <v>95</v>
      </c>
      <c r="T243" s="207">
        <f>IF(CampList[[#This Row],[HH]]&gt;0,CampList[[#This Row],[Total]]/CampList[[#This Row],[HH]],"NA")</f>
        <v>4.75</v>
      </c>
      <c r="U243" s="183" t="s">
        <v>464</v>
      </c>
      <c r="V243" s="199" t="s">
        <v>994</v>
      </c>
      <c r="W243" s="183" t="s">
        <v>507</v>
      </c>
      <c r="X243" s="183" t="s">
        <v>784</v>
      </c>
      <c r="Y243" s="218">
        <v>40787</v>
      </c>
      <c r="Z243" s="217" t="s">
        <v>1047</v>
      </c>
      <c r="AA243" s="198" t="s">
        <v>774</v>
      </c>
      <c r="AB243" s="210">
        <v>43405</v>
      </c>
      <c r="AC243" s="219" t="s">
        <v>1844</v>
      </c>
      <c r="AD243" s="199"/>
      <c r="AE243" s="212" t="str">
        <f ca="1">IFERROR(OFFSET(DistanceToCamp[distance],MATCH(CampList[[#This Row],[CP_Pcode]],DistanceToCamp[CP_Pcode],0)-1,0,1,1),"")</f>
        <v/>
      </c>
      <c r="AF243" s="221" t="str">
        <f ca="1">IFERROR(INT(CampList[[#This Row],[Distance]]/5)+1,"")</f>
        <v/>
      </c>
      <c r="AH243" s="605"/>
      <c r="AI243" s="605"/>
    </row>
    <row r="244" spans="2:35" s="185" customFormat="1" ht="15.75" customHeight="1" x14ac:dyDescent="0.25">
      <c r="B244" s="203" t="s">
        <v>1740</v>
      </c>
      <c r="C244" s="197" t="s">
        <v>506</v>
      </c>
      <c r="D244" s="197" t="s">
        <v>489</v>
      </c>
      <c r="E244" s="197" t="s">
        <v>717</v>
      </c>
      <c r="F244" s="197" t="s">
        <v>718</v>
      </c>
      <c r="G244" s="197" t="s">
        <v>719</v>
      </c>
      <c r="H244" s="197" t="s">
        <v>720</v>
      </c>
      <c r="I244" s="197" t="s">
        <v>1059</v>
      </c>
      <c r="J244" s="197" t="s">
        <v>1060</v>
      </c>
      <c r="K244" s="197" t="s">
        <v>1059</v>
      </c>
      <c r="L244" s="197">
        <v>206352</v>
      </c>
      <c r="M244" s="197" t="s">
        <v>1059</v>
      </c>
      <c r="N244" s="197" t="s">
        <v>1043</v>
      </c>
      <c r="O244" s="234">
        <v>98.218626999999998</v>
      </c>
      <c r="P244" s="234">
        <v>23.354268999999999</v>
      </c>
      <c r="Q244" s="217"/>
      <c r="R244" s="274">
        <v>32</v>
      </c>
      <c r="S244" s="274">
        <v>172</v>
      </c>
      <c r="T244" s="207">
        <f>IF(CampList[[#This Row],[HH]]&gt;0,CampList[[#This Row],[Total]]/CampList[[#This Row],[HH]],"NA")</f>
        <v>5.375</v>
      </c>
      <c r="U244" s="199" t="s">
        <v>464</v>
      </c>
      <c r="V244" s="199" t="s">
        <v>994</v>
      </c>
      <c r="W244" s="199" t="s">
        <v>507</v>
      </c>
      <c r="X244" s="199" t="s">
        <v>784</v>
      </c>
      <c r="Y244" s="218">
        <v>42036</v>
      </c>
      <c r="Z244" s="209" t="s">
        <v>424</v>
      </c>
      <c r="AA244" s="197" t="s">
        <v>774</v>
      </c>
      <c r="AB244" s="210">
        <v>43405</v>
      </c>
      <c r="AC244" s="211" t="s">
        <v>1913</v>
      </c>
      <c r="AD244" s="199"/>
      <c r="AE244" s="212" t="str">
        <f ca="1">IFERROR(OFFSET(DistanceToCamp[distance],MATCH(CampList[[#This Row],[CP_Pcode]],DistanceToCamp[CP_Pcode],0)-1,0,1,1),"")</f>
        <v/>
      </c>
      <c r="AF244" s="213" t="str">
        <f ca="1">IFERROR(INT(CampList[[#This Row],[Distance]]/5)+1,"")</f>
        <v/>
      </c>
      <c r="AH244" s="605"/>
      <c r="AI244" s="605"/>
    </row>
    <row r="245" spans="2:35" s="185" customFormat="1" ht="15.75" hidden="1" customHeight="1" x14ac:dyDescent="0.25">
      <c r="B245" s="203" t="s">
        <v>775</v>
      </c>
      <c r="C245" s="197" t="s">
        <v>506</v>
      </c>
      <c r="D245" s="197" t="s">
        <v>489</v>
      </c>
      <c r="E245" s="197" t="s">
        <v>230</v>
      </c>
      <c r="F245" s="197" t="s">
        <v>490</v>
      </c>
      <c r="G245" s="197" t="s">
        <v>230</v>
      </c>
      <c r="H245" s="197" t="s">
        <v>491</v>
      </c>
      <c r="I245" s="197" t="s">
        <v>235</v>
      </c>
      <c r="J245" s="197" t="s">
        <v>961</v>
      </c>
      <c r="K245" s="197" t="s">
        <v>235</v>
      </c>
      <c r="L245" s="197"/>
      <c r="M245" s="197" t="s">
        <v>235</v>
      </c>
      <c r="N245" s="197" t="s">
        <v>234</v>
      </c>
      <c r="O245" s="204">
        <v>98.054946000000001</v>
      </c>
      <c r="P245" s="204">
        <v>24.008452999999999</v>
      </c>
      <c r="Q245" s="217">
        <v>3396</v>
      </c>
      <c r="R245" s="182"/>
      <c r="S245" s="292"/>
      <c r="T245" s="207" t="str">
        <f>IF(CampList[[#This Row],[HH]]&gt;0,CampList[[#This Row],[Total]]/CampList[[#This Row],[HH]],"NA")</f>
        <v>NA</v>
      </c>
      <c r="U245" s="199" t="s">
        <v>466</v>
      </c>
      <c r="V245" s="199" t="s">
        <v>994</v>
      </c>
      <c r="W245" s="199" t="s">
        <v>12</v>
      </c>
      <c r="X245" s="199" t="s">
        <v>784</v>
      </c>
      <c r="Y245" s="218"/>
      <c r="Z245" s="209"/>
      <c r="AA245" s="197" t="s">
        <v>522</v>
      </c>
      <c r="AB245" s="210">
        <v>42831</v>
      </c>
      <c r="AC245" s="203" t="s">
        <v>1227</v>
      </c>
      <c r="AD245" s="199" t="str">
        <f ca="1">IFERROR(OFFSET(DistanceToCamp[Nearest Town],MATCH(CampList[[#This Row],[CP_Pcode]],DistanceToCamp[CP_Pcode],0)-1,0,1,1),"")</f>
        <v>Pang Hseng (Kyu Koke) Town</v>
      </c>
      <c r="AE245" s="212">
        <f ca="1">IFERROR(OFFSET(DistanceToCamp[distance],MATCH(CampList[[#This Row],[CP_Pcode]],DistanceToCamp[CP_Pcode],0)-1,0,1,1),"")</f>
        <v>7.490291417449443</v>
      </c>
      <c r="AF245" s="213">
        <f ca="1">IFERROR(INT(CampList[[#This Row],[Distance]]/5)+1,"")</f>
        <v>2</v>
      </c>
      <c r="AH245" s="605"/>
      <c r="AI245" s="605"/>
    </row>
    <row r="246" spans="2:35" s="185" customFormat="1" ht="15.75" customHeight="1" x14ac:dyDescent="0.25">
      <c r="B246" s="203" t="s">
        <v>1740</v>
      </c>
      <c r="C246" s="197" t="s">
        <v>506</v>
      </c>
      <c r="D246" s="197" t="s">
        <v>489</v>
      </c>
      <c r="E246" s="197" t="s">
        <v>494</v>
      </c>
      <c r="F246" s="197" t="s">
        <v>495</v>
      </c>
      <c r="G246" s="197" t="s">
        <v>297</v>
      </c>
      <c r="H246" s="197" t="s">
        <v>503</v>
      </c>
      <c r="I246" s="197" t="s">
        <v>908</v>
      </c>
      <c r="J246" s="216" t="s">
        <v>1137</v>
      </c>
      <c r="K246" s="197" t="s">
        <v>1138</v>
      </c>
      <c r="L246" s="216">
        <v>210455</v>
      </c>
      <c r="M246" s="197" t="s">
        <v>1136</v>
      </c>
      <c r="N246" s="198" t="s">
        <v>1121</v>
      </c>
      <c r="O246" s="204">
        <v>97.358999999999995</v>
      </c>
      <c r="P246" s="204">
        <v>22.765999999999998</v>
      </c>
      <c r="Q246" s="217"/>
      <c r="R246" s="310">
        <v>17</v>
      </c>
      <c r="S246" s="311">
        <v>89</v>
      </c>
      <c r="T246" s="207">
        <f>IF(CampList[[#This Row],[HH]]&gt;0,CampList[[#This Row],[Total]]/CampList[[#This Row],[HH]],"NA")</f>
        <v>5.2352941176470589</v>
      </c>
      <c r="U246" s="183" t="s">
        <v>464</v>
      </c>
      <c r="V246" s="199" t="s">
        <v>994</v>
      </c>
      <c r="W246" s="199" t="s">
        <v>1381</v>
      </c>
      <c r="X246" s="199" t="s">
        <v>784</v>
      </c>
      <c r="Y246" s="218">
        <v>42370</v>
      </c>
      <c r="Z246" s="673" t="s">
        <v>1314</v>
      </c>
      <c r="AA246" s="198" t="s">
        <v>774</v>
      </c>
      <c r="AB246" s="210">
        <v>43312</v>
      </c>
      <c r="AC246" s="203" t="s">
        <v>1759</v>
      </c>
      <c r="AD246" s="199" t="str">
        <f ca="1">IFERROR(OFFSET(DistanceToCamp[Nearest Town],MATCH(CampList[[#This Row],[CP_Pcode]],DistanceToCamp[CP_Pcode],0)-1,0,1,1),"")</f>
        <v/>
      </c>
      <c r="AE246" s="212" t="str">
        <f ca="1">IFERROR(OFFSET(DistanceToCamp[distance],MATCH(CampList[[#This Row],[CP_Pcode]],DistanceToCamp[CP_Pcode],0)-1,0,1,1),"")</f>
        <v/>
      </c>
      <c r="AF246" s="221" t="str">
        <f ca="1">IFERROR(INT(CampList[[#This Row],[Distance]]/5)+1,"")</f>
        <v/>
      </c>
      <c r="AH246" s="605"/>
      <c r="AI246" s="605"/>
    </row>
    <row r="247" spans="2:35" s="185" customFormat="1" ht="15.75" customHeight="1" x14ac:dyDescent="0.25">
      <c r="B247" s="203" t="s">
        <v>1740</v>
      </c>
      <c r="C247" s="197" t="s">
        <v>506</v>
      </c>
      <c r="D247" s="197" t="s">
        <v>489</v>
      </c>
      <c r="E247" s="197" t="s">
        <v>230</v>
      </c>
      <c r="F247" s="197" t="s">
        <v>490</v>
      </c>
      <c r="G247" s="197" t="s">
        <v>288</v>
      </c>
      <c r="H247" s="197" t="s">
        <v>502</v>
      </c>
      <c r="I247" s="197" t="s">
        <v>1140</v>
      </c>
      <c r="J247" s="216" t="s">
        <v>1141</v>
      </c>
      <c r="K247" s="197" t="s">
        <v>1140</v>
      </c>
      <c r="L247" s="216">
        <v>208469</v>
      </c>
      <c r="M247" s="197" t="s">
        <v>1129</v>
      </c>
      <c r="N247" s="198" t="s">
        <v>1124</v>
      </c>
      <c r="O247" s="204">
        <v>97.506</v>
      </c>
      <c r="P247" s="204">
        <v>23.611999999999998</v>
      </c>
      <c r="Q247" s="217"/>
      <c r="R247" s="310">
        <v>62</v>
      </c>
      <c r="S247" s="311">
        <v>328</v>
      </c>
      <c r="T247" s="207">
        <f>IF(CampList[[#This Row],[HH]]&gt;0,CampList[[#This Row],[Total]]/CampList[[#This Row],[HH]],"NA")</f>
        <v>5.290322580645161</v>
      </c>
      <c r="U247" s="183" t="s">
        <v>464</v>
      </c>
      <c r="V247" s="199" t="s">
        <v>994</v>
      </c>
      <c r="W247" s="199" t="s">
        <v>1381</v>
      </c>
      <c r="X247" s="199" t="s">
        <v>784</v>
      </c>
      <c r="Y247" s="218">
        <v>42430</v>
      </c>
      <c r="Z247" s="673" t="s">
        <v>1314</v>
      </c>
      <c r="AA247" s="198" t="s">
        <v>774</v>
      </c>
      <c r="AB247" s="210">
        <v>43312</v>
      </c>
      <c r="AC247" s="203" t="s">
        <v>1760</v>
      </c>
      <c r="AD247" s="199" t="str">
        <f ca="1">IFERROR(OFFSET(DistanceToCamp[Nearest Town],MATCH(CampList[[#This Row],[CP_Pcode]],DistanceToCamp[CP_Pcode],0)-1,0,1,1),"")</f>
        <v/>
      </c>
      <c r="AE247" s="212" t="str">
        <f ca="1">IFERROR(OFFSET(DistanceToCamp[distance],MATCH(CampList[[#This Row],[CP_Pcode]],DistanceToCamp[CP_Pcode],0)-1,0,1,1),"")</f>
        <v/>
      </c>
      <c r="AF247" s="221" t="str">
        <f ca="1">IFERROR(INT(CampList[[#This Row],[Distance]]/5)+1,"")</f>
        <v/>
      </c>
      <c r="AH247" s="605"/>
      <c r="AI247" s="605"/>
    </row>
    <row r="248" spans="2:35" s="185" customFormat="1" ht="15.75" customHeight="1" x14ac:dyDescent="0.25">
      <c r="B248" s="203" t="s">
        <v>1740</v>
      </c>
      <c r="C248" s="197" t="s">
        <v>506</v>
      </c>
      <c r="D248" s="197" t="s">
        <v>489</v>
      </c>
      <c r="E248" s="197" t="s">
        <v>230</v>
      </c>
      <c r="F248" s="197" t="s">
        <v>490</v>
      </c>
      <c r="G248" s="197" t="s">
        <v>146</v>
      </c>
      <c r="H248" s="197" t="s">
        <v>497</v>
      </c>
      <c r="I248" s="224" t="s">
        <v>663</v>
      </c>
      <c r="J248" s="197" t="s">
        <v>1040</v>
      </c>
      <c r="K248" s="224" t="s">
        <v>1116</v>
      </c>
      <c r="L248" s="236"/>
      <c r="M248" s="197" t="s">
        <v>1570</v>
      </c>
      <c r="N248" s="198" t="s">
        <v>1125</v>
      </c>
      <c r="O248" s="204">
        <v>97.810101000000003</v>
      </c>
      <c r="P248" s="204">
        <v>23.682887999999998</v>
      </c>
      <c r="Q248" s="217"/>
      <c r="R248" s="310">
        <v>41</v>
      </c>
      <c r="S248" s="311">
        <v>137</v>
      </c>
      <c r="T248" s="207">
        <f>IF(CampList[[#This Row],[HH]]&gt;0,CampList[[#This Row],[Total]]/CampList[[#This Row],[HH]],"NA")</f>
        <v>3.3414634146341462</v>
      </c>
      <c r="U248" s="183" t="s">
        <v>464</v>
      </c>
      <c r="V248" s="199" t="s">
        <v>994</v>
      </c>
      <c r="W248" s="199" t="s">
        <v>507</v>
      </c>
      <c r="X248" s="199" t="s">
        <v>742</v>
      </c>
      <c r="Y248" s="218">
        <v>42401</v>
      </c>
      <c r="Z248" s="209" t="s">
        <v>1047</v>
      </c>
      <c r="AA248" s="198" t="s">
        <v>774</v>
      </c>
      <c r="AB248" s="210">
        <v>43405</v>
      </c>
      <c r="AC248" s="203" t="s">
        <v>1845</v>
      </c>
      <c r="AD248" s="199" t="str">
        <f ca="1">IFERROR(OFFSET(DistanceToCamp[Nearest Town],MATCH(CampList[[#This Row],[CP_Pcode]],DistanceToCamp[CP_Pcode],0)-1,0,1,1),"")</f>
        <v/>
      </c>
      <c r="AE248" s="212" t="str">
        <f ca="1">IFERROR(OFFSET(DistanceToCamp[distance],MATCH(CampList[[#This Row],[CP_Pcode]],DistanceToCamp[CP_Pcode],0)-1,0,1,1),"")</f>
        <v/>
      </c>
      <c r="AF248" s="221" t="str">
        <f ca="1">IFERROR(INT(CampList[[#This Row],[Distance]]/5)+1,"")</f>
        <v/>
      </c>
      <c r="AH248" s="605"/>
      <c r="AI248" s="605"/>
    </row>
    <row r="249" spans="2:35" s="185" customFormat="1" ht="15.75" hidden="1" customHeight="1" x14ac:dyDescent="0.25">
      <c r="B249" s="203" t="s">
        <v>775</v>
      </c>
      <c r="C249" s="197" t="s">
        <v>506</v>
      </c>
      <c r="D249" s="197" t="s">
        <v>489</v>
      </c>
      <c r="E249" s="197" t="s">
        <v>230</v>
      </c>
      <c r="F249" s="197" t="s">
        <v>495</v>
      </c>
      <c r="G249" s="197" t="s">
        <v>230</v>
      </c>
      <c r="H249" s="197" t="s">
        <v>496</v>
      </c>
      <c r="I249" s="197" t="s">
        <v>920</v>
      </c>
      <c r="J249" s="197" t="s">
        <v>921</v>
      </c>
      <c r="K249" s="197" t="s">
        <v>922</v>
      </c>
      <c r="L249" s="197"/>
      <c r="M249" s="197" t="s">
        <v>169</v>
      </c>
      <c r="N249" s="197" t="s">
        <v>168</v>
      </c>
      <c r="O249" s="204">
        <v>98.116817999999995</v>
      </c>
      <c r="P249" s="204">
        <v>23.917631</v>
      </c>
      <c r="Q249" s="217"/>
      <c r="R249" s="284"/>
      <c r="S249" s="285"/>
      <c r="T249" s="207" t="str">
        <f>IF(CampList[[#This Row],[HH]]&gt;0,CampList[[#This Row],[Total]]/CampList[[#This Row],[HH]],"NA")</f>
        <v>NA</v>
      </c>
      <c r="U249" s="199" t="s">
        <v>464</v>
      </c>
      <c r="V249" s="199" t="s">
        <v>994</v>
      </c>
      <c r="W249" s="199" t="s">
        <v>12</v>
      </c>
      <c r="X249" s="199" t="s">
        <v>784</v>
      </c>
      <c r="Y249" s="218"/>
      <c r="Z249" s="209"/>
      <c r="AA249" s="223" t="s">
        <v>774</v>
      </c>
      <c r="AB249" s="210">
        <v>42831</v>
      </c>
      <c r="AC249" s="203" t="s">
        <v>1226</v>
      </c>
      <c r="AD249" s="199" t="str">
        <f ca="1">IFERROR(OFFSET(DistanceToCamp[Nearest Town],MATCH(CampList[[#This Row],[CP_Pcode]],DistanceToCamp[CP_Pcode],0)-1,0,1,1),"")</f>
        <v>Pang Hseng (Kyu Koke) Town</v>
      </c>
      <c r="AE249" s="212">
        <f ca="1">IFERROR(OFFSET(DistanceToCamp[distance],MATCH(CampList[[#This Row],[CP_Pcode]],DistanceToCamp[CP_Pcode],0)-1,0,1,1),"")</f>
        <v>18.405283544772924</v>
      </c>
      <c r="AF249" s="213">
        <f ca="1">IFERROR(INT(CampList[[#This Row],[Distance]]/5)+1,"")</f>
        <v>4</v>
      </c>
      <c r="AH249" s="605"/>
      <c r="AI249" s="605"/>
    </row>
    <row r="250" spans="2:35" s="185" customFormat="1" ht="15.75" hidden="1" customHeight="1" x14ac:dyDescent="0.25">
      <c r="B250" s="203" t="s">
        <v>775</v>
      </c>
      <c r="C250" s="197" t="s">
        <v>506</v>
      </c>
      <c r="D250" s="197" t="s">
        <v>489</v>
      </c>
      <c r="E250" s="197" t="s">
        <v>230</v>
      </c>
      <c r="F250" s="197" t="s">
        <v>495</v>
      </c>
      <c r="G250" s="197" t="s">
        <v>230</v>
      </c>
      <c r="H250" s="197" t="s">
        <v>496</v>
      </c>
      <c r="I250" s="197" t="s">
        <v>917</v>
      </c>
      <c r="J250" s="197" t="s">
        <v>918</v>
      </c>
      <c r="K250" s="197" t="s">
        <v>919</v>
      </c>
      <c r="L250" s="197">
        <v>208167</v>
      </c>
      <c r="M250" s="197" t="s">
        <v>171</v>
      </c>
      <c r="N250" s="197" t="s">
        <v>170</v>
      </c>
      <c r="O250" s="204">
        <v>98.129380999999995</v>
      </c>
      <c r="P250" s="204">
        <v>23.978088</v>
      </c>
      <c r="Q250" s="217"/>
      <c r="R250" s="284"/>
      <c r="S250" s="285"/>
      <c r="T250" s="207" t="str">
        <f>IF(CampList[[#This Row],[HH]]&gt;0,CampList[[#This Row],[Total]]/CampList[[#This Row],[HH]],"NA")</f>
        <v>NA</v>
      </c>
      <c r="U250" s="199" t="s">
        <v>464</v>
      </c>
      <c r="V250" s="199" t="s">
        <v>994</v>
      </c>
      <c r="W250" s="199" t="s">
        <v>12</v>
      </c>
      <c r="X250" s="199" t="s">
        <v>784</v>
      </c>
      <c r="Y250" s="218"/>
      <c r="Z250" s="209"/>
      <c r="AA250" s="223" t="s">
        <v>774</v>
      </c>
      <c r="AB250" s="210">
        <v>42831</v>
      </c>
      <c r="AC250" s="203" t="s">
        <v>1226</v>
      </c>
      <c r="AD250" s="199" t="str">
        <f ca="1">IFERROR(OFFSET(DistanceToCamp[Nearest Town],MATCH(CampList[[#This Row],[CP_Pcode]],DistanceToCamp[CP_Pcode],0)-1,0,1,1),"")</f>
        <v>Pang Hseng (Kyu Koke) Town</v>
      </c>
      <c r="AE250" s="212">
        <f ca="1">IFERROR(OFFSET(DistanceToCamp[distance],MATCH(CampList[[#This Row],[CP_Pcode]],DistanceToCamp[CP_Pcode],0)-1,0,1,1),"")</f>
        <v>12.794700705104317</v>
      </c>
      <c r="AF250" s="213">
        <f ca="1">IFERROR(INT(CampList[[#This Row],[Distance]]/5)+1,"")</f>
        <v>3</v>
      </c>
      <c r="AH250" s="605"/>
      <c r="AI250" s="605"/>
    </row>
    <row r="251" spans="2:35" s="185" customFormat="1" ht="15.75" hidden="1" customHeight="1" x14ac:dyDescent="0.25">
      <c r="B251" s="203" t="s">
        <v>775</v>
      </c>
      <c r="C251" s="197" t="s">
        <v>506</v>
      </c>
      <c r="D251" s="197" t="s">
        <v>489</v>
      </c>
      <c r="E251" s="197" t="s">
        <v>230</v>
      </c>
      <c r="F251" s="197" t="s">
        <v>490</v>
      </c>
      <c r="G251" s="197" t="s">
        <v>230</v>
      </c>
      <c r="H251" s="197" t="s">
        <v>491</v>
      </c>
      <c r="I251" s="224" t="s">
        <v>753</v>
      </c>
      <c r="J251" s="197" t="s">
        <v>1041</v>
      </c>
      <c r="K251" s="224" t="s">
        <v>754</v>
      </c>
      <c r="L251" s="224"/>
      <c r="M251" s="197" t="s">
        <v>233</v>
      </c>
      <c r="N251" s="197" t="s">
        <v>232</v>
      </c>
      <c r="O251" s="204">
        <v>98.320651999999995</v>
      </c>
      <c r="P251" s="204">
        <v>24.101320999999999</v>
      </c>
      <c r="Q251" s="205">
        <v>2979</v>
      </c>
      <c r="R251" s="284"/>
      <c r="S251" s="285"/>
      <c r="T251" s="207" t="str">
        <f>IF(CampList[[#This Row],[HH]]&gt;0,CampList[[#This Row],[Total]]/CampList[[#This Row],[HH]],"NA")</f>
        <v>NA</v>
      </c>
      <c r="U251" s="199" t="s">
        <v>466</v>
      </c>
      <c r="V251" s="199" t="s">
        <v>994</v>
      </c>
      <c r="W251" s="199" t="s">
        <v>507</v>
      </c>
      <c r="X251" s="199" t="s">
        <v>742</v>
      </c>
      <c r="Y251" s="673">
        <v>41091</v>
      </c>
      <c r="Z251" s="673" t="s">
        <v>424</v>
      </c>
      <c r="AA251" s="223" t="s">
        <v>774</v>
      </c>
      <c r="AB251" s="210">
        <v>42536</v>
      </c>
      <c r="AC251" s="203" t="s">
        <v>1114</v>
      </c>
      <c r="AD251" s="199" t="str">
        <f ca="1">IFERROR(OFFSET(DistanceToCamp[Nearest Town],MATCH(CampList[[#This Row],[CP_Pcode]],DistanceToCamp[CP_Pcode],0)-1,0,1,1),"")</f>
        <v>Monekoe Town</v>
      </c>
      <c r="AE251" s="212">
        <f ca="1">IFERROR(OFFSET(DistanceToCamp[distance],MATCH(CampList[[#This Row],[CP_Pcode]],DistanceToCamp[CP_Pcode],0)-1,0,1,1),"")</f>
        <v>1.789574394782699</v>
      </c>
      <c r="AF251" s="213">
        <f ca="1">IFERROR(INT(CampList[[#This Row],[Distance]]/5)+1,"")</f>
        <v>1</v>
      </c>
      <c r="AH251" s="605"/>
      <c r="AI251" s="605"/>
    </row>
    <row r="252" spans="2:35" s="185" customFormat="1" ht="13.9" customHeight="1" x14ac:dyDescent="0.25">
      <c r="B252" s="203" t="s">
        <v>1740</v>
      </c>
      <c r="C252" s="197" t="s">
        <v>506</v>
      </c>
      <c r="D252" s="197" t="s">
        <v>489</v>
      </c>
      <c r="E252" s="197" t="s">
        <v>230</v>
      </c>
      <c r="F252" s="197" t="s">
        <v>490</v>
      </c>
      <c r="G252" s="197" t="s">
        <v>146</v>
      </c>
      <c r="H252" s="197" t="s">
        <v>497</v>
      </c>
      <c r="I252" s="197" t="s">
        <v>1146</v>
      </c>
      <c r="J252" s="216"/>
      <c r="K252" s="197" t="s">
        <v>1147</v>
      </c>
      <c r="L252" s="197"/>
      <c r="M252" s="197" t="s">
        <v>1145</v>
      </c>
      <c r="N252" s="198" t="s">
        <v>1127</v>
      </c>
      <c r="O252" s="204">
        <v>98.337999999999994</v>
      </c>
      <c r="P252" s="204">
        <v>23.850999999999999</v>
      </c>
      <c r="Q252" s="217"/>
      <c r="R252" s="310">
        <v>30</v>
      </c>
      <c r="S252" s="311">
        <v>170</v>
      </c>
      <c r="T252" s="207">
        <f>IF(CampList[[#This Row],[HH]]&gt;0,CampList[[#This Row],[Total]]/CampList[[#This Row],[HH]],"NA")</f>
        <v>5.666666666666667</v>
      </c>
      <c r="U252" s="183" t="s">
        <v>464</v>
      </c>
      <c r="V252" s="199" t="s">
        <v>994</v>
      </c>
      <c r="W252" s="199" t="s">
        <v>1381</v>
      </c>
      <c r="X252" s="199" t="s">
        <v>784</v>
      </c>
      <c r="Y252" s="218">
        <v>42401</v>
      </c>
      <c r="Z252" s="208" t="s">
        <v>1314</v>
      </c>
      <c r="AA252" s="198" t="s">
        <v>774</v>
      </c>
      <c r="AB252" s="210">
        <v>43256</v>
      </c>
      <c r="AC252" s="203" t="s">
        <v>1709</v>
      </c>
      <c r="AD252" s="199" t="str">
        <f ca="1">IFERROR(OFFSET(DistanceToCamp[Nearest Town],MATCH(CampList[[#This Row],[CP_Pcode]],DistanceToCamp[CP_Pcode],0)-1,0,1,1),"")</f>
        <v/>
      </c>
      <c r="AE252" s="212" t="str">
        <f ca="1">IFERROR(OFFSET(DistanceToCamp[distance],MATCH(CampList[[#This Row],[CP_Pcode]],DistanceToCamp[CP_Pcode],0)-1,0,1,1),"")</f>
        <v/>
      </c>
      <c r="AF252" s="221" t="str">
        <f ca="1">IFERROR(INT(CampList[[#This Row],[Distance]]/5)+1,"")</f>
        <v/>
      </c>
      <c r="AH252" s="605"/>
      <c r="AI252" s="605"/>
    </row>
    <row r="253" spans="2:35" s="185" customFormat="1" ht="13.9" hidden="1" customHeight="1" x14ac:dyDescent="0.25">
      <c r="B253" s="203" t="s">
        <v>775</v>
      </c>
      <c r="C253" s="197" t="s">
        <v>506</v>
      </c>
      <c r="D253" s="197" t="s">
        <v>489</v>
      </c>
      <c r="E253" s="197" t="s">
        <v>230</v>
      </c>
      <c r="F253" s="197" t="s">
        <v>490</v>
      </c>
      <c r="G253" s="197" t="s">
        <v>146</v>
      </c>
      <c r="H253" s="197" t="s">
        <v>497</v>
      </c>
      <c r="I253" s="224" t="s">
        <v>706</v>
      </c>
      <c r="J253" s="197" t="s">
        <v>707</v>
      </c>
      <c r="K253" s="224" t="s">
        <v>708</v>
      </c>
      <c r="L253" s="224">
        <v>208557</v>
      </c>
      <c r="M253" s="197" t="s">
        <v>370</v>
      </c>
      <c r="N253" s="197" t="s">
        <v>380</v>
      </c>
      <c r="O253" s="204">
        <v>97.848529999999997</v>
      </c>
      <c r="P253" s="204">
        <v>23.4008</v>
      </c>
      <c r="Q253" s="205">
        <v>0</v>
      </c>
      <c r="R253" s="183"/>
      <c r="S253" s="183"/>
      <c r="T253" s="207" t="str">
        <f>IF(CampList[[#This Row],[HH]]&gt;0,CampList[[#This Row],[Total]]/CampList[[#This Row],[HH]],"NA")</f>
        <v>NA</v>
      </c>
      <c r="U253" s="199" t="s">
        <v>464</v>
      </c>
      <c r="V253" s="199" t="s">
        <v>994</v>
      </c>
      <c r="W253" s="199" t="s">
        <v>507</v>
      </c>
      <c r="X253" s="199" t="s">
        <v>784</v>
      </c>
      <c r="Y253" s="673">
        <v>41275</v>
      </c>
      <c r="Z253" s="673" t="s">
        <v>424</v>
      </c>
      <c r="AA253" s="223" t="s">
        <v>774</v>
      </c>
      <c r="AB253" s="210">
        <v>42852</v>
      </c>
      <c r="AC253" s="203" t="s">
        <v>1235</v>
      </c>
      <c r="AD253" s="199" t="str">
        <f ca="1">IFERROR(OFFSET(DistanceToCamp[Nearest Town],MATCH(CampList[[#This Row],[CP_Pcode]],DistanceToCamp[CP_Pcode],0)-1,0,1,1),"")</f>
        <v>Kutkai Town</v>
      </c>
      <c r="AE253" s="212">
        <f ca="1">IFERROR(OFFSET(DistanceToCamp[distance],MATCH(CampList[[#This Row],[CP_Pcode]],DistanceToCamp[CP_Pcode],0)-1,0,1,1),"")</f>
        <v>11.65743881259678</v>
      </c>
      <c r="AF253" s="213">
        <f ca="1">IFERROR(INT(CampList[[#This Row],[Distance]]/5)+1,"")</f>
        <v>3</v>
      </c>
      <c r="AH253" s="605"/>
      <c r="AI253" s="605"/>
    </row>
    <row r="254" spans="2:35" s="185" customFormat="1" ht="13.9" customHeight="1" x14ac:dyDescent="0.25">
      <c r="B254" s="203" t="s">
        <v>1740</v>
      </c>
      <c r="C254" s="197" t="s">
        <v>506</v>
      </c>
      <c r="D254" s="197" t="s">
        <v>489</v>
      </c>
      <c r="E254" s="197" t="s">
        <v>494</v>
      </c>
      <c r="F254" s="197" t="s">
        <v>495</v>
      </c>
      <c r="G254" s="197" t="s">
        <v>297</v>
      </c>
      <c r="H254" s="197" t="s">
        <v>503</v>
      </c>
      <c r="I254" s="272" t="s">
        <v>755</v>
      </c>
      <c r="J254" s="273" t="s">
        <v>756</v>
      </c>
      <c r="K254" s="272" t="s">
        <v>757</v>
      </c>
      <c r="L254" s="272" t="s">
        <v>758</v>
      </c>
      <c r="M254" s="197" t="s">
        <v>1190</v>
      </c>
      <c r="N254" s="198" t="s">
        <v>1172</v>
      </c>
      <c r="O254" s="274"/>
      <c r="P254" s="274"/>
      <c r="Q254" s="275"/>
      <c r="R254" s="234">
        <v>41</v>
      </c>
      <c r="S254" s="234">
        <v>210</v>
      </c>
      <c r="T254" s="276">
        <f>IF(CampList[[#This Row],[HH]]&gt;0,CampList[[#This Row],[Total]]/CampList[[#This Row],[HH]],"NA")</f>
        <v>5.1219512195121952</v>
      </c>
      <c r="U254" s="183" t="s">
        <v>464</v>
      </c>
      <c r="V254" s="277" t="s">
        <v>994</v>
      </c>
      <c r="W254" s="183" t="s">
        <v>507</v>
      </c>
      <c r="X254" s="182" t="s">
        <v>742</v>
      </c>
      <c r="Y254" s="278"/>
      <c r="Z254" s="217" t="s">
        <v>1047</v>
      </c>
      <c r="AA254" s="272" t="s">
        <v>774</v>
      </c>
      <c r="AB254" s="210">
        <v>43405</v>
      </c>
      <c r="AC254" s="280" t="s">
        <v>1846</v>
      </c>
      <c r="AD254" s="281" t="str">
        <f ca="1">IFERROR(OFFSET(DistanceToCamp[Nearest Town],MATCH(CampList[[#This Row],[CP_Pcode]],DistanceToCamp[CP_Pcode],0)-1,0,1,1),"")</f>
        <v/>
      </c>
      <c r="AE254" s="282" t="str">
        <f ca="1">IFERROR(OFFSET(DistanceToCamp[distance],MATCH(CampList[[#This Row],[CP_Pcode]],DistanceToCamp[CP_Pcode],0)-1,0,1,1),"")</f>
        <v/>
      </c>
      <c r="AF254" s="283" t="str">
        <f ca="1">IFERROR(INT(CampList[[#This Row],[Distance]]/5)+1,"")</f>
        <v/>
      </c>
      <c r="AH254" s="605"/>
      <c r="AI254" s="605"/>
    </row>
    <row r="255" spans="2:35" ht="13.9" customHeight="1" x14ac:dyDescent="0.25">
      <c r="B255" s="203" t="s">
        <v>1740</v>
      </c>
      <c r="C255" s="197" t="s">
        <v>506</v>
      </c>
      <c r="D255" s="197" t="s">
        <v>489</v>
      </c>
      <c r="E255" s="197" t="s">
        <v>494</v>
      </c>
      <c r="F255" s="197" t="s">
        <v>495</v>
      </c>
      <c r="G255" s="197" t="s">
        <v>1199</v>
      </c>
      <c r="H255" s="197" t="s">
        <v>1200</v>
      </c>
      <c r="I255" s="272" t="s">
        <v>1215</v>
      </c>
      <c r="J255" s="273" t="s">
        <v>1216</v>
      </c>
      <c r="K255" s="272" t="s">
        <v>1214</v>
      </c>
      <c r="L255" s="272">
        <v>209986</v>
      </c>
      <c r="M255" s="174" t="s">
        <v>1196</v>
      </c>
      <c r="N255" s="198" t="s">
        <v>1184</v>
      </c>
      <c r="O255" s="274">
        <v>97.314762999999999</v>
      </c>
      <c r="P255" s="274">
        <v>22.677008000000001</v>
      </c>
      <c r="Q255" s="275"/>
      <c r="R255" s="274">
        <v>37</v>
      </c>
      <c r="S255" s="607">
        <v>120</v>
      </c>
      <c r="T255" s="276">
        <f>IF(CampList[[#This Row],[HH]]&gt;0,CampList[[#This Row],[Total]]/CampList[[#This Row],[HH]],"NA")</f>
        <v>3.2432432432432434</v>
      </c>
      <c r="U255" s="183" t="s">
        <v>464</v>
      </c>
      <c r="V255" s="277" t="s">
        <v>994</v>
      </c>
      <c r="W255" s="199" t="s">
        <v>1381</v>
      </c>
      <c r="X255" s="182" t="s">
        <v>784</v>
      </c>
      <c r="Y255" s="278"/>
      <c r="Z255" s="673" t="s">
        <v>1314</v>
      </c>
      <c r="AA255" s="272" t="s">
        <v>774</v>
      </c>
      <c r="AB255" s="279">
        <v>43256</v>
      </c>
      <c r="AC255" s="280" t="s">
        <v>1710</v>
      </c>
      <c r="AD255" s="281" t="str">
        <f ca="1">IFERROR(OFFSET(DistanceToCamp[Nearest Town],MATCH(CampList[[#This Row],[CP_Pcode]],DistanceToCamp[CP_Pcode],0)-1,0,1,1),"")</f>
        <v/>
      </c>
      <c r="AE255" s="282" t="str">
        <f ca="1">IFERROR(OFFSET(DistanceToCamp[distance],MATCH(CampList[[#This Row],[CP_Pcode]],DistanceToCamp[CP_Pcode],0)-1,0,1,1),"")</f>
        <v/>
      </c>
      <c r="AF255" s="283" t="str">
        <f ca="1">IFERROR(INT(CampList[[#This Row],[Distance]]/5)+1,"")</f>
        <v/>
      </c>
    </row>
    <row r="256" spans="2:35" ht="13.9" customHeight="1" x14ac:dyDescent="0.25">
      <c r="B256" s="203" t="s">
        <v>1740</v>
      </c>
      <c r="C256" s="197" t="s">
        <v>506</v>
      </c>
      <c r="D256" s="197" t="s">
        <v>489</v>
      </c>
      <c r="E256" s="197" t="s">
        <v>230</v>
      </c>
      <c r="F256" s="197" t="s">
        <v>490</v>
      </c>
      <c r="G256" s="197" t="s">
        <v>146</v>
      </c>
      <c r="H256" s="197" t="s">
        <v>497</v>
      </c>
      <c r="I256" s="198" t="s">
        <v>669</v>
      </c>
      <c r="J256" s="216" t="s">
        <v>670</v>
      </c>
      <c r="K256" s="198" t="s">
        <v>1229</v>
      </c>
      <c r="L256" s="198" t="s">
        <v>1228</v>
      </c>
      <c r="M256" s="174" t="s">
        <v>1231</v>
      </c>
      <c r="N256" s="198" t="s">
        <v>1230</v>
      </c>
      <c r="O256" s="206">
        <v>97.947360000000003</v>
      </c>
      <c r="P256" s="206">
        <v>23.460349999999998</v>
      </c>
      <c r="Q256" s="217"/>
      <c r="R256" s="206">
        <v>37</v>
      </c>
      <c r="S256" s="206">
        <v>161</v>
      </c>
      <c r="T256" s="207">
        <f>IF(CampList[[#This Row],[HH]]&gt;0,CampList[[#This Row],[Total]]/CampList[[#This Row],[HH]],"NA")</f>
        <v>4.3513513513513518</v>
      </c>
      <c r="U256" s="199" t="s">
        <v>464</v>
      </c>
      <c r="V256" s="199" t="s">
        <v>994</v>
      </c>
      <c r="W256" s="199" t="s">
        <v>507</v>
      </c>
      <c r="X256" s="199" t="s">
        <v>742</v>
      </c>
      <c r="Y256" s="218">
        <v>42724</v>
      </c>
      <c r="Z256" s="217" t="s">
        <v>424</v>
      </c>
      <c r="AA256" s="198" t="s">
        <v>774</v>
      </c>
      <c r="AB256" s="210">
        <v>43405</v>
      </c>
      <c r="AC256" s="219" t="s">
        <v>1914</v>
      </c>
      <c r="AD256" s="220" t="str">
        <f ca="1">IFERROR(OFFSET(DistanceToCamp[Nearest Town],MATCH(CampList[[#This Row],[CP_Pcode]],DistanceToCamp[CP_Pcode],0)-1,0,1,1),"")</f>
        <v/>
      </c>
      <c r="AE256" s="212" t="str">
        <f ca="1">IFERROR(OFFSET(DistanceToCamp[distance],MATCH(CampList[[#This Row],[CP_Pcode]],DistanceToCamp[CP_Pcode],0)-1,0,1,1),"")</f>
        <v/>
      </c>
      <c r="AF256" s="221" t="str">
        <f ca="1">IFERROR(INT(CampList[[#This Row],[Distance]]/5)+1,"")</f>
        <v/>
      </c>
    </row>
    <row r="257" spans="2:32" ht="13.9" hidden="1" customHeight="1" x14ac:dyDescent="0.25">
      <c r="B257" s="203" t="s">
        <v>775</v>
      </c>
      <c r="C257" s="197" t="s">
        <v>506</v>
      </c>
      <c r="D257" s="197" t="s">
        <v>489</v>
      </c>
      <c r="E257" s="197" t="s">
        <v>230</v>
      </c>
      <c r="F257" s="197" t="s">
        <v>490</v>
      </c>
      <c r="G257" s="197" t="s">
        <v>146</v>
      </c>
      <c r="H257" s="197" t="s">
        <v>497</v>
      </c>
      <c r="I257" s="197" t="s">
        <v>725</v>
      </c>
      <c r="J257" s="197" t="s">
        <v>726</v>
      </c>
      <c r="K257" s="224" t="s">
        <v>727</v>
      </c>
      <c r="L257" s="224"/>
      <c r="M257" s="197" t="s">
        <v>365</v>
      </c>
      <c r="N257" s="197" t="s">
        <v>384</v>
      </c>
      <c r="O257" s="204">
        <v>98.213958000000005</v>
      </c>
      <c r="P257" s="204">
        <v>23.391741</v>
      </c>
      <c r="Q257" s="205">
        <v>0</v>
      </c>
      <c r="R257" s="284">
        <v>0</v>
      </c>
      <c r="S257" s="285">
        <v>0</v>
      </c>
      <c r="T257" s="207" t="str">
        <f>IF(CampList[[#This Row],[HH]]&gt;0,CampList[[#This Row],[Total]]/CampList[[#This Row],[HH]],"NA")</f>
        <v>NA</v>
      </c>
      <c r="U257" s="199" t="s">
        <v>464</v>
      </c>
      <c r="V257" s="199" t="s">
        <v>994</v>
      </c>
      <c r="W257" s="199" t="s">
        <v>507</v>
      </c>
      <c r="X257" s="199" t="s">
        <v>784</v>
      </c>
      <c r="Y257" s="673">
        <v>40787</v>
      </c>
      <c r="Z257" s="673"/>
      <c r="AA257" s="223" t="s">
        <v>774</v>
      </c>
      <c r="AB257" s="210">
        <v>41701</v>
      </c>
      <c r="AC257" s="203" t="s">
        <v>870</v>
      </c>
      <c r="AD257" s="199" t="str">
        <f ca="1">IFERROR(OFFSET(DistanceToCamp[Nearest Town],MATCH(CampList[[#This Row],[CP_Pcode]],DistanceToCamp[CP_Pcode],0)-1,0,1,1),"")</f>
        <v/>
      </c>
      <c r="AE257" s="212" t="str">
        <f ca="1">IFERROR(OFFSET(DistanceToCamp[distance],MATCH(CampList[[#This Row],[CP_Pcode]],DistanceToCamp[CP_Pcode],0)-1,0,1,1),"")</f>
        <v/>
      </c>
      <c r="AF257" s="213" t="str">
        <f ca="1">IFERROR(INT(CampList[[#This Row],[Distance]]/5)+1,"")</f>
        <v/>
      </c>
    </row>
    <row r="258" spans="2:32" ht="15.75" customHeight="1" x14ac:dyDescent="0.25">
      <c r="B258" s="203" t="s">
        <v>1740</v>
      </c>
      <c r="C258" s="197" t="s">
        <v>506</v>
      </c>
      <c r="D258" s="197" t="s">
        <v>489</v>
      </c>
      <c r="E258" s="197" t="s">
        <v>230</v>
      </c>
      <c r="F258" s="197" t="s">
        <v>490</v>
      </c>
      <c r="G258" s="197" t="s">
        <v>146</v>
      </c>
      <c r="H258" s="197" t="s">
        <v>497</v>
      </c>
      <c r="I258" s="272" t="s">
        <v>1240</v>
      </c>
      <c r="J258" s="273" t="s">
        <v>1241</v>
      </c>
      <c r="K258" s="272" t="s">
        <v>1238</v>
      </c>
      <c r="L258" s="272">
        <v>208530</v>
      </c>
      <c r="M258" s="272" t="s">
        <v>1238</v>
      </c>
      <c r="N258" s="198" t="s">
        <v>1239</v>
      </c>
      <c r="O258" s="274"/>
      <c r="P258" s="274"/>
      <c r="Q258" s="275"/>
      <c r="R258" s="274">
        <v>24</v>
      </c>
      <c r="S258" s="275">
        <v>84</v>
      </c>
      <c r="T258" s="207">
        <f>IF(CampList[[#This Row],[HH]]&gt;0,CampList[[#This Row],[Total]]/CampList[[#This Row],[HH]],"NA")</f>
        <v>3.5</v>
      </c>
      <c r="U258" s="199" t="s">
        <v>464</v>
      </c>
      <c r="V258" s="199" t="s">
        <v>994</v>
      </c>
      <c r="W258" s="199" t="s">
        <v>1381</v>
      </c>
      <c r="X258" s="182" t="s">
        <v>784</v>
      </c>
      <c r="Y258" s="278"/>
      <c r="Z258" s="673" t="s">
        <v>1314</v>
      </c>
      <c r="AA258" s="272" t="s">
        <v>774</v>
      </c>
      <c r="AB258" s="279">
        <v>43256</v>
      </c>
      <c r="AC258" s="294" t="s">
        <v>1711</v>
      </c>
      <c r="AD258" s="281" t="str">
        <f ca="1">IFERROR(OFFSET(DistanceToCamp[Nearest Town],MATCH(CampList[[#This Row],[CP_Pcode]],DistanceToCamp[CP_Pcode],0)-1,0,1,1),"")</f>
        <v/>
      </c>
      <c r="AE258" s="282" t="str">
        <f ca="1">IFERROR(OFFSET(DistanceToCamp[distance],MATCH(CampList[[#This Row],[CP_Pcode]],DistanceToCamp[CP_Pcode],0)-1,0,1,1),"")</f>
        <v/>
      </c>
      <c r="AF258" s="283" t="str">
        <f ca="1">IFERROR(INT(CampList[[#This Row],[Distance]]/5)+1,"")</f>
        <v/>
      </c>
    </row>
    <row r="259" spans="2:32" ht="15.75" hidden="1" customHeight="1" x14ac:dyDescent="0.25">
      <c r="B259" s="203" t="s">
        <v>775</v>
      </c>
      <c r="C259" s="197" t="s">
        <v>506</v>
      </c>
      <c r="D259" s="197" t="s">
        <v>489</v>
      </c>
      <c r="E259" s="197" t="s">
        <v>230</v>
      </c>
      <c r="F259" s="197" t="s">
        <v>490</v>
      </c>
      <c r="G259" s="197" t="s">
        <v>230</v>
      </c>
      <c r="H259" s="197" t="s">
        <v>491</v>
      </c>
      <c r="I259" s="197" t="s">
        <v>716</v>
      </c>
      <c r="J259" s="197" t="s">
        <v>715</v>
      </c>
      <c r="K259" s="197" t="s">
        <v>716</v>
      </c>
      <c r="L259" s="216">
        <v>208156</v>
      </c>
      <c r="M259" s="197" t="s">
        <v>231</v>
      </c>
      <c r="N259" s="197" t="s">
        <v>386</v>
      </c>
      <c r="O259" s="204">
        <v>98.115809999999996</v>
      </c>
      <c r="P259" s="204">
        <v>24.08738</v>
      </c>
      <c r="Q259" s="217"/>
      <c r="R259" s="310">
        <v>32</v>
      </c>
      <c r="S259" s="311">
        <v>187</v>
      </c>
      <c r="T259" s="207">
        <f>IF(CampList[[#This Row],[HH]]&gt;0,CampList[[#This Row],[Total]]/CampList[[#This Row],[HH]],"NA")</f>
        <v>5.84375</v>
      </c>
      <c r="U259" s="199" t="s">
        <v>464</v>
      </c>
      <c r="V259" s="199" t="s">
        <v>994</v>
      </c>
      <c r="W259" s="199" t="s">
        <v>12</v>
      </c>
      <c r="X259" s="199" t="s">
        <v>784</v>
      </c>
      <c r="Y259" s="218"/>
      <c r="Z259" s="209"/>
      <c r="AA259" s="223" t="s">
        <v>522</v>
      </c>
      <c r="AB259" s="210">
        <v>42888</v>
      </c>
      <c r="AC259" s="203" t="s">
        <v>1689</v>
      </c>
      <c r="AD259" s="199" t="str">
        <f ca="1">IFERROR(OFFSET(DistanceToCamp[Nearest Town],MATCH(CampList[[#This Row],[CP_Pcode]],DistanceToCamp[CP_Pcode],0)-1,0,1,1),"")</f>
        <v>Pang Hseng (Kyu Koke) Town</v>
      </c>
      <c r="AE259" s="212">
        <f ca="1">IFERROR(OFFSET(DistanceToCamp[distance],MATCH(CampList[[#This Row],[CP_Pcode]],DistanceToCamp[CP_Pcode],0)-1,0,1,1),"")</f>
        <v>5.5919136174199959</v>
      </c>
      <c r="AF259" s="213">
        <f ca="1">IFERROR(INT(CampList[[#This Row],[Distance]]/5)+1,"")</f>
        <v>2</v>
      </c>
    </row>
    <row r="260" spans="2:32" ht="15.75" hidden="1" customHeight="1" x14ac:dyDescent="0.25">
      <c r="B260" s="203" t="s">
        <v>775</v>
      </c>
      <c r="C260" s="197" t="s">
        <v>506</v>
      </c>
      <c r="D260" s="197" t="s">
        <v>489</v>
      </c>
      <c r="E260" s="197" t="s">
        <v>230</v>
      </c>
      <c r="F260" s="197" t="s">
        <v>490</v>
      </c>
      <c r="G260" s="197" t="s">
        <v>288</v>
      </c>
      <c r="H260" s="197" t="s">
        <v>502</v>
      </c>
      <c r="I260" s="197" t="s">
        <v>691</v>
      </c>
      <c r="J260" s="197" t="s">
        <v>692</v>
      </c>
      <c r="K260" s="197" t="s">
        <v>691</v>
      </c>
      <c r="L260" s="197">
        <v>208353</v>
      </c>
      <c r="M260" s="197" t="s">
        <v>373</v>
      </c>
      <c r="N260" s="197" t="s">
        <v>387</v>
      </c>
      <c r="O260" s="204">
        <v>97.678299999999993</v>
      </c>
      <c r="P260" s="204">
        <v>23.82152</v>
      </c>
      <c r="Q260" s="217">
        <v>813.4</v>
      </c>
      <c r="R260" s="284">
        <v>0</v>
      </c>
      <c r="S260" s="285">
        <v>0</v>
      </c>
      <c r="T260" s="207" t="str">
        <f>IF(CampList[[#This Row],[HH]]&gt;0,CampList[[#This Row],[Total]]/CampList[[#This Row],[HH]],"NA")</f>
        <v>NA</v>
      </c>
      <c r="U260" s="199" t="s">
        <v>466</v>
      </c>
      <c r="V260" s="199" t="s">
        <v>994</v>
      </c>
      <c r="W260" s="199" t="s">
        <v>507</v>
      </c>
      <c r="X260" s="199"/>
      <c r="Y260" s="218"/>
      <c r="Z260" s="673" t="s">
        <v>934</v>
      </c>
      <c r="AA260" s="223" t="s">
        <v>774</v>
      </c>
      <c r="AB260" s="210">
        <v>41712</v>
      </c>
      <c r="AC260" s="203" t="s">
        <v>877</v>
      </c>
      <c r="AD260" s="199" t="str">
        <f ca="1">IFERROR(OFFSET(DistanceToCamp[Nearest Town],MATCH(CampList[[#This Row],[CP_Pcode]],DistanceToCamp[CP_Pcode],0)-1,0,1,1),"")</f>
        <v/>
      </c>
      <c r="AE260" s="212" t="str">
        <f ca="1">IFERROR(OFFSET(DistanceToCamp[distance],MATCH(CampList[[#This Row],[CP_Pcode]],DistanceToCamp[CP_Pcode],0)-1,0,1,1),"")</f>
        <v/>
      </c>
      <c r="AF260" s="213" t="str">
        <f ca="1">IFERROR(INT(CampList[[#This Row],[Distance]]/5)+1,"")</f>
        <v/>
      </c>
    </row>
    <row r="261" spans="2:32" ht="15.75" hidden="1" customHeight="1" x14ac:dyDescent="0.25">
      <c r="B261" s="203" t="s">
        <v>775</v>
      </c>
      <c r="C261" s="197" t="s">
        <v>506</v>
      </c>
      <c r="D261" s="197" t="s">
        <v>489</v>
      </c>
      <c r="E261" s="197" t="s">
        <v>230</v>
      </c>
      <c r="F261" s="197" t="s">
        <v>490</v>
      </c>
      <c r="G261" s="197" t="s">
        <v>230</v>
      </c>
      <c r="H261" s="197" t="s">
        <v>491</v>
      </c>
      <c r="I261" s="197" t="s">
        <v>880</v>
      </c>
      <c r="J261" s="197" t="s">
        <v>879</v>
      </c>
      <c r="K261" s="197" t="s">
        <v>881</v>
      </c>
      <c r="L261" s="216">
        <v>208182</v>
      </c>
      <c r="M261" s="197" t="s">
        <v>359</v>
      </c>
      <c r="N261" s="197" t="s">
        <v>771</v>
      </c>
      <c r="O261" s="204">
        <v>98.139397000000002</v>
      </c>
      <c r="P261" s="204">
        <v>23.933098999999999</v>
      </c>
      <c r="Q261" s="205">
        <v>0</v>
      </c>
      <c r="R261" s="310">
        <v>9</v>
      </c>
      <c r="S261" s="311">
        <v>44</v>
      </c>
      <c r="T261" s="207">
        <f>IF(CampList[[#This Row],[HH]]&gt;0,CampList[[#This Row],[Total]]/CampList[[#This Row],[HH]],"NA")</f>
        <v>4.8888888888888893</v>
      </c>
      <c r="U261" s="199" t="s">
        <v>466</v>
      </c>
      <c r="V261" s="199" t="s">
        <v>994</v>
      </c>
      <c r="W261" s="199" t="s">
        <v>1381</v>
      </c>
      <c r="X261" s="199" t="s">
        <v>784</v>
      </c>
      <c r="Y261" s="673">
        <v>40787</v>
      </c>
      <c r="Z261" s="673"/>
      <c r="AA261" s="223" t="s">
        <v>774</v>
      </c>
      <c r="AB261" s="210">
        <v>42888</v>
      </c>
      <c r="AC261" s="203" t="s">
        <v>1528</v>
      </c>
      <c r="AD261" s="199" t="str">
        <f ca="1">IFERROR(OFFSET(DistanceToCamp[Nearest Town],MATCH(CampList[[#This Row],[CP_Pcode]],DistanceToCamp[CP_Pcode],0)-1,0,1,1),"")</f>
        <v/>
      </c>
      <c r="AE261" s="212" t="str">
        <f ca="1">IFERROR(OFFSET(DistanceToCamp[distance],MATCH(CampList[[#This Row],[CP_Pcode]],DistanceToCamp[CP_Pcode],0)-1,0,1,1),"")</f>
        <v/>
      </c>
      <c r="AF261" s="213" t="str">
        <f ca="1">IFERROR(INT(CampList[[#This Row],[Distance]]/5)+1,"")</f>
        <v/>
      </c>
    </row>
    <row r="262" spans="2:32" ht="15.75" hidden="1" customHeight="1" x14ac:dyDescent="0.25">
      <c r="B262" s="203" t="s">
        <v>775</v>
      </c>
      <c r="C262" s="197" t="s">
        <v>506</v>
      </c>
      <c r="D262" s="197" t="s">
        <v>489</v>
      </c>
      <c r="E262" s="197" t="s">
        <v>717</v>
      </c>
      <c r="F262" s="197" t="s">
        <v>718</v>
      </c>
      <c r="G262" s="197" t="s">
        <v>719</v>
      </c>
      <c r="H262" s="197" t="s">
        <v>720</v>
      </c>
      <c r="I262" s="197" t="s">
        <v>721</v>
      </c>
      <c r="J262" s="197" t="s">
        <v>722</v>
      </c>
      <c r="K262" s="197" t="s">
        <v>721</v>
      </c>
      <c r="L262" s="197">
        <v>206422</v>
      </c>
      <c r="M262" s="197" t="s">
        <v>535</v>
      </c>
      <c r="N262" s="197" t="s">
        <v>772</v>
      </c>
      <c r="O262" s="204">
        <v>98.352670000000003</v>
      </c>
      <c r="P262" s="204">
        <v>23.372409999999999</v>
      </c>
      <c r="Q262" s="205">
        <v>617.6</v>
      </c>
      <c r="R262" s="205">
        <v>67</v>
      </c>
      <c r="S262" s="217">
        <v>392</v>
      </c>
      <c r="T262" s="207">
        <f>IF(CampList[[#This Row],[HH]]&gt;0,CampList[[#This Row],[Total]]/CampList[[#This Row],[HH]],"NA")</f>
        <v>5.8507462686567164</v>
      </c>
      <c r="U262" s="199" t="s">
        <v>466</v>
      </c>
      <c r="V262" s="199" t="s">
        <v>994</v>
      </c>
      <c r="W262" s="199" t="s">
        <v>12</v>
      </c>
      <c r="X262" s="199" t="s">
        <v>784</v>
      </c>
      <c r="Y262" s="673">
        <v>41365</v>
      </c>
      <c r="Z262" s="673" t="s">
        <v>1314</v>
      </c>
      <c r="AA262" s="197" t="s">
        <v>774</v>
      </c>
      <c r="AB262" s="522">
        <v>43226</v>
      </c>
      <c r="AC262" s="211" t="s">
        <v>1756</v>
      </c>
      <c r="AD262" s="199" t="str">
        <f ca="1">IFERROR(OFFSET(DistanceToCamp[Nearest Town],MATCH(CampList[[#This Row],[CP_Pcode]],DistanceToCamp[CP_Pcode],0)-1,0,1,1),"")</f>
        <v>Kunlong Town</v>
      </c>
      <c r="AE262" s="212">
        <f ca="1">IFERROR(OFFSET(DistanceToCamp[distance],MATCH(CampList[[#This Row],[CP_Pcode]],DistanceToCamp[CP_Pcode],0)-1,0,1,1),"")</f>
        <v>30.037709702375544</v>
      </c>
      <c r="AF262" s="213">
        <f ca="1">IFERROR(INT(CampList[[#This Row],[Distance]]/5)+1,"")</f>
        <v>7</v>
      </c>
    </row>
    <row r="263" spans="2:32" ht="15.75" customHeight="1" x14ac:dyDescent="0.25">
      <c r="B263" s="203" t="s">
        <v>1740</v>
      </c>
      <c r="C263" s="197" t="s">
        <v>506</v>
      </c>
      <c r="D263" s="197" t="s">
        <v>489</v>
      </c>
      <c r="E263" s="197" t="s">
        <v>230</v>
      </c>
      <c r="F263" s="197" t="s">
        <v>490</v>
      </c>
      <c r="G263" s="197" t="s">
        <v>230</v>
      </c>
      <c r="H263" s="197" t="s">
        <v>491</v>
      </c>
      <c r="I263" s="197" t="s">
        <v>714</v>
      </c>
      <c r="J263" s="273" t="s">
        <v>715</v>
      </c>
      <c r="K263" s="272" t="s">
        <v>716</v>
      </c>
      <c r="L263" s="272">
        <v>208156</v>
      </c>
      <c r="M263" s="272" t="s">
        <v>716</v>
      </c>
      <c r="N263" s="198" t="s">
        <v>1242</v>
      </c>
      <c r="O263" s="204">
        <v>98.115809999999996</v>
      </c>
      <c r="P263" s="204">
        <v>24.08738</v>
      </c>
      <c r="Q263" s="275"/>
      <c r="R263" s="274">
        <v>153</v>
      </c>
      <c r="S263" s="275">
        <v>785</v>
      </c>
      <c r="T263" s="207">
        <f>IF(CampList[[#This Row],[HH]]&gt;0,CampList[[#This Row],[Total]]/CampList[[#This Row],[HH]],"NA")</f>
        <v>5.1307189542483664</v>
      </c>
      <c r="U263" s="199" t="s">
        <v>464</v>
      </c>
      <c r="V263" s="199" t="s">
        <v>994</v>
      </c>
      <c r="W263" s="199" t="s">
        <v>507</v>
      </c>
      <c r="X263" s="182" t="s">
        <v>784</v>
      </c>
      <c r="Y263" s="278"/>
      <c r="Z263" s="275" t="s">
        <v>424</v>
      </c>
      <c r="AA263" s="272" t="s">
        <v>774</v>
      </c>
      <c r="AB263" s="210">
        <v>43405</v>
      </c>
      <c r="AC263" s="294" t="s">
        <v>1914</v>
      </c>
      <c r="AD263" s="281" t="str">
        <f ca="1">IFERROR(OFFSET(DistanceToCamp[Nearest Town],MATCH(CampList[[#This Row],[CP_Pcode]],DistanceToCamp[CP_Pcode],0)-1,0,1,1),"")</f>
        <v/>
      </c>
      <c r="AE263" s="282" t="str">
        <f ca="1">IFERROR(OFFSET(DistanceToCamp[distance],MATCH(CampList[[#This Row],[CP_Pcode]],DistanceToCamp[CP_Pcode],0)-1,0,1,1),"")</f>
        <v/>
      </c>
      <c r="AF263" s="283" t="str">
        <f ca="1">IFERROR(INT(CampList[[#This Row],[Distance]]/5)+1,"")</f>
        <v/>
      </c>
    </row>
    <row r="264" spans="2:32" ht="15.75" hidden="1" customHeight="1" x14ac:dyDescent="0.25">
      <c r="B264" s="203" t="s">
        <v>775</v>
      </c>
      <c r="C264" s="197" t="s">
        <v>506</v>
      </c>
      <c r="D264" s="197" t="s">
        <v>489</v>
      </c>
      <c r="E264" s="197" t="s">
        <v>494</v>
      </c>
      <c r="F264" s="197" t="s">
        <v>495</v>
      </c>
      <c r="G264" s="197" t="s">
        <v>297</v>
      </c>
      <c r="H264" s="197" t="s">
        <v>503</v>
      </c>
      <c r="I264" s="224" t="s">
        <v>755</v>
      </c>
      <c r="J264" s="197" t="s">
        <v>756</v>
      </c>
      <c r="K264" s="224" t="s">
        <v>757</v>
      </c>
      <c r="L264" s="224" t="s">
        <v>758</v>
      </c>
      <c r="M264" s="197" t="s">
        <v>534</v>
      </c>
      <c r="N264" s="197" t="s">
        <v>762</v>
      </c>
      <c r="O264" s="204">
        <v>97.398989</v>
      </c>
      <c r="P264" s="204">
        <v>23.088058</v>
      </c>
      <c r="Q264" s="205">
        <v>1948</v>
      </c>
      <c r="R264" s="310">
        <v>118</v>
      </c>
      <c r="S264" s="311">
        <v>520</v>
      </c>
      <c r="T264" s="207">
        <f>IF(CampList[[#This Row],[HH]]&gt;0,CampList[[#This Row],[Total]]/CampList[[#This Row],[HH]],"NA")</f>
        <v>4.406779661016949</v>
      </c>
      <c r="U264" s="199" t="s">
        <v>464</v>
      </c>
      <c r="V264" s="199" t="s">
        <v>994</v>
      </c>
      <c r="W264" s="199" t="s">
        <v>12</v>
      </c>
      <c r="X264" s="199" t="s">
        <v>742</v>
      </c>
      <c r="Y264" s="673"/>
      <c r="Z264" s="673"/>
      <c r="AA264" s="223" t="s">
        <v>774</v>
      </c>
      <c r="AB264" s="210">
        <v>41883</v>
      </c>
      <c r="AC264" s="203" t="s">
        <v>1385</v>
      </c>
      <c r="AD264" s="199" t="str">
        <f ca="1">IFERROR(OFFSET(DistanceToCamp[Nearest Town],MATCH(CampList[[#This Row],[CP_Pcode]],DistanceToCamp[CP_Pcode],0)-1,0,1,1),"")</f>
        <v>Namtu Town</v>
      </c>
      <c r="AE264" s="212">
        <f ca="1">IFERROR(OFFSET(DistanceToCamp[distance],MATCH(CampList[[#This Row],[CP_Pcode]],DistanceToCamp[CP_Pcode],0)-1,0,1,1),"")</f>
        <v>0.63626694856259092</v>
      </c>
      <c r="AF264" s="213">
        <f ca="1">IFERROR(INT(CampList[[#This Row],[Distance]]/5)+1,"")</f>
        <v>1</v>
      </c>
    </row>
    <row r="265" spans="2:32" ht="15.75" hidden="1" customHeight="1" x14ac:dyDescent="0.25">
      <c r="B265" s="203" t="s">
        <v>775</v>
      </c>
      <c r="C265" s="197" t="s">
        <v>506</v>
      </c>
      <c r="D265" s="197" t="s">
        <v>489</v>
      </c>
      <c r="E265" s="197" t="s">
        <v>230</v>
      </c>
      <c r="F265" s="197" t="s">
        <v>490</v>
      </c>
      <c r="G265" s="197" t="s">
        <v>146</v>
      </c>
      <c r="H265" s="197" t="s">
        <v>497</v>
      </c>
      <c r="I265" s="197" t="s">
        <v>836</v>
      </c>
      <c r="J265" s="197"/>
      <c r="K265" s="197" t="s">
        <v>836</v>
      </c>
      <c r="L265" s="197"/>
      <c r="M265" s="197" t="s">
        <v>837</v>
      </c>
      <c r="N265" s="197" t="s">
        <v>838</v>
      </c>
      <c r="O265" s="206"/>
      <c r="P265" s="206"/>
      <c r="Q265" s="217"/>
      <c r="R265" s="284">
        <v>0</v>
      </c>
      <c r="S265" s="285">
        <v>0</v>
      </c>
      <c r="T265" s="207" t="str">
        <f>IF(CampList[[#This Row],[HH]]&gt;0,CampList[[#This Row],[Total]]/CampList[[#This Row],[HH]],"NA")</f>
        <v>NA</v>
      </c>
      <c r="U265" s="199" t="s">
        <v>466</v>
      </c>
      <c r="V265" s="199" t="s">
        <v>994</v>
      </c>
      <c r="W265" s="199" t="s">
        <v>507</v>
      </c>
      <c r="X265" s="199" t="s">
        <v>784</v>
      </c>
      <c r="Y265" s="218"/>
      <c r="Z265" s="209"/>
      <c r="AA265" s="197" t="s">
        <v>774</v>
      </c>
      <c r="AB265" s="210">
        <v>41289</v>
      </c>
      <c r="AC265" s="211" t="s">
        <v>841</v>
      </c>
      <c r="AD265" s="199" t="str">
        <f ca="1">IFERROR(OFFSET(DistanceToCamp[Nearest Town],MATCH(CampList[[#This Row],[CP_Pcode]],DistanceToCamp[CP_Pcode],0)-1,0,1,1),"")</f>
        <v/>
      </c>
      <c r="AE265" s="212" t="str">
        <f ca="1">IFERROR(OFFSET(DistanceToCamp[distance],MATCH(CampList[[#This Row],[CP_Pcode]],DistanceToCamp[CP_Pcode],0)-1,0,1,1),"")</f>
        <v/>
      </c>
      <c r="AF265" s="213" t="str">
        <f ca="1">IFERROR(INT(CampList[[#This Row],[Distance]]/5)+1,"")</f>
        <v/>
      </c>
    </row>
    <row r="266" spans="2:32" ht="15.75" customHeight="1" x14ac:dyDescent="0.25">
      <c r="B266" s="203" t="s">
        <v>1740</v>
      </c>
      <c r="C266" s="197" t="s">
        <v>506</v>
      </c>
      <c r="D266" s="197" t="s">
        <v>489</v>
      </c>
      <c r="E266" s="197" t="s">
        <v>230</v>
      </c>
      <c r="F266" s="197" t="s">
        <v>490</v>
      </c>
      <c r="G266" s="197" t="s">
        <v>146</v>
      </c>
      <c r="H266" s="197" t="s">
        <v>497</v>
      </c>
      <c r="I266" s="197" t="s">
        <v>836</v>
      </c>
      <c r="J266" s="197"/>
      <c r="K266" s="197" t="s">
        <v>836</v>
      </c>
      <c r="L266" s="197"/>
      <c r="M266" s="197" t="s">
        <v>1934</v>
      </c>
      <c r="N266" s="197" t="s">
        <v>840</v>
      </c>
      <c r="O266" s="206"/>
      <c r="P266" s="206"/>
      <c r="Q266" s="217"/>
      <c r="R266" s="284">
        <v>86</v>
      </c>
      <c r="S266" s="285">
        <v>525</v>
      </c>
      <c r="T266" s="207">
        <f>IF(CampList[[#This Row],[HH]]&gt;0,CampList[[#This Row],[Total]]/CampList[[#This Row],[HH]],"NA")</f>
        <v>6.1046511627906979</v>
      </c>
      <c r="U266" s="199" t="s">
        <v>464</v>
      </c>
      <c r="V266" s="199" t="s">
        <v>994</v>
      </c>
      <c r="W266" s="199" t="s">
        <v>1571</v>
      </c>
      <c r="X266" s="199" t="s">
        <v>784</v>
      </c>
      <c r="Y266" s="218"/>
      <c r="Z266" s="209" t="s">
        <v>1314</v>
      </c>
      <c r="AA266" s="197" t="s">
        <v>774</v>
      </c>
      <c r="AB266" s="210">
        <v>43405</v>
      </c>
      <c r="AC266" s="211" t="s">
        <v>1929</v>
      </c>
      <c r="AD266" s="199" t="str">
        <f ca="1">IFERROR(OFFSET(DistanceToCamp[Nearest Town],MATCH(CampList[[#This Row],[CP_Pcode]],DistanceToCamp[CP_Pcode],0)-1,0,1,1),"")</f>
        <v/>
      </c>
      <c r="AE266" s="212" t="str">
        <f ca="1">IFERROR(OFFSET(DistanceToCamp[distance],MATCH(CampList[[#This Row],[CP_Pcode]],DistanceToCamp[CP_Pcode],0)-1,0,1,1),"")</f>
        <v/>
      </c>
      <c r="AF266" s="213" t="str">
        <f ca="1">IFERROR(INT(CampList[[#This Row],[Distance]]/5)+1,"")</f>
        <v/>
      </c>
    </row>
    <row r="267" spans="2:32" ht="15.75" customHeight="1" x14ac:dyDescent="0.25">
      <c r="B267" s="203" t="s">
        <v>1740</v>
      </c>
      <c r="C267" s="197" t="s">
        <v>506</v>
      </c>
      <c r="D267" s="197" t="s">
        <v>489</v>
      </c>
      <c r="E267" s="197" t="s">
        <v>494</v>
      </c>
      <c r="F267" s="197" t="s">
        <v>495</v>
      </c>
      <c r="G267" s="197" t="s">
        <v>297</v>
      </c>
      <c r="H267" s="197" t="s">
        <v>503</v>
      </c>
      <c r="I267" s="272" t="s">
        <v>755</v>
      </c>
      <c r="J267" s="273" t="s">
        <v>756</v>
      </c>
      <c r="K267" s="272" t="s">
        <v>757</v>
      </c>
      <c r="L267" s="272" t="s">
        <v>758</v>
      </c>
      <c r="M267" s="272" t="s">
        <v>1275</v>
      </c>
      <c r="N267" s="198" t="s">
        <v>1274</v>
      </c>
      <c r="O267" s="274">
        <v>97.400671000000003</v>
      </c>
      <c r="P267" s="274">
        <v>23.099304</v>
      </c>
      <c r="Q267" s="275"/>
      <c r="R267" s="605">
        <v>61</v>
      </c>
      <c r="S267" s="605">
        <v>283</v>
      </c>
      <c r="T267" s="276">
        <f>IF(CampList[[#This Row],[HH]]&gt;0,CampList[[#This Row],[Total]]/CampList[[#This Row],[HH]],"NA")</f>
        <v>4.639344262295082</v>
      </c>
      <c r="U267" s="183" t="s">
        <v>464</v>
      </c>
      <c r="V267" s="277" t="s">
        <v>994</v>
      </c>
      <c r="W267" s="183" t="s">
        <v>507</v>
      </c>
      <c r="X267" s="182" t="s">
        <v>742</v>
      </c>
      <c r="Y267" s="278">
        <v>42781</v>
      </c>
      <c r="Z267" s="217" t="s">
        <v>1047</v>
      </c>
      <c r="AA267" s="272" t="s">
        <v>774</v>
      </c>
      <c r="AB267" s="210">
        <v>43405</v>
      </c>
      <c r="AC267" s="280" t="s">
        <v>1846</v>
      </c>
      <c r="AD267" s="281" t="str">
        <f ca="1">IFERROR(OFFSET(DistanceToCamp[Nearest Town],MATCH(CampList[[#This Row],[CP_Pcode]],DistanceToCamp[CP_Pcode],0)-1,0,1,1),"")</f>
        <v/>
      </c>
      <c r="AE267" s="282" t="str">
        <f ca="1">IFERROR(OFFSET(DistanceToCamp[distance],MATCH(CampList[[#This Row],[CP_Pcode]],DistanceToCamp[CP_Pcode],0)-1,0,1,1),"")</f>
        <v/>
      </c>
      <c r="AF267" s="283" t="str">
        <f ca="1">IFERROR(INT(CampList[[#This Row],[Distance]]/5)+1,"")</f>
        <v/>
      </c>
    </row>
    <row r="268" spans="2:32" ht="15.75" customHeight="1" x14ac:dyDescent="0.25">
      <c r="B268" s="203" t="s">
        <v>1740</v>
      </c>
      <c r="C268" s="197" t="s">
        <v>506</v>
      </c>
      <c r="D268" s="197"/>
      <c r="E268" s="197" t="s">
        <v>230</v>
      </c>
      <c r="F268" s="197"/>
      <c r="G268" s="197" t="s">
        <v>146</v>
      </c>
      <c r="H268" s="197"/>
      <c r="I268" s="197" t="s">
        <v>1529</v>
      </c>
      <c r="J268" s="273"/>
      <c r="K268" s="272" t="s">
        <v>1529</v>
      </c>
      <c r="L268" s="272"/>
      <c r="M268" s="272" t="s">
        <v>1529</v>
      </c>
      <c r="N268" s="198" t="s">
        <v>1546</v>
      </c>
      <c r="O268" s="204"/>
      <c r="P268" s="204"/>
      <c r="Q268" s="275"/>
      <c r="R268" s="182">
        <v>35</v>
      </c>
      <c r="S268" s="292">
        <v>189</v>
      </c>
      <c r="T268" s="207">
        <f>IF(CampList[[#This Row],[HH]]&gt;0,CampList[[#This Row],[Total]]/CampList[[#This Row],[HH]],"NA")</f>
        <v>5.4</v>
      </c>
      <c r="U268" s="199" t="s">
        <v>464</v>
      </c>
      <c r="V268" s="199" t="s">
        <v>994</v>
      </c>
      <c r="W268" s="199" t="s">
        <v>1381</v>
      </c>
      <c r="X268" s="182" t="s">
        <v>784</v>
      </c>
      <c r="Y268" s="278">
        <v>42370</v>
      </c>
      <c r="Z268" s="673" t="s">
        <v>1314</v>
      </c>
      <c r="AA268" s="272" t="s">
        <v>774</v>
      </c>
      <c r="AB268" s="210">
        <v>43343</v>
      </c>
      <c r="AC268" s="294" t="s">
        <v>1775</v>
      </c>
      <c r="AD268" s="281" t="str">
        <f ca="1">IFERROR(OFFSET(DistanceToCamp[Nearest Town],MATCH(CampList[[#This Row],[CP_Pcode]],DistanceToCamp[CP_Pcode],0)-1,0,1,1),"")</f>
        <v/>
      </c>
      <c r="AE268" s="282" t="str">
        <f ca="1">IFERROR(OFFSET(DistanceToCamp[distance],MATCH(CampList[[#This Row],[CP_Pcode]],DistanceToCamp[CP_Pcode],0)-1,0,1,1),"")</f>
        <v/>
      </c>
      <c r="AF268" s="283" t="str">
        <f ca="1">IFERROR(INT(CampList[[#This Row],[Distance]]/5)+1,"")</f>
        <v/>
      </c>
    </row>
    <row r="269" spans="2:32" ht="15.75" hidden="1" customHeight="1" x14ac:dyDescent="0.25">
      <c r="B269" s="729"/>
      <c r="C269" s="198"/>
      <c r="D269" s="198"/>
      <c r="E269" s="198"/>
      <c r="F269" s="198"/>
      <c r="G269" s="198"/>
      <c r="H269" s="198"/>
      <c r="I269" s="198"/>
      <c r="J269" s="216"/>
      <c r="K269" s="198"/>
      <c r="L269" s="198"/>
      <c r="M269" s="198"/>
      <c r="N269" s="198"/>
      <c r="O269" s="206"/>
      <c r="P269" s="206"/>
      <c r="Q269" s="217"/>
      <c r="R269" s="182"/>
      <c r="S269" s="292"/>
      <c r="T269" s="207" t="str">
        <f>IF(CampList[[#This Row],[HH]]&gt;0,CampList[[#This Row],[Total]]/CampList[[#This Row],[HH]],"NA")</f>
        <v>NA</v>
      </c>
      <c r="U269" s="183"/>
      <c r="V269" s="199"/>
      <c r="W269" s="183"/>
      <c r="X269" s="183"/>
      <c r="Y269" s="730"/>
      <c r="Z269" s="217"/>
      <c r="AA269" s="198"/>
      <c r="AB269" s="210"/>
      <c r="AC269" s="219"/>
      <c r="AD269" s="220" t="str">
        <f ca="1">IFERROR(OFFSET(DistanceToCamp[Nearest Town],MATCH(CampList[[#This Row],[CP_Pcode]],DistanceToCamp[CP_Pcode],0)-1,0,1,1),"")</f>
        <v/>
      </c>
      <c r="AE269" s="212" t="str">
        <f ca="1">IFERROR(OFFSET(DistanceToCamp[distance],MATCH(CampList[[#This Row],[CP_Pcode]],DistanceToCamp[CP_Pcode],0)-1,0,1,1),"")</f>
        <v/>
      </c>
      <c r="AF269" s="221" t="str">
        <f ca="1">IFERROR(INT(CampList[[#This Row],[Distance]]/5)+1,"")</f>
        <v/>
      </c>
    </row>
    <row r="270" spans="2:32" ht="15.75" customHeight="1" x14ac:dyDescent="0.25">
      <c r="B270" s="203" t="s">
        <v>1740</v>
      </c>
      <c r="C270" s="197" t="s">
        <v>378</v>
      </c>
      <c r="D270" s="197" t="s">
        <v>478</v>
      </c>
      <c r="E270" s="197" t="s">
        <v>237</v>
      </c>
      <c r="F270" s="197" t="s">
        <v>484</v>
      </c>
      <c r="G270" s="197" t="s">
        <v>237</v>
      </c>
      <c r="H270" s="197" t="s">
        <v>488</v>
      </c>
      <c r="I270" s="211" t="s">
        <v>611</v>
      </c>
      <c r="J270" s="211" t="s">
        <v>612</v>
      </c>
      <c r="K270" s="211" t="s">
        <v>627</v>
      </c>
      <c r="L270" s="211" t="s">
        <v>628</v>
      </c>
      <c r="M270" s="197" t="s">
        <v>240</v>
      </c>
      <c r="N270" s="197" t="s">
        <v>239</v>
      </c>
      <c r="O270" s="204">
        <v>97.409035000000003</v>
      </c>
      <c r="P270" s="204">
        <v>25.362420757575801</v>
      </c>
      <c r="Q270" s="205">
        <v>0</v>
      </c>
      <c r="R270" s="274">
        <v>107</v>
      </c>
      <c r="S270" s="274">
        <v>561</v>
      </c>
      <c r="T270" s="207">
        <f>IF(CampList[[#This Row],[HH]]&gt;0,CampList[[#This Row],[Total]]/CampList[[#This Row],[HH]],"NA")</f>
        <v>5.2429906542056077</v>
      </c>
      <c r="U270" s="199" t="s">
        <v>464</v>
      </c>
      <c r="V270" s="199" t="s">
        <v>994</v>
      </c>
      <c r="W270" s="199" t="s">
        <v>507</v>
      </c>
      <c r="X270" s="199" t="s">
        <v>742</v>
      </c>
      <c r="Y270" s="312">
        <v>40603</v>
      </c>
      <c r="Z270" s="673" t="s">
        <v>424</v>
      </c>
      <c r="AA270" s="223" t="s">
        <v>774</v>
      </c>
      <c r="AB270" s="210">
        <v>43405</v>
      </c>
      <c r="AC270" s="203" t="s">
        <v>1915</v>
      </c>
      <c r="AD270" s="199" t="str">
        <f ca="1">IFERROR(OFFSET(DistanceToCamp[Nearest Town],MATCH(CampList[[#This Row],[CP_Pcode]],DistanceToCamp[CP_Pcode],0)-1,0,1,1),"")</f>
        <v>Myitkyina Town</v>
      </c>
      <c r="AE270" s="212">
        <f ca="1">IFERROR(OFFSET(DistanceToCamp[distance],MATCH(CampList[[#This Row],[CP_Pcode]],DistanceToCamp[CP_Pcode],0)-1,0,1,1),"")</f>
        <v>3.3602711423118103</v>
      </c>
      <c r="AF270" s="213">
        <f ca="1">IFERROR(INT(CampList[[#This Row],[Distance]]/5)+1,"")</f>
        <v>1</v>
      </c>
    </row>
    <row r="271" spans="2:32" ht="15.75" customHeight="1" x14ac:dyDescent="0.25">
      <c r="B271" s="203" t="s">
        <v>1740</v>
      </c>
      <c r="C271" s="197" t="s">
        <v>378</v>
      </c>
      <c r="D271" s="197" t="s">
        <v>478</v>
      </c>
      <c r="E271" s="197" t="s">
        <v>237</v>
      </c>
      <c r="F271" s="197" t="s">
        <v>484</v>
      </c>
      <c r="G271" s="197" t="s">
        <v>309</v>
      </c>
      <c r="H271" s="197" t="s">
        <v>485</v>
      </c>
      <c r="I271" s="197" t="s">
        <v>633</v>
      </c>
      <c r="J271" s="197" t="s">
        <v>634</v>
      </c>
      <c r="K271" s="197" t="s">
        <v>633</v>
      </c>
      <c r="L271" s="197">
        <v>165740</v>
      </c>
      <c r="M271" s="197" t="s">
        <v>325</v>
      </c>
      <c r="N271" s="197" t="s">
        <v>324</v>
      </c>
      <c r="O271" s="204">
        <v>97.426536944444507</v>
      </c>
      <c r="P271" s="204">
        <v>25.409612685185198</v>
      </c>
      <c r="Q271" s="205">
        <v>0</v>
      </c>
      <c r="R271" s="274">
        <v>52</v>
      </c>
      <c r="S271" s="274">
        <v>235</v>
      </c>
      <c r="T271" s="207">
        <f>IF(CampList[[#This Row],[HH]]&gt;0,CampList[[#This Row],[Total]]/CampList[[#This Row],[HH]],"NA")</f>
        <v>4.5192307692307692</v>
      </c>
      <c r="U271" s="199" t="s">
        <v>464</v>
      </c>
      <c r="V271" s="199" t="s">
        <v>994</v>
      </c>
      <c r="W271" s="199" t="s">
        <v>507</v>
      </c>
      <c r="X271" s="199" t="s">
        <v>742</v>
      </c>
      <c r="Y271" s="312">
        <v>40878</v>
      </c>
      <c r="Z271" s="673" t="s">
        <v>424</v>
      </c>
      <c r="AA271" s="223" t="s">
        <v>774</v>
      </c>
      <c r="AB271" s="210">
        <v>43405</v>
      </c>
      <c r="AC271" s="203" t="s">
        <v>1916</v>
      </c>
      <c r="AD271" s="199" t="str">
        <f ca="1">IFERROR(OFFSET(DistanceToCamp[Nearest Town],MATCH(CampList[[#This Row],[CP_Pcode]],DistanceToCamp[CP_Pcode],0)-1,0,1,1),"")</f>
        <v>Myitkyina Town</v>
      </c>
      <c r="AE271" s="212">
        <f ca="1">IFERROR(OFFSET(DistanceToCamp[distance],MATCH(CampList[[#This Row],[CP_Pcode]],DistanceToCamp[CP_Pcode],0)-1,0,1,1),"")</f>
        <v>4.3887485673235673</v>
      </c>
      <c r="AF271" s="213">
        <f ca="1">IFERROR(INT(CampList[[#This Row],[Distance]]/5)+1,"")</f>
        <v>1</v>
      </c>
    </row>
    <row r="272" spans="2:32" ht="15.75" customHeight="1" x14ac:dyDescent="0.25">
      <c r="B272" s="203" t="s">
        <v>1740</v>
      </c>
      <c r="C272" s="197" t="s">
        <v>378</v>
      </c>
      <c r="D272" s="197" t="s">
        <v>478</v>
      </c>
      <c r="E272" s="197" t="s">
        <v>237</v>
      </c>
      <c r="F272" s="197" t="s">
        <v>484</v>
      </c>
      <c r="G272" s="197" t="s">
        <v>309</v>
      </c>
      <c r="H272" s="197" t="s">
        <v>485</v>
      </c>
      <c r="I272" s="197" t="s">
        <v>633</v>
      </c>
      <c r="J272" s="197" t="s">
        <v>634</v>
      </c>
      <c r="K272" s="197" t="s">
        <v>633</v>
      </c>
      <c r="L272" s="197">
        <v>165740</v>
      </c>
      <c r="M272" s="197" t="s">
        <v>323</v>
      </c>
      <c r="N272" s="197" t="s">
        <v>322</v>
      </c>
      <c r="O272" s="204">
        <v>97.434855869565197</v>
      </c>
      <c r="P272" s="204">
        <v>25.4118005797101</v>
      </c>
      <c r="Q272" s="205">
        <v>0</v>
      </c>
      <c r="R272" s="274">
        <v>506</v>
      </c>
      <c r="S272" s="274">
        <v>2702</v>
      </c>
      <c r="T272" s="207">
        <f>IF(CampList[[#This Row],[HH]]&gt;0,CampList[[#This Row],[Total]]/CampList[[#This Row],[HH]],"NA")</f>
        <v>5.3399209486166006</v>
      </c>
      <c r="U272" s="199" t="s">
        <v>464</v>
      </c>
      <c r="V272" s="199" t="s">
        <v>994</v>
      </c>
      <c r="W272" s="199" t="s">
        <v>507</v>
      </c>
      <c r="X272" s="199" t="s">
        <v>784</v>
      </c>
      <c r="Y272" s="312">
        <v>41061</v>
      </c>
      <c r="Z272" s="673" t="s">
        <v>424</v>
      </c>
      <c r="AA272" s="223" t="s">
        <v>774</v>
      </c>
      <c r="AB272" s="210">
        <v>43405</v>
      </c>
      <c r="AC272" s="203" t="s">
        <v>1917</v>
      </c>
      <c r="AD272" s="199" t="str">
        <f ca="1">IFERROR(OFFSET(DistanceToCamp[Nearest Town],MATCH(CampList[[#This Row],[CP_Pcode]],DistanceToCamp[CP_Pcode],0)-1,0,1,1),"")</f>
        <v>Myitkyina Town</v>
      </c>
      <c r="AE272" s="212">
        <f ca="1">IFERROR(OFFSET(DistanceToCamp[distance],MATCH(CampList[[#This Row],[CP_Pcode]],DistanceToCamp[CP_Pcode],0)-1,0,1,1),"")</f>
        <v>5.2238983299151851</v>
      </c>
      <c r="AF272" s="213">
        <f ca="1">IFERROR(INT(CampList[[#This Row],[Distance]]/5)+1,"")</f>
        <v>2</v>
      </c>
    </row>
    <row r="273" spans="1:35" ht="15.75" customHeight="1" x14ac:dyDescent="0.25">
      <c r="B273" s="203" t="s">
        <v>1740</v>
      </c>
      <c r="C273" s="197" t="s">
        <v>378</v>
      </c>
      <c r="D273" s="197" t="s">
        <v>478</v>
      </c>
      <c r="E273" s="197" t="s">
        <v>237</v>
      </c>
      <c r="F273" s="197" t="s">
        <v>484</v>
      </c>
      <c r="G273" s="197" t="s">
        <v>309</v>
      </c>
      <c r="H273" s="197" t="s">
        <v>485</v>
      </c>
      <c r="I273" s="197" t="s">
        <v>711</v>
      </c>
      <c r="J273" s="197" t="s">
        <v>712</v>
      </c>
      <c r="K273" s="197" t="s">
        <v>713</v>
      </c>
      <c r="L273" s="197">
        <v>165845</v>
      </c>
      <c r="M273" s="197" t="s">
        <v>345</v>
      </c>
      <c r="N273" s="197" t="s">
        <v>344</v>
      </c>
      <c r="O273" s="204">
        <v>98.025662999999994</v>
      </c>
      <c r="P273" s="204">
        <v>25.418084</v>
      </c>
      <c r="Q273" s="205"/>
      <c r="R273" s="274">
        <v>183</v>
      </c>
      <c r="S273" s="274">
        <v>1041</v>
      </c>
      <c r="T273" s="207">
        <f>IF(CampList[[#This Row],[HH]]&gt;0,CampList[[#This Row],[Total]]/CampList[[#This Row],[HH]],"NA")</f>
        <v>5.6885245901639347</v>
      </c>
      <c r="U273" s="199" t="s">
        <v>464</v>
      </c>
      <c r="V273" s="199" t="s">
        <v>994</v>
      </c>
      <c r="W273" s="199" t="s">
        <v>507</v>
      </c>
      <c r="X273" s="199" t="s">
        <v>784</v>
      </c>
      <c r="Y273" s="312">
        <v>40848</v>
      </c>
      <c r="Z273" s="673" t="s">
        <v>424</v>
      </c>
      <c r="AA273" s="197" t="s">
        <v>774</v>
      </c>
      <c r="AB273" s="210">
        <v>43405</v>
      </c>
      <c r="AC273" s="211" t="s">
        <v>1918</v>
      </c>
      <c r="AD273" s="199" t="str">
        <f ca="1">IFERROR(OFFSET(DistanceToCamp[Nearest Town],MATCH(CampList[[#This Row],[CP_Pcode]],DistanceToCamp[CP_Pcode],0)-1,0,1,1),"")</f>
        <v>Kan Paik Ti Town</v>
      </c>
      <c r="AE273" s="212">
        <f ca="1">IFERROR(OFFSET(DistanceToCamp[distance],MATCH(CampList[[#This Row],[CP_Pcode]],DistanceToCamp[CP_Pcode],0)-1,0,1,1),"")</f>
        <v>9.3609732231189877</v>
      </c>
      <c r="AF273" s="213">
        <f ca="1">IFERROR(INT(CampList[[#This Row],[Distance]]/5)+1,"")</f>
        <v>2</v>
      </c>
    </row>
    <row r="274" spans="1:35" ht="15.75" customHeight="1" x14ac:dyDescent="0.25">
      <c r="B274" s="203" t="s">
        <v>1740</v>
      </c>
      <c r="C274" s="197" t="s">
        <v>378</v>
      </c>
      <c r="D274" s="197" t="s">
        <v>478</v>
      </c>
      <c r="E274" s="197" t="s">
        <v>237</v>
      </c>
      <c r="F274" s="197" t="s">
        <v>484</v>
      </c>
      <c r="G274" s="197" t="s">
        <v>27</v>
      </c>
      <c r="H274" s="197" t="s">
        <v>487</v>
      </c>
      <c r="I274" s="211" t="s">
        <v>733</v>
      </c>
      <c r="J274" s="211" t="s">
        <v>734</v>
      </c>
      <c r="K274" s="211" t="s">
        <v>735</v>
      </c>
      <c r="L274" s="211">
        <v>166355</v>
      </c>
      <c r="M274" s="197" t="s">
        <v>362</v>
      </c>
      <c r="N274" s="197" t="s">
        <v>29</v>
      </c>
      <c r="O274" s="204">
        <v>98.475719999999995</v>
      </c>
      <c r="P274" s="204">
        <v>25.754110000000001</v>
      </c>
      <c r="Q274" s="205">
        <v>2785</v>
      </c>
      <c r="R274" s="274">
        <v>163</v>
      </c>
      <c r="S274" s="274">
        <v>962</v>
      </c>
      <c r="T274" s="207">
        <f>IF(CampList[[#This Row],[HH]]&gt;0,CampList[[#This Row],[Total]]/CampList[[#This Row],[HH]],"NA")</f>
        <v>5.9018404907975457</v>
      </c>
      <c r="U274" s="199" t="s">
        <v>466</v>
      </c>
      <c r="V274" s="199" t="s">
        <v>994</v>
      </c>
      <c r="W274" s="199" t="s">
        <v>507</v>
      </c>
      <c r="X274" s="199" t="s">
        <v>785</v>
      </c>
      <c r="Y274" s="312">
        <v>41030</v>
      </c>
      <c r="Z274" s="673" t="s">
        <v>424</v>
      </c>
      <c r="AA274" s="223" t="s">
        <v>774</v>
      </c>
      <c r="AB274" s="210">
        <v>43405</v>
      </c>
      <c r="AC274" s="203" t="s">
        <v>1919</v>
      </c>
      <c r="AD274" s="199" t="str">
        <f ca="1">IFERROR(OFFSET(DistanceToCamp[Nearest Town],MATCH(CampList[[#This Row],[CP_Pcode]],DistanceToCamp[CP_Pcode],0)-1,0,1,1),"")</f>
        <v>Pang War Town</v>
      </c>
      <c r="AE274" s="212">
        <f ca="1">IFERROR(OFFSET(DistanceToCamp[distance],MATCH(CampList[[#This Row],[CP_Pcode]],DistanceToCamp[CP_Pcode],0)-1,0,1,1),"")</f>
        <v>19.834999342466848</v>
      </c>
      <c r="AF274" s="213">
        <f ca="1">IFERROR(INT(CampList[[#This Row],[Distance]]/5)+1,"")</f>
        <v>4</v>
      </c>
    </row>
    <row r="275" spans="1:35" ht="15.75" customHeight="1" x14ac:dyDescent="0.25">
      <c r="B275" s="203" t="s">
        <v>1740</v>
      </c>
      <c r="C275" s="197" t="s">
        <v>506</v>
      </c>
      <c r="D275" s="197" t="s">
        <v>489</v>
      </c>
      <c r="E275" s="197" t="s">
        <v>230</v>
      </c>
      <c r="F275" s="198" t="s">
        <v>490</v>
      </c>
      <c r="G275" s="198" t="s">
        <v>146</v>
      </c>
      <c r="H275" s="198" t="s">
        <v>497</v>
      </c>
      <c r="I275" s="239" t="s">
        <v>706</v>
      </c>
      <c r="J275" s="216" t="s">
        <v>707</v>
      </c>
      <c r="K275" s="197"/>
      <c r="L275" s="197"/>
      <c r="M275" s="239" t="s">
        <v>1081</v>
      </c>
      <c r="N275" s="197" t="s">
        <v>1082</v>
      </c>
      <c r="O275" s="234">
        <v>97.868876999999998</v>
      </c>
      <c r="P275" s="234">
        <v>23.447111</v>
      </c>
      <c r="Q275" s="217"/>
      <c r="R275" s="205">
        <v>103</v>
      </c>
      <c r="S275" s="217">
        <v>578</v>
      </c>
      <c r="T275" s="207">
        <f>IF(CampList[[#This Row],[HH]]&gt;0,CampList[[#This Row],[Total]]/CampList[[#This Row],[HH]],"NA")</f>
        <v>5.6116504854368934</v>
      </c>
      <c r="U275" s="199" t="s">
        <v>464</v>
      </c>
      <c r="V275" s="199" t="s">
        <v>994</v>
      </c>
      <c r="W275" s="199" t="s">
        <v>1381</v>
      </c>
      <c r="X275" s="199" t="s">
        <v>784</v>
      </c>
      <c r="Y275" s="673">
        <v>42036</v>
      </c>
      <c r="Z275" s="673" t="s">
        <v>1314</v>
      </c>
      <c r="AA275" s="197" t="s">
        <v>774</v>
      </c>
      <c r="AB275" s="210">
        <v>43312</v>
      </c>
      <c r="AC275" s="211" t="s">
        <v>1758</v>
      </c>
      <c r="AD275" s="199"/>
      <c r="AE275" s="212" t="str">
        <f ca="1">IFERROR(OFFSET(DistanceToCamp[distance],MATCH(CampList[[#This Row],[CP_Pcode]],DistanceToCamp[CP_Pcode],0)-1,0,1,1),"")</f>
        <v/>
      </c>
      <c r="AF275" s="221" t="str">
        <f ca="1">IFERROR(INT(CampList[[#This Row],[Distance]]/5)+1,"")</f>
        <v/>
      </c>
    </row>
    <row r="276" spans="1:35" ht="15.75" hidden="1" customHeight="1" x14ac:dyDescent="0.25">
      <c r="B276" s="203" t="s">
        <v>775</v>
      </c>
      <c r="C276" s="197" t="s">
        <v>506</v>
      </c>
      <c r="D276" s="197" t="s">
        <v>489</v>
      </c>
      <c r="E276" s="197" t="s">
        <v>494</v>
      </c>
      <c r="F276" s="197" t="s">
        <v>495</v>
      </c>
      <c r="G276" s="197" t="s">
        <v>166</v>
      </c>
      <c r="H276" s="197" t="s">
        <v>496</v>
      </c>
      <c r="I276" s="197"/>
      <c r="J276" s="216"/>
      <c r="K276" s="197"/>
      <c r="L276" s="197"/>
      <c r="M276" s="197" t="s">
        <v>1139</v>
      </c>
      <c r="N276" s="198" t="s">
        <v>1122</v>
      </c>
      <c r="O276" s="204"/>
      <c r="P276" s="204"/>
      <c r="Q276" s="217"/>
      <c r="R276" s="310">
        <v>36</v>
      </c>
      <c r="S276" s="311">
        <v>188</v>
      </c>
      <c r="T276" s="207">
        <f>IF(CampList[[#This Row],[HH]]&gt;0,CampList[[#This Row],[Total]]/CampList[[#This Row],[HH]],"NA")</f>
        <v>5.2222222222222223</v>
      </c>
      <c r="U276" s="183" t="s">
        <v>464</v>
      </c>
      <c r="V276" s="199" t="s">
        <v>994</v>
      </c>
      <c r="W276" s="199" t="s">
        <v>1381</v>
      </c>
      <c r="X276" s="199" t="s">
        <v>742</v>
      </c>
      <c r="Y276" s="218">
        <v>42370</v>
      </c>
      <c r="Z276" s="673" t="s">
        <v>1314</v>
      </c>
      <c r="AA276" s="198" t="s">
        <v>774</v>
      </c>
      <c r="AB276" s="210">
        <v>43343</v>
      </c>
      <c r="AC276" s="203" t="s">
        <v>1778</v>
      </c>
      <c r="AD276" s="199" t="str">
        <f ca="1">IFERROR(OFFSET(DistanceToCamp[Nearest Town],MATCH(CampList[[#This Row],[CP_Pcode]],DistanceToCamp[CP_Pcode],0)-1,0,1,1),"")</f>
        <v/>
      </c>
      <c r="AE276" s="212" t="str">
        <f ca="1">IFERROR(OFFSET(DistanceToCamp[distance],MATCH(CampList[[#This Row],[CP_Pcode]],DistanceToCamp[CP_Pcode],0)-1,0,1,1),"")</f>
        <v/>
      </c>
      <c r="AF276" s="221" t="str">
        <f ca="1">IFERROR(INT(CampList[[#This Row],[Distance]]/5)+1,"")</f>
        <v/>
      </c>
    </row>
    <row r="277" spans="1:35" s="687" customFormat="1" ht="15.75" hidden="1" customHeight="1" x14ac:dyDescent="0.25">
      <c r="A277" s="174"/>
      <c r="B277" s="203" t="s">
        <v>775</v>
      </c>
      <c r="C277" s="197" t="s">
        <v>506</v>
      </c>
      <c r="D277" s="197" t="s">
        <v>489</v>
      </c>
      <c r="E277" s="197" t="s">
        <v>230</v>
      </c>
      <c r="F277" s="197" t="s">
        <v>490</v>
      </c>
      <c r="G277" s="197" t="s">
        <v>288</v>
      </c>
      <c r="H277" s="197" t="s">
        <v>502</v>
      </c>
      <c r="I277" s="690" t="s">
        <v>1140</v>
      </c>
      <c r="J277" s="693" t="s">
        <v>1141</v>
      </c>
      <c r="K277" s="197" t="s">
        <v>1140</v>
      </c>
      <c r="L277" s="216">
        <v>208469</v>
      </c>
      <c r="M277" s="197" t="s">
        <v>1128</v>
      </c>
      <c r="N277" s="198" t="s">
        <v>1123</v>
      </c>
      <c r="O277" s="204">
        <v>97.504999999999995</v>
      </c>
      <c r="P277" s="204">
        <v>23.611999999999998</v>
      </c>
      <c r="Q277" s="217"/>
      <c r="R277" s="284"/>
      <c r="S277" s="285"/>
      <c r="T277" s="207" t="str">
        <f>IF(CampList[[#This Row],[HH]]&gt;0,CampList[[#This Row],[Total]]/CampList[[#This Row],[HH]],"NA")</f>
        <v>NA</v>
      </c>
      <c r="U277" s="183" t="s">
        <v>464</v>
      </c>
      <c r="V277" s="199" t="s">
        <v>994</v>
      </c>
      <c r="W277" s="183" t="s">
        <v>507</v>
      </c>
      <c r="X277" s="199" t="s">
        <v>784</v>
      </c>
      <c r="Y277" s="218">
        <v>42401</v>
      </c>
      <c r="Z277" s="209"/>
      <c r="AA277" s="198" t="s">
        <v>774</v>
      </c>
      <c r="AB277" s="210">
        <v>42888</v>
      </c>
      <c r="AC277" s="203" t="s">
        <v>1244</v>
      </c>
      <c r="AD277" s="199" t="str">
        <f ca="1">IFERROR(OFFSET(DistanceToCamp[Nearest Town],MATCH(CampList[[#This Row],[CP_Pcode]],DistanceToCamp[CP_Pcode],0)-1,0,1,1),"")</f>
        <v/>
      </c>
      <c r="AE277" s="212" t="str">
        <f ca="1">IFERROR(OFFSET(DistanceToCamp[distance],MATCH(CampList[[#This Row],[CP_Pcode]],DistanceToCamp[CP_Pcode],0)-1,0,1,1),"")</f>
        <v/>
      </c>
      <c r="AF277" s="221" t="str">
        <f ca="1">IFERROR(INT(CampList[[#This Row],[Distance]]/5)+1,"")</f>
        <v/>
      </c>
      <c r="AH277" s="688"/>
      <c r="AI277" s="688"/>
    </row>
    <row r="278" spans="1:35" ht="15.75" customHeight="1" x14ac:dyDescent="0.25">
      <c r="B278" s="203" t="s">
        <v>1740</v>
      </c>
      <c r="C278" s="197" t="s">
        <v>378</v>
      </c>
      <c r="D278" s="197" t="s">
        <v>478</v>
      </c>
      <c r="E278" s="197" t="s">
        <v>5</v>
      </c>
      <c r="F278" s="197" t="s">
        <v>482</v>
      </c>
      <c r="G278" s="197" t="s">
        <v>5</v>
      </c>
      <c r="H278" s="197" t="s">
        <v>483</v>
      </c>
      <c r="I278" s="690" t="s">
        <v>577</v>
      </c>
      <c r="J278" s="690" t="s">
        <v>578</v>
      </c>
      <c r="K278" s="197" t="s">
        <v>581</v>
      </c>
      <c r="L278" s="197" t="s">
        <v>582</v>
      </c>
      <c r="M278" s="197" t="s">
        <v>22</v>
      </c>
      <c r="N278" s="197" t="s">
        <v>21</v>
      </c>
      <c r="O278" s="204">
        <v>97.229116811594196</v>
      </c>
      <c r="P278" s="204">
        <v>24.268292826086999</v>
      </c>
      <c r="Q278" s="205"/>
      <c r="R278" s="708">
        <v>641</v>
      </c>
      <c r="S278" s="708">
        <v>4010</v>
      </c>
      <c r="T278" s="207">
        <f>IF(CampList[[#This Row],[HH]]&gt;0,CampList[[#This Row],[Total]]/CampList[[#This Row],[HH]],"NA")</f>
        <v>6.25585023400936</v>
      </c>
      <c r="U278" s="199" t="s">
        <v>464</v>
      </c>
      <c r="V278" s="199" t="s">
        <v>994</v>
      </c>
      <c r="W278" s="199" t="s">
        <v>507</v>
      </c>
      <c r="X278" s="199" t="s">
        <v>742</v>
      </c>
      <c r="Y278" s="312">
        <v>40725</v>
      </c>
      <c r="Z278" s="673" t="s">
        <v>424</v>
      </c>
      <c r="AA278" s="197" t="s">
        <v>774</v>
      </c>
      <c r="AB278" s="210">
        <v>43405</v>
      </c>
      <c r="AC278" s="211" t="s">
        <v>1920</v>
      </c>
      <c r="AD278" s="199" t="str">
        <f ca="1">IFERROR(OFFSET(DistanceToCamp[Nearest Town],MATCH(CampList[[#This Row],[CP_Pcode]],DistanceToCamp[CP_Pcode],0)-1,0,1,1),"")</f>
        <v>Bhamo Town</v>
      </c>
      <c r="AE278" s="212">
        <f ca="1">IFERROR(OFFSET(DistanceToCamp[distance],MATCH(CampList[[#This Row],[CP_Pcode]],DistanceToCamp[CP_Pcode],0)-1,0,1,1),"")</f>
        <v>1.5797992800898704</v>
      </c>
      <c r="AF278" s="213">
        <f ca="1">IFERROR(INT(CampList[[#This Row],[Distance]]/5)+1,"")</f>
        <v>1</v>
      </c>
    </row>
    <row r="279" spans="1:35" ht="15.75" customHeight="1" x14ac:dyDescent="0.25">
      <c r="B279" s="203" t="s">
        <v>1740</v>
      </c>
      <c r="C279" s="198" t="s">
        <v>378</v>
      </c>
      <c r="D279" s="198" t="s">
        <v>478</v>
      </c>
      <c r="E279" s="198" t="s">
        <v>237</v>
      </c>
      <c r="F279" s="198" t="s">
        <v>484</v>
      </c>
      <c r="G279" s="198" t="s">
        <v>309</v>
      </c>
      <c r="H279" s="198" t="s">
        <v>485</v>
      </c>
      <c r="I279" s="694" t="s">
        <v>667</v>
      </c>
      <c r="J279" s="693" t="s">
        <v>668</v>
      </c>
      <c r="K279" s="198" t="s">
        <v>667</v>
      </c>
      <c r="L279" s="198">
        <v>165772</v>
      </c>
      <c r="M279" s="198" t="s">
        <v>351</v>
      </c>
      <c r="N279" s="198" t="s">
        <v>350</v>
      </c>
      <c r="O279" s="206">
        <v>97.546893999999995</v>
      </c>
      <c r="P279" s="206">
        <v>24.755253</v>
      </c>
      <c r="Q279" s="217">
        <v>316</v>
      </c>
      <c r="R279" s="274">
        <v>1417</v>
      </c>
      <c r="S279" s="274">
        <v>7074</v>
      </c>
      <c r="T279" s="207">
        <f>IF(CampList[[#This Row],[HH]]&gt;0,CampList[[#This Row],[Total]]/CampList[[#This Row],[HH]],"NA")</f>
        <v>4.9922371206774878</v>
      </c>
      <c r="U279" s="183" t="s">
        <v>466</v>
      </c>
      <c r="V279" s="199" t="s">
        <v>994</v>
      </c>
      <c r="W279" s="183" t="s">
        <v>507</v>
      </c>
      <c r="X279" s="183" t="s">
        <v>742</v>
      </c>
      <c r="Y279" s="313">
        <v>40695</v>
      </c>
      <c r="Z279" s="217" t="s">
        <v>935</v>
      </c>
      <c r="AA279" s="198" t="s">
        <v>774</v>
      </c>
      <c r="AB279" s="210">
        <v>43405</v>
      </c>
      <c r="AC279" s="219" t="s">
        <v>1838</v>
      </c>
      <c r="AD279" s="220" t="str">
        <f ca="1">IFERROR(OFFSET(DistanceToCamp[Nearest Town],MATCH(CampList[[#This Row],[CP_Pcode]],DistanceToCamp[CP_Pcode],0)-1,0,1,1),"")</f>
        <v>Laiza town</v>
      </c>
      <c r="AE279" s="212">
        <f ca="1">IFERROR(OFFSET(DistanceToCamp[distance],MATCH(CampList[[#This Row],[CP_Pcode]],DistanceToCamp[CP_Pcode],0)-1,0,1,1),"")</f>
        <v>1.7420415164460403</v>
      </c>
      <c r="AF279" s="221">
        <f ca="1">IFERROR(INT(CampList[[#This Row],[Distance]]/5)+1,"")</f>
        <v>1</v>
      </c>
    </row>
    <row r="280" spans="1:35" ht="15.75" hidden="1" customHeight="1" x14ac:dyDescent="0.25">
      <c r="B280" s="203" t="s">
        <v>775</v>
      </c>
      <c r="C280" s="197" t="s">
        <v>506</v>
      </c>
      <c r="D280" s="197" t="s">
        <v>489</v>
      </c>
      <c r="E280" s="197" t="s">
        <v>717</v>
      </c>
      <c r="F280" s="197" t="s">
        <v>718</v>
      </c>
      <c r="G280" s="197" t="s">
        <v>719</v>
      </c>
      <c r="H280" s="197" t="s">
        <v>720</v>
      </c>
      <c r="I280" s="690" t="s">
        <v>1143</v>
      </c>
      <c r="J280" s="693" t="s">
        <v>1144</v>
      </c>
      <c r="K280" s="197" t="s">
        <v>1143</v>
      </c>
      <c r="L280" s="216">
        <v>206395</v>
      </c>
      <c r="M280" s="197" t="s">
        <v>1142</v>
      </c>
      <c r="N280" s="198" t="s">
        <v>1126</v>
      </c>
      <c r="O280" s="204">
        <v>98.221000000000004</v>
      </c>
      <c r="P280" s="204">
        <v>23.353999999999999</v>
      </c>
      <c r="Q280" s="217"/>
      <c r="R280" s="310"/>
      <c r="S280" s="311"/>
      <c r="T280" s="207" t="str">
        <f>IF(CampList[[#This Row],[HH]]&gt;0,CampList[[#This Row],[Total]]/CampList[[#This Row],[HH]],"NA")</f>
        <v>NA</v>
      </c>
      <c r="U280" s="183" t="s">
        <v>464</v>
      </c>
      <c r="V280" s="199" t="s">
        <v>994</v>
      </c>
      <c r="W280" s="183" t="s">
        <v>507</v>
      </c>
      <c r="X280" s="199" t="s">
        <v>742</v>
      </c>
      <c r="Y280" s="218">
        <v>42430</v>
      </c>
      <c r="Z280" s="209"/>
      <c r="AA280" s="198" t="s">
        <v>774</v>
      </c>
      <c r="AB280" s="210">
        <v>42927</v>
      </c>
      <c r="AC280" s="203" t="s">
        <v>1283</v>
      </c>
      <c r="AD280" s="199" t="str">
        <f ca="1">IFERROR(OFFSET(DistanceToCamp[Nearest Town],MATCH(CampList[[#This Row],[CP_Pcode]],DistanceToCamp[CP_Pcode],0)-1,0,1,1),"")</f>
        <v/>
      </c>
      <c r="AE280" s="212" t="str">
        <f ca="1">IFERROR(OFFSET(DistanceToCamp[distance],MATCH(CampList[[#This Row],[CP_Pcode]],DistanceToCamp[CP_Pcode],0)-1,0,1,1),"")</f>
        <v/>
      </c>
      <c r="AF280" s="221" t="str">
        <f ca="1">IFERROR(INT(CampList[[#This Row],[Distance]]/5)+1,"")</f>
        <v/>
      </c>
    </row>
    <row r="281" spans="1:35" ht="15.75" customHeight="1" x14ac:dyDescent="0.25">
      <c r="B281" s="203" t="s">
        <v>1740</v>
      </c>
      <c r="C281" s="197" t="s">
        <v>378</v>
      </c>
      <c r="D281" s="197" t="s">
        <v>478</v>
      </c>
      <c r="E281" s="197" t="s">
        <v>180</v>
      </c>
      <c r="F281" s="197" t="s">
        <v>479</v>
      </c>
      <c r="G281" s="197" t="s">
        <v>180</v>
      </c>
      <c r="H281" s="197" t="s">
        <v>504</v>
      </c>
      <c r="I281" s="197" t="s">
        <v>556</v>
      </c>
      <c r="J281" s="197" t="s">
        <v>557</v>
      </c>
      <c r="K281" s="197" t="s">
        <v>1685</v>
      </c>
      <c r="L281" s="695">
        <v>166592</v>
      </c>
      <c r="M281" s="197" t="s">
        <v>286</v>
      </c>
      <c r="N281" s="197" t="s">
        <v>285</v>
      </c>
      <c r="O281" s="204">
        <v>96.364949999999993</v>
      </c>
      <c r="P281" s="204">
        <v>24.998349999999999</v>
      </c>
      <c r="Q281" s="205"/>
      <c r="R281" s="274">
        <v>26</v>
      </c>
      <c r="S281" s="274">
        <v>117</v>
      </c>
      <c r="T281" s="207">
        <f>IF(CampList[[#This Row],[HH]]&gt;0,CampList[[#This Row],[Total]]/CampList[[#This Row],[HH]],"NA")</f>
        <v>4.5</v>
      </c>
      <c r="U281" s="199" t="s">
        <v>464</v>
      </c>
      <c r="V281" s="199" t="s">
        <v>994</v>
      </c>
      <c r="W281" s="199" t="s">
        <v>507</v>
      </c>
      <c r="X281" s="199" t="s">
        <v>784</v>
      </c>
      <c r="Y281" s="312">
        <v>40940</v>
      </c>
      <c r="Z281" s="673" t="s">
        <v>424</v>
      </c>
      <c r="AA281" s="197" t="s">
        <v>774</v>
      </c>
      <c r="AB281" s="210">
        <v>43405</v>
      </c>
      <c r="AC281" s="211" t="s">
        <v>1921</v>
      </c>
      <c r="AD281" s="199" t="str">
        <f ca="1">IFERROR(OFFSET(DistanceToCamp[Nearest Town],MATCH(CampList[[#This Row],[CP_Pcode]],DistanceToCamp[CP_Pcode],0)-1,0,1,1),"")</f>
        <v>Hopin Town</v>
      </c>
      <c r="AE281" s="212">
        <f ca="1">IFERROR(OFFSET(DistanceToCamp[distance],MATCH(CampList[[#This Row],[CP_Pcode]],DistanceToCamp[CP_Pcode],0)-1,0,1,1),"")</f>
        <v>16.668825701583572</v>
      </c>
      <c r="AF281" s="213">
        <f ca="1">IFERROR(INT(CampList[[#This Row],[Distance]]/5)+1,"")</f>
        <v>4</v>
      </c>
    </row>
    <row r="282" spans="1:35" ht="15.75" hidden="1" customHeight="1" x14ac:dyDescent="0.25">
      <c r="B282" s="203" t="s">
        <v>775</v>
      </c>
      <c r="C282" s="197" t="s">
        <v>506</v>
      </c>
      <c r="D282" s="197" t="s">
        <v>489</v>
      </c>
      <c r="E282" s="197" t="s">
        <v>494</v>
      </c>
      <c r="F282" s="197" t="s">
        <v>495</v>
      </c>
      <c r="G282" s="197" t="s">
        <v>297</v>
      </c>
      <c r="H282" s="197" t="s">
        <v>503</v>
      </c>
      <c r="I282" s="694" t="s">
        <v>755</v>
      </c>
      <c r="J282" s="693" t="s">
        <v>756</v>
      </c>
      <c r="K282" s="694" t="s">
        <v>757</v>
      </c>
      <c r="L282" s="694" t="s">
        <v>758</v>
      </c>
      <c r="M282" s="610" t="s">
        <v>1185</v>
      </c>
      <c r="N282" s="198" t="s">
        <v>1168</v>
      </c>
      <c r="O282" s="274">
        <v>97.400671000000003</v>
      </c>
      <c r="P282" s="274">
        <v>23.099304</v>
      </c>
      <c r="Q282" s="275"/>
      <c r="R282" s="605"/>
      <c r="S282" s="605"/>
      <c r="T282" s="276" t="str">
        <f>IF(CampList[[#This Row],[HH]]&gt;0,CampList[[#This Row],[Total]]/CampList[[#This Row],[HH]],"NA")</f>
        <v>NA</v>
      </c>
      <c r="U282" s="183" t="s">
        <v>464</v>
      </c>
      <c r="V282" s="277" t="s">
        <v>994</v>
      </c>
      <c r="W282" s="182" t="s">
        <v>507</v>
      </c>
      <c r="X282" s="182" t="s">
        <v>742</v>
      </c>
      <c r="Y282" s="278"/>
      <c r="Z282" s="275"/>
      <c r="AA282" s="272" t="s">
        <v>774</v>
      </c>
      <c r="AB282" s="279">
        <v>42888</v>
      </c>
      <c r="AC282" s="280" t="s">
        <v>1243</v>
      </c>
      <c r="AD282" s="281" t="str">
        <f ca="1">IFERROR(OFFSET(DistanceToCamp[Nearest Town],MATCH(CampList[[#This Row],[CP_Pcode]],DistanceToCamp[CP_Pcode],0)-1,0,1,1),"")</f>
        <v/>
      </c>
      <c r="AE282" s="282" t="str">
        <f ca="1">IFERROR(OFFSET(DistanceToCamp[distance],MATCH(CampList[[#This Row],[CP_Pcode]],DistanceToCamp[CP_Pcode],0)-1,0,1,1),"")</f>
        <v/>
      </c>
      <c r="AF282" s="283" t="str">
        <f ca="1">IFERROR(INT(CampList[[#This Row],[Distance]]/5)+1,"")</f>
        <v/>
      </c>
    </row>
    <row r="283" spans="1:35" ht="15.75" hidden="1" customHeight="1" x14ac:dyDescent="0.25">
      <c r="B283" s="203" t="s">
        <v>775</v>
      </c>
      <c r="C283" s="197" t="s">
        <v>506</v>
      </c>
      <c r="D283" s="197" t="s">
        <v>489</v>
      </c>
      <c r="E283" s="197" t="s">
        <v>494</v>
      </c>
      <c r="F283" s="197" t="s">
        <v>495</v>
      </c>
      <c r="G283" s="197" t="s">
        <v>297</v>
      </c>
      <c r="H283" s="197" t="s">
        <v>503</v>
      </c>
      <c r="I283" s="272" t="s">
        <v>755</v>
      </c>
      <c r="J283" s="273" t="s">
        <v>756</v>
      </c>
      <c r="K283" s="198" t="s">
        <v>757</v>
      </c>
      <c r="L283" s="198" t="s">
        <v>758</v>
      </c>
      <c r="M283" s="197" t="s">
        <v>1187</v>
      </c>
      <c r="N283" s="198" t="s">
        <v>1169</v>
      </c>
      <c r="O283" s="274"/>
      <c r="P283" s="274"/>
      <c r="Q283" s="275"/>
      <c r="R283" s="234">
        <v>13</v>
      </c>
      <c r="S283" s="234">
        <v>45</v>
      </c>
      <c r="T283" s="276">
        <f>IF(CampList[[#This Row],[HH]]&gt;0,CampList[[#This Row],[Total]]/CampList[[#This Row],[HH]],"NA")</f>
        <v>3.4615384615384617</v>
      </c>
      <c r="U283" s="183" t="s">
        <v>464</v>
      </c>
      <c r="V283" s="277" t="s">
        <v>994</v>
      </c>
      <c r="W283" s="199" t="s">
        <v>1381</v>
      </c>
      <c r="X283" s="182" t="s">
        <v>742</v>
      </c>
      <c r="Y283" s="278"/>
      <c r="Z283" s="275"/>
      <c r="AA283" s="272" t="s">
        <v>774</v>
      </c>
      <c r="AB283" s="279">
        <v>42752</v>
      </c>
      <c r="AC283" s="280" t="s">
        <v>1528</v>
      </c>
      <c r="AD283" s="281" t="str">
        <f ca="1">IFERROR(OFFSET(DistanceToCamp[Nearest Town],MATCH(CampList[[#This Row],[CP_Pcode]],DistanceToCamp[CP_Pcode],0)-1,0,1,1),"")</f>
        <v/>
      </c>
      <c r="AE283" s="282" t="str">
        <f ca="1">IFERROR(OFFSET(DistanceToCamp[distance],MATCH(CampList[[#This Row],[CP_Pcode]],DistanceToCamp[CP_Pcode],0)-1,0,1,1),"")</f>
        <v/>
      </c>
      <c r="AF283" s="283" t="str">
        <f ca="1">IFERROR(INT(CampList[[#This Row],[Distance]]/5)+1,"")</f>
        <v/>
      </c>
    </row>
    <row r="284" spans="1:35" ht="15.75" hidden="1" customHeight="1" x14ac:dyDescent="0.25">
      <c r="B284" s="203" t="s">
        <v>775</v>
      </c>
      <c r="C284" s="197" t="s">
        <v>506</v>
      </c>
      <c r="D284" s="197" t="s">
        <v>489</v>
      </c>
      <c r="E284" s="197" t="s">
        <v>494</v>
      </c>
      <c r="F284" s="197" t="s">
        <v>495</v>
      </c>
      <c r="G284" s="197" t="s">
        <v>297</v>
      </c>
      <c r="H284" s="197" t="s">
        <v>503</v>
      </c>
      <c r="I284" s="272" t="s">
        <v>755</v>
      </c>
      <c r="J284" s="273" t="s">
        <v>756</v>
      </c>
      <c r="K284" s="694" t="s">
        <v>757</v>
      </c>
      <c r="L284" s="694" t="s">
        <v>758</v>
      </c>
      <c r="M284" s="610" t="s">
        <v>1188</v>
      </c>
      <c r="N284" s="198" t="s">
        <v>1170</v>
      </c>
      <c r="O284" s="274"/>
      <c r="P284" s="274"/>
      <c r="Q284" s="275"/>
      <c r="R284" s="234"/>
      <c r="S284" s="234"/>
      <c r="T284" s="276" t="str">
        <f>IF(CampList[[#This Row],[HH]]&gt;0,CampList[[#This Row],[Total]]/CampList[[#This Row],[HH]],"NA")</f>
        <v>NA</v>
      </c>
      <c r="U284" s="183" t="s">
        <v>464</v>
      </c>
      <c r="V284" s="277" t="s">
        <v>994</v>
      </c>
      <c r="W284" s="182" t="s">
        <v>507</v>
      </c>
      <c r="X284" s="182" t="s">
        <v>742</v>
      </c>
      <c r="Y284" s="278"/>
      <c r="Z284" s="275"/>
      <c r="AA284" s="272" t="s">
        <v>774</v>
      </c>
      <c r="AB284" s="210">
        <v>42919</v>
      </c>
      <c r="AC284" s="280" t="s">
        <v>1268</v>
      </c>
      <c r="AD284" s="281" t="str">
        <f ca="1">IFERROR(OFFSET(DistanceToCamp[Nearest Town],MATCH(CampList[[#This Row],[CP_Pcode]],DistanceToCamp[CP_Pcode],0)-1,0,1,1),"")</f>
        <v/>
      </c>
      <c r="AE284" s="282" t="str">
        <f ca="1">IFERROR(OFFSET(DistanceToCamp[distance],MATCH(CampList[[#This Row],[CP_Pcode]],DistanceToCamp[CP_Pcode],0)-1,0,1,1),"")</f>
        <v/>
      </c>
      <c r="AF284" s="283" t="str">
        <f ca="1">IFERROR(INT(CampList[[#This Row],[Distance]]/5)+1,"")</f>
        <v/>
      </c>
    </row>
    <row r="285" spans="1:35" ht="15.75" hidden="1" customHeight="1" x14ac:dyDescent="0.25">
      <c r="B285" s="203" t="s">
        <v>775</v>
      </c>
      <c r="C285" s="197" t="s">
        <v>506</v>
      </c>
      <c r="D285" s="197" t="s">
        <v>489</v>
      </c>
      <c r="E285" s="197" t="s">
        <v>494</v>
      </c>
      <c r="F285" s="197" t="s">
        <v>495</v>
      </c>
      <c r="G285" s="197" t="s">
        <v>297</v>
      </c>
      <c r="H285" s="197" t="s">
        <v>503</v>
      </c>
      <c r="I285" s="272" t="s">
        <v>755</v>
      </c>
      <c r="J285" s="273" t="s">
        <v>756</v>
      </c>
      <c r="K285" s="272" t="s">
        <v>757</v>
      </c>
      <c r="L285" s="694" t="s">
        <v>758</v>
      </c>
      <c r="M285" s="610" t="s">
        <v>1189</v>
      </c>
      <c r="N285" s="198" t="s">
        <v>1171</v>
      </c>
      <c r="O285" s="274"/>
      <c r="P285" s="274"/>
      <c r="Q285" s="275"/>
      <c r="R285" s="234"/>
      <c r="S285" s="234"/>
      <c r="T285" s="276" t="str">
        <f>IF(CampList[[#This Row],[HH]]&gt;0,CampList[[#This Row],[Total]]/CampList[[#This Row],[HH]],"NA")</f>
        <v>NA</v>
      </c>
      <c r="U285" s="183" t="s">
        <v>464</v>
      </c>
      <c r="V285" s="277" t="s">
        <v>994</v>
      </c>
      <c r="W285" s="182" t="s">
        <v>507</v>
      </c>
      <c r="X285" s="182" t="s">
        <v>742</v>
      </c>
      <c r="Y285" s="278"/>
      <c r="Z285" s="275"/>
      <c r="AA285" s="272" t="s">
        <v>774</v>
      </c>
      <c r="AB285" s="210">
        <v>42919</v>
      </c>
      <c r="AC285" s="280" t="s">
        <v>1268</v>
      </c>
      <c r="AD285" s="281" t="str">
        <f ca="1">IFERROR(OFFSET(DistanceToCamp[Nearest Town],MATCH(CampList[[#This Row],[CP_Pcode]],DistanceToCamp[CP_Pcode],0)-1,0,1,1),"")</f>
        <v/>
      </c>
      <c r="AE285" s="282" t="str">
        <f ca="1">IFERROR(OFFSET(DistanceToCamp[distance],MATCH(CampList[[#This Row],[CP_Pcode]],DistanceToCamp[CP_Pcode],0)-1,0,1,1),"")</f>
        <v/>
      </c>
      <c r="AF285" s="283" t="str">
        <f ca="1">IFERROR(INT(CampList[[#This Row],[Distance]]/5)+1,"")</f>
        <v/>
      </c>
    </row>
    <row r="286" spans="1:35" ht="15.75" customHeight="1" x14ac:dyDescent="0.25">
      <c r="B286" s="203" t="s">
        <v>1740</v>
      </c>
      <c r="C286" s="197" t="s">
        <v>378</v>
      </c>
      <c r="D286" s="197" t="s">
        <v>478</v>
      </c>
      <c r="E286" s="197" t="s">
        <v>5</v>
      </c>
      <c r="F286" s="197" t="s">
        <v>482</v>
      </c>
      <c r="G286" s="197" t="s">
        <v>151</v>
      </c>
      <c r="H286" s="197" t="s">
        <v>492</v>
      </c>
      <c r="I286" s="197" t="s">
        <v>811</v>
      </c>
      <c r="J286" s="197" t="s">
        <v>1107</v>
      </c>
      <c r="K286" s="197" t="s">
        <v>811</v>
      </c>
      <c r="L286" s="197">
        <v>167301</v>
      </c>
      <c r="M286" s="197" t="s">
        <v>811</v>
      </c>
      <c r="N286" s="197" t="s">
        <v>812</v>
      </c>
      <c r="O286" s="204">
        <v>97.225881000000001</v>
      </c>
      <c r="P286" s="204">
        <v>23.972453000000002</v>
      </c>
      <c r="Q286" s="217">
        <v>466</v>
      </c>
      <c r="R286" s="274">
        <v>433</v>
      </c>
      <c r="S286" s="274">
        <v>2154</v>
      </c>
      <c r="T286" s="207">
        <f>IF(CampList[[#This Row],[HH]]&gt;0,CampList[[#This Row],[Total]]/CampList[[#This Row],[HH]],"NA")</f>
        <v>4.9745958429561199</v>
      </c>
      <c r="U286" s="199" t="s">
        <v>464</v>
      </c>
      <c r="V286" s="199" t="s">
        <v>994</v>
      </c>
      <c r="W286" s="199" t="s">
        <v>507</v>
      </c>
      <c r="X286" s="199" t="s">
        <v>784</v>
      </c>
      <c r="Y286" s="312">
        <v>41548</v>
      </c>
      <c r="Z286" s="673" t="s">
        <v>424</v>
      </c>
      <c r="AA286" s="223" t="s">
        <v>774</v>
      </c>
      <c r="AB286" s="210">
        <v>43405</v>
      </c>
      <c r="AC286" s="203" t="s">
        <v>1922</v>
      </c>
      <c r="AD286" s="199" t="str">
        <f ca="1">IFERROR(OFFSET(DistanceToCamp[Nearest Town],MATCH(CampList[[#This Row],[CP_Pcode]],DistanceToCamp[CP_Pcode],0)-1,0,1,1),"")</f>
        <v>Mansi Town</v>
      </c>
      <c r="AE286" s="212">
        <f ca="1">IFERROR(OFFSET(DistanceToCamp[distance],MATCH(CampList[[#This Row],[CP_Pcode]],DistanceToCamp[CP_Pcode],0)-1,0,1,1),"")</f>
        <v>17.731070777343263</v>
      </c>
      <c r="AF286" s="213">
        <f ca="1">IFERROR(INT(CampList[[#This Row],[Distance]]/5)+1,"")</f>
        <v>4</v>
      </c>
    </row>
    <row r="287" spans="1:35" ht="15.75" hidden="1" customHeight="1" x14ac:dyDescent="0.25">
      <c r="B287" s="203" t="s">
        <v>775</v>
      </c>
      <c r="C287" s="197" t="s">
        <v>506</v>
      </c>
      <c r="D287" s="197" t="s">
        <v>489</v>
      </c>
      <c r="E287" s="197" t="s">
        <v>230</v>
      </c>
      <c r="F287" s="197" t="s">
        <v>490</v>
      </c>
      <c r="G287" s="197" t="s">
        <v>230</v>
      </c>
      <c r="H287" s="197" t="s">
        <v>491</v>
      </c>
      <c r="I287" s="272" t="s">
        <v>898</v>
      </c>
      <c r="J287" s="273" t="s">
        <v>899</v>
      </c>
      <c r="K287" s="272" t="s">
        <v>900</v>
      </c>
      <c r="L287" s="272" t="s">
        <v>901</v>
      </c>
      <c r="M287" s="174" t="s">
        <v>1197</v>
      </c>
      <c r="N287" s="198" t="s">
        <v>1173</v>
      </c>
      <c r="O287" s="274"/>
      <c r="P287" s="274"/>
      <c r="Q287" s="275"/>
      <c r="R287" s="182"/>
      <c r="S287" s="185"/>
      <c r="T287" s="276" t="str">
        <f>IF(CampList[[#This Row],[HH]]&gt;0,CampList[[#This Row],[Total]]/CampList[[#This Row],[HH]],"NA")</f>
        <v>NA</v>
      </c>
      <c r="U287" s="183" t="s">
        <v>464</v>
      </c>
      <c r="V287" s="277" t="s">
        <v>994</v>
      </c>
      <c r="W287" s="182" t="s">
        <v>507</v>
      </c>
      <c r="X287" s="182" t="s">
        <v>742</v>
      </c>
      <c r="Y287" s="278"/>
      <c r="Z287" s="275"/>
      <c r="AA287" s="272" t="s">
        <v>774</v>
      </c>
      <c r="AB287" s="279">
        <v>42831</v>
      </c>
      <c r="AC287" s="280" t="s">
        <v>1225</v>
      </c>
      <c r="AD287" s="281" t="str">
        <f ca="1">IFERROR(OFFSET(DistanceToCamp[Nearest Town],MATCH(CampList[[#This Row],[CP_Pcode]],DistanceToCamp[CP_Pcode],0)-1,0,1,1),"")</f>
        <v/>
      </c>
      <c r="AE287" s="282" t="str">
        <f ca="1">IFERROR(OFFSET(DistanceToCamp[distance],MATCH(CampList[[#This Row],[CP_Pcode]],DistanceToCamp[CP_Pcode],0)-1,0,1,1),"")</f>
        <v/>
      </c>
      <c r="AF287" s="283" t="str">
        <f ca="1">IFERROR(INT(CampList[[#This Row],[Distance]]/5)+1,"")</f>
        <v/>
      </c>
    </row>
    <row r="288" spans="1:35" ht="15.75" hidden="1" customHeight="1" x14ac:dyDescent="0.25">
      <c r="B288" s="203" t="s">
        <v>775</v>
      </c>
      <c r="C288" s="197" t="s">
        <v>506</v>
      </c>
      <c r="D288" s="197" t="s">
        <v>489</v>
      </c>
      <c r="E288" s="197" t="s">
        <v>230</v>
      </c>
      <c r="F288" s="197" t="s">
        <v>490</v>
      </c>
      <c r="G288" s="197" t="s">
        <v>230</v>
      </c>
      <c r="H288" s="197" t="s">
        <v>491</v>
      </c>
      <c r="I288" s="272" t="s">
        <v>898</v>
      </c>
      <c r="J288" s="273" t="s">
        <v>899</v>
      </c>
      <c r="K288" s="272" t="s">
        <v>1201</v>
      </c>
      <c r="L288" s="272" t="s">
        <v>1202</v>
      </c>
      <c r="M288" s="174" t="s">
        <v>1207</v>
      </c>
      <c r="N288" s="198" t="s">
        <v>1174</v>
      </c>
      <c r="O288" s="274"/>
      <c r="P288" s="274"/>
      <c r="Q288" s="275"/>
      <c r="R288" s="182"/>
      <c r="S288" s="185"/>
      <c r="T288" s="276" t="str">
        <f>IF(CampList[[#This Row],[HH]]&gt;0,CampList[[#This Row],[Total]]/CampList[[#This Row],[HH]],"NA")</f>
        <v>NA</v>
      </c>
      <c r="U288" s="183" t="s">
        <v>464</v>
      </c>
      <c r="V288" s="277" t="s">
        <v>994</v>
      </c>
      <c r="W288" s="182" t="s">
        <v>507</v>
      </c>
      <c r="X288" s="182" t="s">
        <v>742</v>
      </c>
      <c r="Y288" s="278"/>
      <c r="Z288" s="275"/>
      <c r="AA288" s="272"/>
      <c r="AB288" s="279">
        <v>42752</v>
      </c>
      <c r="AC288" s="280" t="s">
        <v>1186</v>
      </c>
      <c r="AD288" s="281" t="str">
        <f ca="1">IFERROR(OFFSET(DistanceToCamp[Nearest Town],MATCH(CampList[[#This Row],[CP_Pcode]],DistanceToCamp[CP_Pcode],0)-1,0,1,1),"")</f>
        <v/>
      </c>
      <c r="AE288" s="282" t="str">
        <f ca="1">IFERROR(OFFSET(DistanceToCamp[distance],MATCH(CampList[[#This Row],[CP_Pcode]],DistanceToCamp[CP_Pcode],0)-1,0,1,1),"")</f>
        <v/>
      </c>
      <c r="AF288" s="283" t="str">
        <f ca="1">IFERROR(INT(CampList[[#This Row],[Distance]]/5)+1,"")</f>
        <v/>
      </c>
    </row>
    <row r="289" spans="2:32" ht="15.75" hidden="1" customHeight="1" x14ac:dyDescent="0.25">
      <c r="B289" s="203" t="s">
        <v>775</v>
      </c>
      <c r="C289" s="197" t="s">
        <v>506</v>
      </c>
      <c r="D289" s="197" t="s">
        <v>489</v>
      </c>
      <c r="E289" s="197" t="s">
        <v>230</v>
      </c>
      <c r="F289" s="197" t="s">
        <v>490</v>
      </c>
      <c r="G289" s="197" t="s">
        <v>230</v>
      </c>
      <c r="H289" s="197" t="s">
        <v>491</v>
      </c>
      <c r="I289" s="272" t="s">
        <v>898</v>
      </c>
      <c r="J289" s="273" t="s">
        <v>899</v>
      </c>
      <c r="K289" s="272" t="s">
        <v>1203</v>
      </c>
      <c r="L289" s="272" t="s">
        <v>1204</v>
      </c>
      <c r="M289" s="174" t="s">
        <v>1208</v>
      </c>
      <c r="N289" s="198" t="s">
        <v>1175</v>
      </c>
      <c r="O289" s="274"/>
      <c r="P289" s="274"/>
      <c r="Q289" s="275"/>
      <c r="R289" s="182"/>
      <c r="S289" s="185"/>
      <c r="T289" s="276" t="str">
        <f>IF(CampList[[#This Row],[HH]]&gt;0,CampList[[#This Row],[Total]]/CampList[[#This Row],[HH]],"NA")</f>
        <v>NA</v>
      </c>
      <c r="U289" s="183" t="s">
        <v>464</v>
      </c>
      <c r="V289" s="277" t="s">
        <v>994</v>
      </c>
      <c r="W289" s="182" t="s">
        <v>507</v>
      </c>
      <c r="X289" s="182" t="s">
        <v>742</v>
      </c>
      <c r="Y289" s="278"/>
      <c r="Z289" s="275"/>
      <c r="AA289" s="272"/>
      <c r="AB289" s="279">
        <v>42752</v>
      </c>
      <c r="AC289" s="280" t="s">
        <v>1186</v>
      </c>
      <c r="AD289" s="281" t="str">
        <f ca="1">IFERROR(OFFSET(DistanceToCamp[Nearest Town],MATCH(CampList[[#This Row],[CP_Pcode]],DistanceToCamp[CP_Pcode],0)-1,0,1,1),"")</f>
        <v/>
      </c>
      <c r="AE289" s="282" t="str">
        <f ca="1">IFERROR(OFFSET(DistanceToCamp[distance],MATCH(CampList[[#This Row],[CP_Pcode]],DistanceToCamp[CP_Pcode],0)-1,0,1,1),"")</f>
        <v/>
      </c>
      <c r="AF289" s="283" t="str">
        <f ca="1">IFERROR(INT(CampList[[#This Row],[Distance]]/5)+1,"")</f>
        <v/>
      </c>
    </row>
    <row r="290" spans="2:32" ht="15.75" hidden="1" customHeight="1" x14ac:dyDescent="0.25">
      <c r="B290" s="203" t="s">
        <v>775</v>
      </c>
      <c r="C290" s="197" t="s">
        <v>506</v>
      </c>
      <c r="D290" s="197" t="s">
        <v>489</v>
      </c>
      <c r="E290" s="197" t="s">
        <v>230</v>
      </c>
      <c r="F290" s="197" t="s">
        <v>490</v>
      </c>
      <c r="G290" s="197" t="s">
        <v>230</v>
      </c>
      <c r="H290" s="197" t="s">
        <v>491</v>
      </c>
      <c r="I290" s="272"/>
      <c r="J290" s="273"/>
      <c r="K290" s="272"/>
      <c r="L290" s="272"/>
      <c r="M290" s="174" t="s">
        <v>1198</v>
      </c>
      <c r="N290" s="198" t="s">
        <v>1176</v>
      </c>
      <c r="O290" s="274"/>
      <c r="P290" s="274"/>
      <c r="Q290" s="275"/>
      <c r="R290" s="182"/>
      <c r="S290" s="185"/>
      <c r="T290" s="276" t="str">
        <f>IF(CampList[[#This Row],[HH]]&gt;0,CampList[[#This Row],[Total]]/CampList[[#This Row],[HH]],"NA")</f>
        <v>NA</v>
      </c>
      <c r="U290" s="183" t="s">
        <v>464</v>
      </c>
      <c r="V290" s="277" t="s">
        <v>994</v>
      </c>
      <c r="W290" s="182" t="s">
        <v>507</v>
      </c>
      <c r="X290" s="182"/>
      <c r="Y290" s="278"/>
      <c r="Z290" s="275"/>
      <c r="AA290" s="272" t="s">
        <v>774</v>
      </c>
      <c r="AB290" s="279">
        <v>42831</v>
      </c>
      <c r="AC290" s="280" t="s">
        <v>1225</v>
      </c>
      <c r="AD290" s="281" t="str">
        <f ca="1">IFERROR(OFFSET(DistanceToCamp[Nearest Town],MATCH(CampList[[#This Row],[CP_Pcode]],DistanceToCamp[CP_Pcode],0)-1,0,1,1),"")</f>
        <v/>
      </c>
      <c r="AE290" s="282" t="str">
        <f ca="1">IFERROR(OFFSET(DistanceToCamp[distance],MATCH(CampList[[#This Row],[CP_Pcode]],DistanceToCamp[CP_Pcode],0)-1,0,1,1),"")</f>
        <v/>
      </c>
      <c r="AF290" s="283" t="str">
        <f ca="1">IFERROR(INT(CampList[[#This Row],[Distance]]/5)+1,"")</f>
        <v/>
      </c>
    </row>
    <row r="291" spans="2:32" ht="15.75" hidden="1" customHeight="1" x14ac:dyDescent="0.25">
      <c r="B291" s="203" t="s">
        <v>775</v>
      </c>
      <c r="C291" s="197" t="s">
        <v>506</v>
      </c>
      <c r="D291" s="197" t="s">
        <v>489</v>
      </c>
      <c r="E291" s="197" t="s">
        <v>230</v>
      </c>
      <c r="F291" s="197" t="s">
        <v>490</v>
      </c>
      <c r="G291" s="197" t="s">
        <v>230</v>
      </c>
      <c r="H291" s="197" t="s">
        <v>491</v>
      </c>
      <c r="I291" s="272" t="s">
        <v>898</v>
      </c>
      <c r="J291" s="273" t="s">
        <v>899</v>
      </c>
      <c r="K291" s="272" t="s">
        <v>1205</v>
      </c>
      <c r="L291" s="272" t="s">
        <v>1206</v>
      </c>
      <c r="M291" s="174" t="s">
        <v>1209</v>
      </c>
      <c r="N291" s="198" t="s">
        <v>1177</v>
      </c>
      <c r="O291" s="274"/>
      <c r="P291" s="274"/>
      <c r="Q291" s="275"/>
      <c r="R291" s="182"/>
      <c r="S291" s="185"/>
      <c r="T291" s="276" t="str">
        <f>IF(CampList[[#This Row],[HH]]&gt;0,CampList[[#This Row],[Total]]/CampList[[#This Row],[HH]],"NA")</f>
        <v>NA</v>
      </c>
      <c r="U291" s="183" t="s">
        <v>464</v>
      </c>
      <c r="V291" s="277" t="s">
        <v>994</v>
      </c>
      <c r="W291" s="182" t="s">
        <v>507</v>
      </c>
      <c r="X291" s="182" t="s">
        <v>742</v>
      </c>
      <c r="Y291" s="278"/>
      <c r="Z291" s="275"/>
      <c r="AA291" s="272" t="s">
        <v>774</v>
      </c>
      <c r="AB291" s="279">
        <v>42831</v>
      </c>
      <c r="AC291" s="280" t="s">
        <v>1225</v>
      </c>
      <c r="AD291" s="281" t="str">
        <f ca="1">IFERROR(OFFSET(DistanceToCamp[Nearest Town],MATCH(CampList[[#This Row],[CP_Pcode]],DistanceToCamp[CP_Pcode],0)-1,0,1,1),"")</f>
        <v/>
      </c>
      <c r="AE291" s="282" t="str">
        <f ca="1">IFERROR(OFFSET(DistanceToCamp[distance],MATCH(CampList[[#This Row],[CP_Pcode]],DistanceToCamp[CP_Pcode],0)-1,0,1,1),"")</f>
        <v/>
      </c>
      <c r="AF291" s="283" t="str">
        <f ca="1">IFERROR(INT(CampList[[#This Row],[Distance]]/5)+1,"")</f>
        <v/>
      </c>
    </row>
    <row r="292" spans="2:32" ht="15.75" hidden="1" customHeight="1" x14ac:dyDescent="0.25">
      <c r="B292" s="203" t="s">
        <v>775</v>
      </c>
      <c r="C292" s="197" t="s">
        <v>506</v>
      </c>
      <c r="D292" s="197" t="s">
        <v>489</v>
      </c>
      <c r="E292" s="197" t="s">
        <v>230</v>
      </c>
      <c r="F292" s="197" t="s">
        <v>490</v>
      </c>
      <c r="G292" s="197" t="s">
        <v>230</v>
      </c>
      <c r="H292" s="197" t="s">
        <v>491</v>
      </c>
      <c r="I292" s="272" t="s">
        <v>1210</v>
      </c>
      <c r="J292" s="273" t="s">
        <v>1211</v>
      </c>
      <c r="K292" s="272" t="s">
        <v>1212</v>
      </c>
      <c r="L292" s="272">
        <v>208003</v>
      </c>
      <c r="M292" s="174" t="s">
        <v>1213</v>
      </c>
      <c r="N292" s="198" t="s">
        <v>1178</v>
      </c>
      <c r="O292" s="274"/>
      <c r="P292" s="274"/>
      <c r="Q292" s="275"/>
      <c r="R292" s="182"/>
      <c r="S292" s="185"/>
      <c r="T292" s="276" t="str">
        <f>IF(CampList[[#This Row],[HH]]&gt;0,CampList[[#This Row],[Total]]/CampList[[#This Row],[HH]],"NA")</f>
        <v>NA</v>
      </c>
      <c r="U292" s="183" t="s">
        <v>464</v>
      </c>
      <c r="V292" s="277" t="s">
        <v>994</v>
      </c>
      <c r="W292" s="182" t="s">
        <v>507</v>
      </c>
      <c r="X292" s="182" t="s">
        <v>784</v>
      </c>
      <c r="Y292" s="278"/>
      <c r="Z292" s="275"/>
      <c r="AA292" s="272" t="s">
        <v>774</v>
      </c>
      <c r="AB292" s="279">
        <v>42831</v>
      </c>
      <c r="AC292" s="280" t="s">
        <v>1225</v>
      </c>
      <c r="AD292" s="281" t="str">
        <f ca="1">IFERROR(OFFSET(DistanceToCamp[Nearest Town],MATCH(CampList[[#This Row],[CP_Pcode]],DistanceToCamp[CP_Pcode],0)-1,0,1,1),"")</f>
        <v/>
      </c>
      <c r="AE292" s="282" t="str">
        <f ca="1">IFERROR(OFFSET(DistanceToCamp[distance],MATCH(CampList[[#This Row],[CP_Pcode]],DistanceToCamp[CP_Pcode],0)-1,0,1,1),"")</f>
        <v/>
      </c>
      <c r="AF292" s="283" t="str">
        <f ca="1">IFERROR(INT(CampList[[#This Row],[Distance]]/5)+1,"")</f>
        <v/>
      </c>
    </row>
    <row r="293" spans="2:32" ht="15.75" hidden="1" customHeight="1" x14ac:dyDescent="0.25">
      <c r="B293" s="203" t="s">
        <v>775</v>
      </c>
      <c r="C293" s="197" t="s">
        <v>506</v>
      </c>
      <c r="D293" s="197" t="s">
        <v>489</v>
      </c>
      <c r="E293" s="197" t="s">
        <v>230</v>
      </c>
      <c r="F293" s="197" t="s">
        <v>490</v>
      </c>
      <c r="G293" s="197" t="s">
        <v>230</v>
      </c>
      <c r="H293" s="197" t="s">
        <v>491</v>
      </c>
      <c r="I293" s="272" t="s">
        <v>898</v>
      </c>
      <c r="J293" s="273" t="s">
        <v>899</v>
      </c>
      <c r="K293" s="272" t="s">
        <v>900</v>
      </c>
      <c r="L293" s="272" t="s">
        <v>901</v>
      </c>
      <c r="M293" s="174" t="s">
        <v>1191</v>
      </c>
      <c r="N293" s="198" t="s">
        <v>1179</v>
      </c>
      <c r="O293" s="274"/>
      <c r="P293" s="274"/>
      <c r="Q293" s="275"/>
      <c r="R293" s="182"/>
      <c r="S293" s="185"/>
      <c r="T293" s="276" t="str">
        <f>IF(CampList[[#This Row],[HH]]&gt;0,CampList[[#This Row],[Total]]/CampList[[#This Row],[HH]],"NA")</f>
        <v>NA</v>
      </c>
      <c r="U293" s="183" t="s">
        <v>464</v>
      </c>
      <c r="V293" s="277" t="s">
        <v>994</v>
      </c>
      <c r="W293" s="182" t="s">
        <v>507</v>
      </c>
      <c r="X293" s="182" t="s">
        <v>742</v>
      </c>
      <c r="Y293" s="278"/>
      <c r="Z293" s="275"/>
      <c r="AA293" s="272" t="s">
        <v>774</v>
      </c>
      <c r="AB293" s="279">
        <v>42831</v>
      </c>
      <c r="AC293" s="280" t="s">
        <v>1225</v>
      </c>
      <c r="AD293" s="281" t="str">
        <f ca="1">IFERROR(OFFSET(DistanceToCamp[Nearest Town],MATCH(CampList[[#This Row],[CP_Pcode]],DistanceToCamp[CP_Pcode],0)-1,0,1,1),"")</f>
        <v/>
      </c>
      <c r="AE293" s="282" t="str">
        <f ca="1">IFERROR(OFFSET(DistanceToCamp[distance],MATCH(CampList[[#This Row],[CP_Pcode]],DistanceToCamp[CP_Pcode],0)-1,0,1,1),"")</f>
        <v/>
      </c>
      <c r="AF293" s="283" t="str">
        <f ca="1">IFERROR(INT(CampList[[#This Row],[Distance]]/5)+1,"")</f>
        <v/>
      </c>
    </row>
    <row r="294" spans="2:32" ht="15.75" hidden="1" customHeight="1" x14ac:dyDescent="0.25">
      <c r="B294" s="203" t="s">
        <v>775</v>
      </c>
      <c r="C294" s="197" t="s">
        <v>506</v>
      </c>
      <c r="D294" s="197" t="s">
        <v>489</v>
      </c>
      <c r="E294" s="197" t="s">
        <v>230</v>
      </c>
      <c r="F294" s="197" t="s">
        <v>490</v>
      </c>
      <c r="G294" s="197" t="s">
        <v>230</v>
      </c>
      <c r="H294" s="197" t="s">
        <v>491</v>
      </c>
      <c r="I294" s="272" t="s">
        <v>898</v>
      </c>
      <c r="J294" s="273" t="s">
        <v>899</v>
      </c>
      <c r="K294" s="272"/>
      <c r="L294" s="272"/>
      <c r="M294" s="174" t="s">
        <v>1192</v>
      </c>
      <c r="N294" s="198" t="s">
        <v>1180</v>
      </c>
      <c r="O294" s="274"/>
      <c r="P294" s="274"/>
      <c r="Q294" s="275"/>
      <c r="R294" s="182"/>
      <c r="S294" s="185"/>
      <c r="T294" s="276" t="str">
        <f>IF(CampList[[#This Row],[HH]]&gt;0,CampList[[#This Row],[Total]]/CampList[[#This Row],[HH]],"NA")</f>
        <v>NA</v>
      </c>
      <c r="U294" s="183" t="s">
        <v>464</v>
      </c>
      <c r="V294" s="277" t="s">
        <v>994</v>
      </c>
      <c r="W294" s="182" t="s">
        <v>507</v>
      </c>
      <c r="X294" s="182"/>
      <c r="Y294" s="278"/>
      <c r="Z294" s="275"/>
      <c r="AA294" s="272"/>
      <c r="AB294" s="279">
        <v>42752</v>
      </c>
      <c r="AC294" s="280" t="s">
        <v>1186</v>
      </c>
      <c r="AD294" s="281" t="str">
        <f ca="1">IFERROR(OFFSET(DistanceToCamp[Nearest Town],MATCH(CampList[[#This Row],[CP_Pcode]],DistanceToCamp[CP_Pcode],0)-1,0,1,1),"")</f>
        <v/>
      </c>
      <c r="AE294" s="282" t="str">
        <f ca="1">IFERROR(OFFSET(DistanceToCamp[distance],MATCH(CampList[[#This Row],[CP_Pcode]],DistanceToCamp[CP_Pcode],0)-1,0,1,1),"")</f>
        <v/>
      </c>
      <c r="AF294" s="283" t="str">
        <f ca="1">IFERROR(INT(CampList[[#This Row],[Distance]]/5)+1,"")</f>
        <v/>
      </c>
    </row>
    <row r="295" spans="2:32" ht="15.75" hidden="1" customHeight="1" x14ac:dyDescent="0.25">
      <c r="B295" s="203" t="s">
        <v>775</v>
      </c>
      <c r="C295" s="197" t="s">
        <v>506</v>
      </c>
      <c r="D295" s="197" t="s">
        <v>489</v>
      </c>
      <c r="E295" s="197" t="s">
        <v>230</v>
      </c>
      <c r="F295" s="197" t="s">
        <v>490</v>
      </c>
      <c r="G295" s="197" t="s">
        <v>230</v>
      </c>
      <c r="H295" s="197" t="s">
        <v>491</v>
      </c>
      <c r="I295" s="272" t="s">
        <v>898</v>
      </c>
      <c r="J295" s="273" t="s">
        <v>899</v>
      </c>
      <c r="K295" s="272" t="s">
        <v>900</v>
      </c>
      <c r="L295" s="272" t="s">
        <v>901</v>
      </c>
      <c r="M295" s="174" t="s">
        <v>1193</v>
      </c>
      <c r="N295" s="198" t="s">
        <v>1181</v>
      </c>
      <c r="O295" s="274"/>
      <c r="P295" s="274"/>
      <c r="Q295" s="275"/>
      <c r="R295" s="182"/>
      <c r="S295" s="185"/>
      <c r="T295" s="276" t="str">
        <f>IF(CampList[[#This Row],[HH]]&gt;0,CampList[[#This Row],[Total]]/CampList[[#This Row],[HH]],"NA")</f>
        <v>NA</v>
      </c>
      <c r="U295" s="183" t="s">
        <v>464</v>
      </c>
      <c r="V295" s="277" t="s">
        <v>994</v>
      </c>
      <c r="W295" s="182" t="s">
        <v>507</v>
      </c>
      <c r="X295" s="182" t="s">
        <v>742</v>
      </c>
      <c r="Y295" s="278"/>
      <c r="Z295" s="275"/>
      <c r="AA295" s="272" t="s">
        <v>774</v>
      </c>
      <c r="AB295" s="279">
        <v>42831</v>
      </c>
      <c r="AC295" s="280" t="s">
        <v>1225</v>
      </c>
      <c r="AD295" s="281" t="str">
        <f ca="1">IFERROR(OFFSET(DistanceToCamp[Nearest Town],MATCH(CampList[[#This Row],[CP_Pcode]],DistanceToCamp[CP_Pcode],0)-1,0,1,1),"")</f>
        <v/>
      </c>
      <c r="AE295" s="282" t="str">
        <f ca="1">IFERROR(OFFSET(DistanceToCamp[distance],MATCH(CampList[[#This Row],[CP_Pcode]],DistanceToCamp[CP_Pcode],0)-1,0,1,1),"")</f>
        <v/>
      </c>
      <c r="AF295" s="283" t="str">
        <f ca="1">IFERROR(INT(CampList[[#This Row],[Distance]]/5)+1,"")</f>
        <v/>
      </c>
    </row>
    <row r="296" spans="2:32" ht="15.75" hidden="1" customHeight="1" x14ac:dyDescent="0.25">
      <c r="B296" s="203" t="s">
        <v>775</v>
      </c>
      <c r="C296" s="197" t="s">
        <v>506</v>
      </c>
      <c r="D296" s="197" t="s">
        <v>489</v>
      </c>
      <c r="E296" s="197" t="s">
        <v>230</v>
      </c>
      <c r="F296" s="197" t="s">
        <v>490</v>
      </c>
      <c r="G296" s="197" t="s">
        <v>230</v>
      </c>
      <c r="H296" s="197" t="s">
        <v>491</v>
      </c>
      <c r="I296" s="272" t="s">
        <v>898</v>
      </c>
      <c r="J296" s="273" t="s">
        <v>899</v>
      </c>
      <c r="K296" s="272" t="s">
        <v>900</v>
      </c>
      <c r="L296" s="272" t="s">
        <v>901</v>
      </c>
      <c r="M296" s="174" t="s">
        <v>1194</v>
      </c>
      <c r="N296" s="198" t="s">
        <v>1182</v>
      </c>
      <c r="O296" s="274"/>
      <c r="P296" s="274"/>
      <c r="Q296" s="275"/>
      <c r="R296" s="182"/>
      <c r="S296" s="185"/>
      <c r="T296" s="276" t="str">
        <f>IF(CampList[[#This Row],[HH]]&gt;0,CampList[[#This Row],[Total]]/CampList[[#This Row],[HH]],"NA")</f>
        <v>NA</v>
      </c>
      <c r="U296" s="183" t="s">
        <v>464</v>
      </c>
      <c r="V296" s="277" t="s">
        <v>994</v>
      </c>
      <c r="W296" s="182" t="s">
        <v>507</v>
      </c>
      <c r="X296" s="182" t="s">
        <v>742</v>
      </c>
      <c r="Y296" s="278"/>
      <c r="Z296" s="275"/>
      <c r="AA296" s="272" t="s">
        <v>774</v>
      </c>
      <c r="AB296" s="279">
        <v>42831</v>
      </c>
      <c r="AC296" s="280" t="s">
        <v>1225</v>
      </c>
      <c r="AD296" s="281" t="str">
        <f ca="1">IFERROR(OFFSET(DistanceToCamp[Nearest Town],MATCH(CampList[[#This Row],[CP_Pcode]],DistanceToCamp[CP_Pcode],0)-1,0,1,1),"")</f>
        <v/>
      </c>
      <c r="AE296" s="282" t="str">
        <f ca="1">IFERROR(OFFSET(DistanceToCamp[distance],MATCH(CampList[[#This Row],[CP_Pcode]],DistanceToCamp[CP_Pcode],0)-1,0,1,1),"")</f>
        <v/>
      </c>
      <c r="AF296" s="283" t="str">
        <f ca="1">IFERROR(INT(CampList[[#This Row],[Distance]]/5)+1,"")</f>
        <v/>
      </c>
    </row>
    <row r="297" spans="2:32" ht="15.75" hidden="1" customHeight="1" x14ac:dyDescent="0.25">
      <c r="B297" s="203" t="s">
        <v>775</v>
      </c>
      <c r="C297" s="197" t="s">
        <v>506</v>
      </c>
      <c r="D297" s="197" t="s">
        <v>489</v>
      </c>
      <c r="E297" s="197" t="s">
        <v>230</v>
      </c>
      <c r="F297" s="197" t="s">
        <v>490</v>
      </c>
      <c r="G297" s="197" t="s">
        <v>230</v>
      </c>
      <c r="H297" s="197" t="s">
        <v>491</v>
      </c>
      <c r="I297" s="272"/>
      <c r="J297" s="273"/>
      <c r="K297" s="272"/>
      <c r="L297" s="272"/>
      <c r="M297" s="174" t="s">
        <v>1195</v>
      </c>
      <c r="N297" s="198" t="s">
        <v>1183</v>
      </c>
      <c r="O297" s="274"/>
      <c r="P297" s="274"/>
      <c r="Q297" s="275"/>
      <c r="R297" s="182"/>
      <c r="S297" s="606"/>
      <c r="T297" s="276" t="str">
        <f>IF(CampList[[#This Row],[HH]]&gt;0,CampList[[#This Row],[Total]]/CampList[[#This Row],[HH]],"NA")</f>
        <v>NA</v>
      </c>
      <c r="U297" s="183" t="s">
        <v>464</v>
      </c>
      <c r="V297" s="277" t="s">
        <v>994</v>
      </c>
      <c r="W297" s="182" t="s">
        <v>507</v>
      </c>
      <c r="X297" s="182"/>
      <c r="Y297" s="278"/>
      <c r="Z297" s="275"/>
      <c r="AA297" s="272" t="s">
        <v>774</v>
      </c>
      <c r="AB297" s="279">
        <v>42831</v>
      </c>
      <c r="AC297" s="280" t="s">
        <v>1225</v>
      </c>
      <c r="AD297" s="281" t="str">
        <f ca="1">IFERROR(OFFSET(DistanceToCamp[Nearest Town],MATCH(CampList[[#This Row],[CP_Pcode]],DistanceToCamp[CP_Pcode],0)-1,0,1,1),"")</f>
        <v/>
      </c>
      <c r="AE297" s="282" t="str">
        <f ca="1">IFERROR(OFFSET(DistanceToCamp[distance],MATCH(CampList[[#This Row],[CP_Pcode]],DistanceToCamp[CP_Pcode],0)-1,0,1,1),"")</f>
        <v/>
      </c>
      <c r="AF297" s="283" t="str">
        <f ca="1">IFERROR(INT(CampList[[#This Row],[Distance]]/5)+1,"")</f>
        <v/>
      </c>
    </row>
    <row r="298" spans="2:32" ht="15.6" customHeight="1" x14ac:dyDescent="0.25">
      <c r="B298" s="203" t="s">
        <v>1740</v>
      </c>
      <c r="C298" s="198" t="s">
        <v>378</v>
      </c>
      <c r="D298" s="198" t="s">
        <v>478</v>
      </c>
      <c r="E298" s="198" t="s">
        <v>237</v>
      </c>
      <c r="F298" s="198" t="s">
        <v>484</v>
      </c>
      <c r="G298" s="198" t="s">
        <v>309</v>
      </c>
      <c r="H298" s="198" t="s">
        <v>485</v>
      </c>
      <c r="I298" s="197" t="s">
        <v>695</v>
      </c>
      <c r="J298" s="197" t="s">
        <v>696</v>
      </c>
      <c r="K298" s="214" t="s">
        <v>1119</v>
      </c>
      <c r="L298" s="214">
        <v>165792</v>
      </c>
      <c r="M298" s="174" t="s">
        <v>1263</v>
      </c>
      <c r="N298" s="198" t="s">
        <v>1261</v>
      </c>
      <c r="O298" s="206"/>
      <c r="P298" s="206"/>
      <c r="Q298" s="217"/>
      <c r="R298" s="274">
        <v>398</v>
      </c>
      <c r="S298" s="274">
        <v>1824</v>
      </c>
      <c r="T298" s="207">
        <f>IF(CampList[[#This Row],[HH]]&gt;0,CampList[[#This Row],[Total]]/CampList[[#This Row],[HH]],"NA")</f>
        <v>4.5829145728643219</v>
      </c>
      <c r="U298" s="183" t="s">
        <v>466</v>
      </c>
      <c r="V298" s="199" t="s">
        <v>994</v>
      </c>
      <c r="W298" s="183" t="s">
        <v>507</v>
      </c>
      <c r="X298" s="183" t="s">
        <v>784</v>
      </c>
      <c r="Y298" s="313">
        <v>42752</v>
      </c>
      <c r="Z298" s="217" t="s">
        <v>424</v>
      </c>
      <c r="AA298" s="198" t="s">
        <v>774</v>
      </c>
      <c r="AB298" s="210">
        <v>43405</v>
      </c>
      <c r="AC298" s="219" t="s">
        <v>1923</v>
      </c>
      <c r="AD298" s="220" t="str">
        <f ca="1">IFERROR(OFFSET(DistanceToCamp[Nearest Town],MATCH(CampList[[#This Row],[CP_Pcode]],DistanceToCamp[CP_Pcode],0)-1,0,1,1),"")</f>
        <v>Waingmaw Town</v>
      </c>
      <c r="AE298" s="212">
        <f ca="1">IFERROR(OFFSET(DistanceToCamp[distance],MATCH(CampList[[#This Row],[CP_Pcode]],DistanceToCamp[CP_Pcode],0)-1,0,1,1),"")</f>
        <v>0</v>
      </c>
      <c r="AF298" s="221">
        <f ca="1">IFERROR(INT(CampList[[#This Row],[Distance]]/5)+1,"")</f>
        <v>1</v>
      </c>
    </row>
    <row r="299" spans="2:32" ht="15.6" customHeight="1" x14ac:dyDescent="0.25">
      <c r="B299" s="203" t="s">
        <v>1740</v>
      </c>
      <c r="C299" s="197" t="s">
        <v>378</v>
      </c>
      <c r="D299" s="197" t="s">
        <v>478</v>
      </c>
      <c r="E299" s="197" t="s">
        <v>180</v>
      </c>
      <c r="F299" s="197" t="s">
        <v>479</v>
      </c>
      <c r="G299" s="197" t="s">
        <v>173</v>
      </c>
      <c r="H299" s="197" t="s">
        <v>498</v>
      </c>
      <c r="I299" s="197" t="s">
        <v>1657</v>
      </c>
      <c r="J299" s="216" t="s">
        <v>1658</v>
      </c>
      <c r="K299" s="197" t="s">
        <v>1657</v>
      </c>
      <c r="L299" s="216">
        <v>166765</v>
      </c>
      <c r="M299" s="197" t="s">
        <v>1662</v>
      </c>
      <c r="N299" s="197" t="s">
        <v>1650</v>
      </c>
      <c r="O299" s="204">
        <v>97.013800000000003</v>
      </c>
      <c r="P299" s="204">
        <v>25.383465999999999</v>
      </c>
      <c r="Q299" s="217"/>
      <c r="R299" s="182">
        <v>80</v>
      </c>
      <c r="S299" s="274">
        <v>399</v>
      </c>
      <c r="T299" s="207">
        <f>IF(CampList[[#This Row],[HH]]&gt;0,CampList[[#This Row],[Total]]/CampList[[#This Row],[HH]],"NA")</f>
        <v>4.9874999999999998</v>
      </c>
      <c r="U299" s="199" t="s">
        <v>464</v>
      </c>
      <c r="V299" s="199" t="s">
        <v>994</v>
      </c>
      <c r="W299" s="199" t="s">
        <v>507</v>
      </c>
      <c r="X299" s="199" t="s">
        <v>742</v>
      </c>
      <c r="Y299" s="312">
        <v>43212</v>
      </c>
      <c r="Z299" s="673" t="s">
        <v>935</v>
      </c>
      <c r="AA299" s="197" t="s">
        <v>774</v>
      </c>
      <c r="AB299" s="210">
        <v>43405</v>
      </c>
      <c r="AC299" s="211" t="s">
        <v>1835</v>
      </c>
      <c r="AD299" s="220" t="str">
        <f ca="1">IFERROR(OFFSET(DistanceToCamp[Nearest Town],MATCH(CampList[[#This Row],[CP_Pcode]],DistanceToCamp[CP_Pcode],0)-1,0,1,1),"")</f>
        <v>Panmatee Town</v>
      </c>
      <c r="AE299" s="212">
        <f ca="1">IFERROR(OFFSET(DistanceToCamp[distance],MATCH(CampList[[#This Row],[CP_Pcode]],DistanceToCamp[CP_Pcode],0)-1,0,1,1),"")</f>
        <v>0.4</v>
      </c>
      <c r="AF299" s="221">
        <f ca="1">IFERROR(INT(CampList[[#This Row],[Distance]]/5)+1,"")</f>
        <v>1</v>
      </c>
    </row>
    <row r="300" spans="2:32" ht="15.6" customHeight="1" x14ac:dyDescent="0.25">
      <c r="B300" s="203" t="s">
        <v>1740</v>
      </c>
      <c r="C300" s="197" t="s">
        <v>378</v>
      </c>
      <c r="D300" s="197" t="s">
        <v>478</v>
      </c>
      <c r="E300" s="197" t="s">
        <v>180</v>
      </c>
      <c r="F300" s="197" t="s">
        <v>479</v>
      </c>
      <c r="G300" s="197" t="s">
        <v>173</v>
      </c>
      <c r="H300" s="197" t="s">
        <v>498</v>
      </c>
      <c r="I300" s="197" t="s">
        <v>1656</v>
      </c>
      <c r="J300" s="216" t="s">
        <v>1655</v>
      </c>
      <c r="K300" s="197" t="s">
        <v>643</v>
      </c>
      <c r="L300" s="197" t="s">
        <v>1664</v>
      </c>
      <c r="M300" s="197" t="s">
        <v>1665</v>
      </c>
      <c r="N300" s="197" t="s">
        <v>1652</v>
      </c>
      <c r="O300" s="204"/>
      <c r="P300" s="204"/>
      <c r="Q300" s="217"/>
      <c r="R300" s="182">
        <v>6</v>
      </c>
      <c r="S300" s="274">
        <v>32</v>
      </c>
      <c r="T300" s="207">
        <f>IF(CampList[[#This Row],[HH]]&gt;0,CampList[[#This Row],[Total]]/CampList[[#This Row],[HH]],"NA")</f>
        <v>5.333333333333333</v>
      </c>
      <c r="U300" s="199" t="s">
        <v>464</v>
      </c>
      <c r="V300" s="199" t="s">
        <v>994</v>
      </c>
      <c r="W300" s="199" t="s">
        <v>1381</v>
      </c>
      <c r="X300" s="199" t="s">
        <v>742</v>
      </c>
      <c r="Y300" s="312">
        <v>43212</v>
      </c>
      <c r="Z300" s="673" t="s">
        <v>1314</v>
      </c>
      <c r="AA300" s="197" t="s">
        <v>774</v>
      </c>
      <c r="AB300" s="210">
        <v>43343</v>
      </c>
      <c r="AC300" s="211" t="s">
        <v>1777</v>
      </c>
      <c r="AD300" s="220" t="str">
        <f ca="1">IFERROR(OFFSET(DistanceToCamp[Nearest Town],MATCH(CampList[[#This Row],[CP_Pcode]],DistanceToCamp[CP_Pcode],0)-1,0,1,1),"")</f>
        <v>Panmatee Town</v>
      </c>
      <c r="AE300" s="212">
        <f ca="1">IFERROR(OFFSET(DistanceToCamp[distance],MATCH(CampList[[#This Row],[CP_Pcode]],DistanceToCamp[CP_Pcode],0)-1,0,1,1),"")</f>
        <v>0.4</v>
      </c>
      <c r="AF300" s="221">
        <f ca="1">IFERROR(INT(CampList[[#This Row],[Distance]]/5)+1,"")</f>
        <v>1</v>
      </c>
    </row>
    <row r="301" spans="2:32" ht="15.6" customHeight="1" x14ac:dyDescent="0.25">
      <c r="B301" s="203" t="s">
        <v>1740</v>
      </c>
      <c r="C301" s="197" t="s">
        <v>378</v>
      </c>
      <c r="D301" s="197" t="s">
        <v>478</v>
      </c>
      <c r="E301" s="197" t="s">
        <v>237</v>
      </c>
      <c r="F301" s="198" t="s">
        <v>484</v>
      </c>
      <c r="G301" s="197" t="s">
        <v>237</v>
      </c>
      <c r="H301" s="197" t="s">
        <v>488</v>
      </c>
      <c r="I301" s="197" t="s">
        <v>1667</v>
      </c>
      <c r="J301" s="216" t="s">
        <v>1668</v>
      </c>
      <c r="K301" s="197" t="s">
        <v>1669</v>
      </c>
      <c r="L301" s="216">
        <v>165682</v>
      </c>
      <c r="M301" s="197" t="s">
        <v>1729</v>
      </c>
      <c r="N301" s="731" t="s">
        <v>1653</v>
      </c>
      <c r="O301" s="204">
        <v>97.431079999999994</v>
      </c>
      <c r="P301" s="204">
        <v>25.480989999999998</v>
      </c>
      <c r="Q301" s="217"/>
      <c r="R301" s="182">
        <v>178</v>
      </c>
      <c r="S301" s="182">
        <v>843</v>
      </c>
      <c r="T301" s="308">
        <f>IF(CampList[[#This Row],[HH]]&gt;0,CampList[[#This Row],[Total]]/CampList[[#This Row],[HH]],"NA")</f>
        <v>4.7359550561797752</v>
      </c>
      <c r="U301" s="309" t="s">
        <v>464</v>
      </c>
      <c r="V301" s="309" t="s">
        <v>994</v>
      </c>
      <c r="W301" s="199" t="s">
        <v>507</v>
      </c>
      <c r="X301" s="199" t="s">
        <v>742</v>
      </c>
      <c r="Y301" s="312">
        <v>43212</v>
      </c>
      <c r="Z301" s="673" t="s">
        <v>424</v>
      </c>
      <c r="AA301" s="197" t="s">
        <v>774</v>
      </c>
      <c r="AB301" s="210">
        <v>43405</v>
      </c>
      <c r="AC301" s="211" t="s">
        <v>1924</v>
      </c>
      <c r="AD301" s="220" t="str">
        <f ca="1">IFERROR(OFFSET(DistanceToCamp[Nearest Town],MATCH(CampList[[#This Row],[CP_Pcode]],DistanceToCamp[CP_Pcode],0)-1,0,1,1),"")</f>
        <v>Myitkyina Town</v>
      </c>
      <c r="AE301" s="212">
        <f ca="1">IFERROR(OFFSET(DistanceToCamp[distance],MATCH(CampList[[#This Row],[CP_Pcode]],DistanceToCamp[CP_Pcode],0)-1,0,1,1),"")</f>
        <v>8</v>
      </c>
      <c r="AF301" s="221">
        <f ca="1">IFERROR(INT(CampList[[#This Row],[Distance]]/5)+1,"")</f>
        <v>2</v>
      </c>
    </row>
    <row r="302" spans="2:32" ht="15.6" customHeight="1" x14ac:dyDescent="0.25">
      <c r="B302" s="203" t="s">
        <v>1740</v>
      </c>
      <c r="C302" s="197" t="s">
        <v>378</v>
      </c>
      <c r="D302" s="197" t="s">
        <v>478</v>
      </c>
      <c r="E302" s="197" t="s">
        <v>180</v>
      </c>
      <c r="F302" s="197" t="s">
        <v>479</v>
      </c>
      <c r="G302" s="197" t="s">
        <v>480</v>
      </c>
      <c r="H302" s="197" t="s">
        <v>481</v>
      </c>
      <c r="I302" s="197" t="s">
        <v>1700</v>
      </c>
      <c r="J302" s="216" t="s">
        <v>1701</v>
      </c>
      <c r="K302" s="197" t="s">
        <v>1702</v>
      </c>
      <c r="L302" s="216">
        <v>166808</v>
      </c>
      <c r="M302" s="197" t="s">
        <v>1639</v>
      </c>
      <c r="N302" s="197" t="s">
        <v>1693</v>
      </c>
      <c r="O302" s="204"/>
      <c r="P302" s="204"/>
      <c r="Q302" s="217"/>
      <c r="R302" s="182">
        <v>42</v>
      </c>
      <c r="S302" s="292">
        <v>187</v>
      </c>
      <c r="T302" s="207">
        <f>IF(CampList[[#This Row],[HH]]&gt;0,CampList[[#This Row],[Total]]/CampList[[#This Row],[HH]],"NA")</f>
        <v>4.4523809523809526</v>
      </c>
      <c r="U302" s="199" t="s">
        <v>464</v>
      </c>
      <c r="V302" s="199" t="s">
        <v>994</v>
      </c>
      <c r="W302" s="199" t="s">
        <v>507</v>
      </c>
      <c r="X302" s="199" t="s">
        <v>784</v>
      </c>
      <c r="Y302" s="673"/>
      <c r="Z302" s="673" t="s">
        <v>935</v>
      </c>
      <c r="AA302" s="197"/>
      <c r="AB302" s="210">
        <v>43405</v>
      </c>
      <c r="AC302" s="211" t="s">
        <v>1839</v>
      </c>
      <c r="AD302" s="220" t="str">
        <f ca="1">IFERROR(OFFSET(DistanceToCamp[Nearest Town],MATCH(CampList[[#This Row],[CP_Pcode]],DistanceToCamp[CP_Pcode],0)-1,0,1,1),"")</f>
        <v>Kamaing Town</v>
      </c>
      <c r="AE302" s="212">
        <f ca="1">IFERROR(OFFSET(DistanceToCamp[distance],MATCH(CampList[[#This Row],[CP_Pcode]],DistanceToCamp[CP_Pcode],0)-1,0,1,1),"")</f>
        <v>10</v>
      </c>
      <c r="AF302" s="221">
        <f ca="1">IFERROR(INT(CampList[[#This Row],[Distance]]/5)+1,"")</f>
        <v>3</v>
      </c>
    </row>
    <row r="303" spans="2:32" ht="18.75" customHeight="1" x14ac:dyDescent="0.25">
      <c r="B303" s="203" t="s">
        <v>1740</v>
      </c>
      <c r="C303" s="197" t="s">
        <v>378</v>
      </c>
      <c r="D303" s="197" t="s">
        <v>478</v>
      </c>
      <c r="E303" s="197" t="s">
        <v>1533</v>
      </c>
      <c r="F303" s="198" t="s">
        <v>484</v>
      </c>
      <c r="G303" s="197" t="s">
        <v>309</v>
      </c>
      <c r="H303" s="197" t="s">
        <v>485</v>
      </c>
      <c r="I303" s="197" t="s">
        <v>635</v>
      </c>
      <c r="J303" s="216" t="s">
        <v>636</v>
      </c>
      <c r="K303" s="197" t="s">
        <v>1675</v>
      </c>
      <c r="L303" s="216" t="s">
        <v>1707</v>
      </c>
      <c r="M303" s="197" t="s">
        <v>1745</v>
      </c>
      <c r="N303" s="197" t="s">
        <v>1694</v>
      </c>
      <c r="O303" s="204"/>
      <c r="P303" s="204"/>
      <c r="Q303" s="217"/>
      <c r="R303" s="274">
        <v>68</v>
      </c>
      <c r="S303" s="274">
        <v>303</v>
      </c>
      <c r="T303" s="207">
        <f>IF(CampList[[#This Row],[HH]]&gt;0,CampList[[#This Row],[Total]]/CampList[[#This Row],[HH]],"NA")</f>
        <v>4.4558823529411766</v>
      </c>
      <c r="U303" s="199" t="s">
        <v>464</v>
      </c>
      <c r="V303" s="199" t="s">
        <v>994</v>
      </c>
      <c r="W303" s="199" t="s">
        <v>507</v>
      </c>
      <c r="X303" s="199" t="s">
        <v>742</v>
      </c>
      <c r="Y303" s="312">
        <v>43250</v>
      </c>
      <c r="Z303" s="673" t="s">
        <v>424</v>
      </c>
      <c r="AA303" s="197" t="s">
        <v>774</v>
      </c>
      <c r="AB303" s="210">
        <v>43405</v>
      </c>
      <c r="AC303" s="211" t="s">
        <v>1925</v>
      </c>
      <c r="AD303" s="220" t="str">
        <f ca="1">IFERROR(OFFSET(DistanceToCamp[Nearest Town],MATCH(CampList[[#This Row],[CP_Pcode]],DistanceToCamp[CP_Pcode],0)-1,0,1,1),"")</f>
        <v>Waingmaw Town</v>
      </c>
      <c r="AE303" s="212">
        <f ca="1">IFERROR(OFFSET(DistanceToCamp[distance],MATCH(CampList[[#This Row],[CP_Pcode]],DistanceToCamp[CP_Pcode],0)-1,0,1,1),"")</f>
        <v>0</v>
      </c>
      <c r="AF303" s="221">
        <f ca="1">IFERROR(INT(CampList[[#This Row],[Distance]]/5)+1,"")</f>
        <v>1</v>
      </c>
    </row>
    <row r="304" spans="2:32" ht="21" hidden="1" customHeight="1" x14ac:dyDescent="0.25">
      <c r="B304" s="203" t="s">
        <v>1739</v>
      </c>
      <c r="C304" s="198" t="s">
        <v>378</v>
      </c>
      <c r="D304" s="198" t="s">
        <v>478</v>
      </c>
      <c r="E304" s="198" t="s">
        <v>237</v>
      </c>
      <c r="F304" s="198" t="s">
        <v>484</v>
      </c>
      <c r="G304" s="198" t="s">
        <v>309</v>
      </c>
      <c r="H304" s="198" t="s">
        <v>485</v>
      </c>
      <c r="I304" s="198" t="s">
        <v>633</v>
      </c>
      <c r="J304" s="216" t="s">
        <v>634</v>
      </c>
      <c r="K304" s="198" t="s">
        <v>633</v>
      </c>
      <c r="L304" s="198">
        <v>165740</v>
      </c>
      <c r="M304" s="198" t="s">
        <v>1742</v>
      </c>
      <c r="N304" s="198" t="s">
        <v>1743</v>
      </c>
      <c r="O304" s="206">
        <v>97.437782499999997</v>
      </c>
      <c r="P304" s="206">
        <v>25.415667500000001</v>
      </c>
      <c r="Q304" s="217"/>
      <c r="R304" s="274">
        <v>95</v>
      </c>
      <c r="S304" s="274">
        <v>499</v>
      </c>
      <c r="T304" s="207">
        <f>IF(CampList[[#This Row],[HH]]&gt;0,CampList[[#This Row],[Total]]/CampList[[#This Row],[HH]],"NA")</f>
        <v>5.2526315789473683</v>
      </c>
      <c r="U304" s="183" t="s">
        <v>464</v>
      </c>
      <c r="V304" s="199"/>
      <c r="W304" s="183" t="s">
        <v>1741</v>
      </c>
      <c r="X304" s="183" t="s">
        <v>742</v>
      </c>
      <c r="Y304" s="313">
        <v>43252</v>
      </c>
      <c r="Z304" s="217"/>
      <c r="AA304" s="198"/>
      <c r="AB304" s="210">
        <v>43290</v>
      </c>
      <c r="AC304" s="219" t="s">
        <v>1744</v>
      </c>
      <c r="AD304" s="220" t="str">
        <f ca="1">IFERROR(OFFSET(DistanceToCamp[Nearest Town],MATCH(CampList[[#This Row],[CP_Pcode]],DistanceToCamp[CP_Pcode],0)-1,0,1,1),"")</f>
        <v>Myitkyina Town</v>
      </c>
      <c r="AE304" s="212">
        <f ca="1">IFERROR(OFFSET(DistanceToCamp[distance],MATCH(CampList[[#This Row],[CP_Pcode]],DistanceToCamp[CP_Pcode],0)-1,0,1,1),"")</f>
        <v>6</v>
      </c>
      <c r="AF304" s="221">
        <f ca="1">IFERROR(INT(CampList[[#This Row],[Distance]]/5)+1,"")</f>
        <v>2</v>
      </c>
    </row>
    <row r="305" spans="2:32" ht="15.6" customHeight="1" x14ac:dyDescent="0.25">
      <c r="B305" s="203" t="s">
        <v>1740</v>
      </c>
      <c r="C305" s="197" t="s">
        <v>506</v>
      </c>
      <c r="D305" s="197" t="s">
        <v>489</v>
      </c>
      <c r="E305" s="197" t="s">
        <v>230</v>
      </c>
      <c r="F305" s="197" t="s">
        <v>490</v>
      </c>
      <c r="G305" s="197" t="s">
        <v>146</v>
      </c>
      <c r="H305" s="197" t="s">
        <v>497</v>
      </c>
      <c r="I305" s="224" t="s">
        <v>662</v>
      </c>
      <c r="J305" s="197" t="s">
        <v>1039</v>
      </c>
      <c r="K305" s="224" t="s">
        <v>662</v>
      </c>
      <c r="L305" s="238">
        <v>208747</v>
      </c>
      <c r="M305" s="198" t="s">
        <v>1615</v>
      </c>
      <c r="N305" s="198" t="s">
        <v>1120</v>
      </c>
      <c r="O305" s="206">
        <v>97.796999999999997</v>
      </c>
      <c r="P305" s="206">
        <v>23.591999999999999</v>
      </c>
      <c r="Q305" s="205"/>
      <c r="R305" s="274">
        <v>82</v>
      </c>
      <c r="S305" s="217">
        <v>426</v>
      </c>
      <c r="T305" s="207">
        <f>IF(CampList[[#This Row],[HH]]&gt;0,CampList[[#This Row],[Total]]/CampList[[#This Row],[HH]],"NA")</f>
        <v>5.1951219512195124</v>
      </c>
      <c r="U305" s="183" t="s">
        <v>464</v>
      </c>
      <c r="V305" s="199" t="s">
        <v>994</v>
      </c>
      <c r="W305" s="183" t="s">
        <v>507</v>
      </c>
      <c r="X305" s="183" t="s">
        <v>784</v>
      </c>
      <c r="Y305" s="218">
        <v>42435</v>
      </c>
      <c r="Z305" s="217" t="s">
        <v>424</v>
      </c>
      <c r="AA305" s="198" t="s">
        <v>774</v>
      </c>
      <c r="AB305" s="210">
        <v>43405</v>
      </c>
      <c r="AC305" s="219" t="s">
        <v>1926</v>
      </c>
      <c r="AD305" s="199"/>
      <c r="AE305" s="212" t="str">
        <f ca="1">IFERROR(OFFSET(DistanceToCamp[distance],MATCH(CampList[[#This Row],[CP_Pcode]],DistanceToCamp[CP_Pcode],0)-1,0,1,1),"")</f>
        <v/>
      </c>
      <c r="AF305" s="221" t="str">
        <f ca="1">IFERROR(INT(CampList[[#This Row],[Distance]]/5)+1,"")</f>
        <v/>
      </c>
    </row>
    <row r="306" spans="2:32" ht="15.6" hidden="1" customHeight="1" x14ac:dyDescent="0.25">
      <c r="B306" s="729" t="s">
        <v>1739</v>
      </c>
      <c r="C306" s="198" t="s">
        <v>378</v>
      </c>
      <c r="D306" s="198"/>
      <c r="E306" s="198"/>
      <c r="F306" s="198"/>
      <c r="G306" s="198" t="s">
        <v>151</v>
      </c>
      <c r="H306" s="198"/>
      <c r="I306" s="198"/>
      <c r="J306" s="216"/>
      <c r="K306" s="198"/>
      <c r="L306" s="198"/>
      <c r="M306" s="198" t="s">
        <v>1779</v>
      </c>
      <c r="N306" s="198"/>
      <c r="O306" s="206"/>
      <c r="P306" s="206"/>
      <c r="Q306" s="217"/>
      <c r="R306" s="182">
        <v>86</v>
      </c>
      <c r="S306" s="292">
        <v>450</v>
      </c>
      <c r="T306" s="207">
        <f>IF(CampList[[#This Row],[HH]]&gt;0,CampList[[#This Row],[Total]]/CampList[[#This Row],[HH]],"NA")</f>
        <v>5.2325581395348841</v>
      </c>
      <c r="U306" s="183" t="s">
        <v>464</v>
      </c>
      <c r="V306" s="199"/>
      <c r="W306" s="183" t="s">
        <v>1741</v>
      </c>
      <c r="X306" s="183" t="s">
        <v>1780</v>
      </c>
      <c r="Y306" s="730"/>
      <c r="Z306" s="217"/>
      <c r="AA306" s="198"/>
      <c r="AB306" s="210"/>
      <c r="AC306" s="219"/>
      <c r="AD306" s="220" t="str">
        <f ca="1">IFERROR(OFFSET(DistanceToCamp[Nearest Town],MATCH(CampList[[#This Row],[CP_Pcode]],DistanceToCamp[CP_Pcode],0)-1,0,1,1),"")</f>
        <v/>
      </c>
      <c r="AE306" s="212" t="str">
        <f ca="1">IFERROR(OFFSET(DistanceToCamp[distance],MATCH(CampList[[#This Row],[CP_Pcode]],DistanceToCamp[CP_Pcode],0)-1,0,1,1),"")</f>
        <v/>
      </c>
      <c r="AF306" s="221" t="str">
        <f ca="1">IFERROR(INT(CampList[[#This Row],[Distance]]/5)+1,"")</f>
        <v/>
      </c>
    </row>
    <row r="307" spans="2:32" ht="15.6" customHeight="1" x14ac:dyDescent="0.25">
      <c r="B307" s="203" t="s">
        <v>1740</v>
      </c>
      <c r="C307" s="197" t="s">
        <v>506</v>
      </c>
      <c r="D307" s="197" t="s">
        <v>489</v>
      </c>
      <c r="E307" s="197" t="s">
        <v>230</v>
      </c>
      <c r="F307" s="197" t="s">
        <v>490</v>
      </c>
      <c r="G307" s="197" t="s">
        <v>146</v>
      </c>
      <c r="H307" s="197" t="s">
        <v>497</v>
      </c>
      <c r="I307" s="224" t="s">
        <v>1933</v>
      </c>
      <c r="J307" s="741" t="s">
        <v>1932</v>
      </c>
      <c r="K307" s="224"/>
      <c r="L307" s="238"/>
      <c r="M307" s="272" t="s">
        <v>1931</v>
      </c>
      <c r="N307" s="198" t="s">
        <v>1927</v>
      </c>
      <c r="O307" s="274"/>
      <c r="P307" s="274"/>
      <c r="Q307" s="275"/>
      <c r="R307" s="182">
        <v>32</v>
      </c>
      <c r="S307" s="292">
        <v>153</v>
      </c>
      <c r="T307" s="276">
        <f>IF(CampList[[#This Row],[HH]]&gt;0,CampList[[#This Row],[Total]]/CampList[[#This Row],[HH]],"NA")</f>
        <v>4.78125</v>
      </c>
      <c r="U307" s="199" t="s">
        <v>464</v>
      </c>
      <c r="V307" s="199" t="s">
        <v>994</v>
      </c>
      <c r="W307" s="199" t="s">
        <v>1381</v>
      </c>
      <c r="X307" s="182" t="s">
        <v>784</v>
      </c>
      <c r="Y307" s="278" t="s">
        <v>1930</v>
      </c>
      <c r="Z307" s="673" t="s">
        <v>1314</v>
      </c>
      <c r="AA307" s="272"/>
      <c r="AB307" s="278">
        <v>43405</v>
      </c>
      <c r="AC307" s="294" t="s">
        <v>1935</v>
      </c>
      <c r="AD307" s="281" t="str">
        <f ca="1">IFERROR(OFFSET(DistanceToCamp[Nearest Town],MATCH(CampList[[#This Row],[CP_Pcode]],DistanceToCamp[CP_Pcode],0)-1,0,1,1),"")</f>
        <v/>
      </c>
      <c r="AE307" s="282" t="str">
        <f ca="1">IFERROR(OFFSET(DistanceToCamp[distance],MATCH(CampList[[#This Row],[CP_Pcode]],DistanceToCamp[CP_Pcode],0)-1,0,1,1),"")</f>
        <v/>
      </c>
      <c r="AF307" s="283" t="str">
        <f ca="1">IFERROR(INT(CampList[[#This Row],[Distance]]/5)+1,"")</f>
        <v/>
      </c>
    </row>
    <row r="311" spans="2:32" ht="15.6" customHeight="1" x14ac:dyDescent="0.25">
      <c r="U311" s="720"/>
    </row>
  </sheetData>
  <sortState ref="B73:AL238">
    <sortCondition ref="H1:H1048576"/>
    <sortCondition ref="M1:M1048576"/>
  </sortState>
  <mergeCells count="2">
    <mergeCell ref="B3:D3"/>
    <mergeCell ref="M2:M3"/>
  </mergeCells>
  <conditionalFormatting sqref="B5:B30 B32:B307">
    <cfRule type="cellIs" dxfId="1281" priority="104" operator="equal">
      <formula>"closed"</formula>
    </cfRule>
  </conditionalFormatting>
  <conditionalFormatting sqref="AA4:AA30 AA32:AA156">
    <cfRule type="cellIs" dxfId="1280" priority="93" operator="equal">
      <formula>"RRD"</formula>
    </cfRule>
    <cfRule type="cellIs" dxfId="1279" priority="94" operator="equal">
      <formula>"IP"</formula>
    </cfRule>
    <cfRule type="cellIs" dxfId="1278" priority="95" operator="equal">
      <formula>"IRRC"</formula>
    </cfRule>
  </conditionalFormatting>
  <conditionalFormatting sqref="AA157:AA206 AA239 AA245 AA261 AA264 AA251">
    <cfRule type="cellIs" dxfId="1277" priority="70" operator="equal">
      <formula>"RRD"</formula>
    </cfRule>
    <cfRule type="cellIs" dxfId="1276" priority="71" operator="equal">
      <formula>"IP"</formula>
    </cfRule>
    <cfRule type="cellIs" dxfId="1275" priority="72" operator="equal">
      <formula>"IRRC"</formula>
    </cfRule>
  </conditionalFormatting>
  <conditionalFormatting sqref="AA207">
    <cfRule type="cellIs" dxfId="1274" priority="66" operator="equal">
      <formula>"RRD"</formula>
    </cfRule>
    <cfRule type="cellIs" dxfId="1273" priority="67" operator="equal">
      <formula>"IP"</formula>
    </cfRule>
    <cfRule type="cellIs" dxfId="1272" priority="68" operator="equal">
      <formula>"IRRC"</formula>
    </cfRule>
  </conditionalFormatting>
  <conditionalFormatting sqref="AA209 AA211 AA213">
    <cfRule type="cellIs" dxfId="1271" priority="29" operator="equal">
      <formula>"RRD"</formula>
    </cfRule>
    <cfRule type="cellIs" dxfId="1270" priority="30" operator="equal">
      <formula>"IP"</formula>
    </cfRule>
    <cfRule type="cellIs" dxfId="1269" priority="31" operator="equal">
      <formula>"IRRC"</formula>
    </cfRule>
  </conditionalFormatting>
  <conditionalFormatting sqref="AA208 AA210 AA212 AA214">
    <cfRule type="cellIs" dxfId="1268" priority="33" operator="equal">
      <formula>"RRD"</formula>
    </cfRule>
    <cfRule type="cellIs" dxfId="1267" priority="34" operator="equal">
      <formula>"IP"</formula>
    </cfRule>
    <cfRule type="cellIs" dxfId="1266" priority="35" operator="equal">
      <formula>"IRRC"</formula>
    </cfRule>
  </conditionalFormatting>
  <conditionalFormatting sqref="AA296">
    <cfRule type="cellIs" dxfId="1265" priority="5" operator="equal">
      <formula>"RRD"</formula>
    </cfRule>
    <cfRule type="cellIs" dxfId="1264" priority="6" operator="equal">
      <formula>"IP"</formula>
    </cfRule>
    <cfRule type="cellIs" dxfId="1263" priority="7" operator="equal">
      <formula>"IRRC"</formula>
    </cfRule>
  </conditionalFormatting>
  <conditionalFormatting sqref="B31">
    <cfRule type="cellIs" dxfId="1262" priority="4" operator="equal">
      <formula>"closed"</formula>
    </cfRule>
  </conditionalFormatting>
  <conditionalFormatting sqref="AA31">
    <cfRule type="cellIs" dxfId="1261" priority="1" operator="equal">
      <formula>"RRD"</formula>
    </cfRule>
    <cfRule type="cellIs" dxfId="1260" priority="2" operator="equal">
      <formula>"IP"</formula>
    </cfRule>
    <cfRule type="cellIs" dxfId="1259" priority="3" operator="equal">
      <formula>"IRRC"</formula>
    </cfRule>
  </conditionalFormatting>
  <pageMargins left="0.7" right="0.7" top="0.75" bottom="0.75" header="0.3" footer="0.3"/>
  <pageSetup scale="82"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Definition!$X$2:$X$4</xm:f>
          </x14:formula1>
          <xm:sqref>B5:B307</xm:sqref>
        </x14:dataValidation>
        <x14:dataValidation type="list" allowBlank="1" showInputMessage="1" showErrorMessage="1">
          <x14:formula1>
            <xm:f>Definition!$V$2:$V$6</xm:f>
          </x14:formula1>
          <xm:sqref>W5:W307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201"/>
  <sheetViews>
    <sheetView zoomScale="115" zoomScaleNormal="115" workbookViewId="0">
      <selection activeCell="B17" sqref="B17"/>
    </sheetView>
  </sheetViews>
  <sheetFormatPr defaultRowHeight="15" x14ac:dyDescent="0.25"/>
  <cols>
    <col min="1" max="1" width="20" style="38" customWidth="1"/>
    <col min="2" max="2" width="23" style="38" customWidth="1"/>
    <col min="3" max="3" width="11.7109375" style="77" customWidth="1"/>
    <col min="5" max="5" width="15.28515625" bestFit="1" customWidth="1"/>
  </cols>
  <sheetData>
    <row r="1" spans="1:5" s="79" customFormat="1" x14ac:dyDescent="0.25">
      <c r="A1" s="78" t="s">
        <v>833</v>
      </c>
      <c r="B1" s="80" t="s">
        <v>995</v>
      </c>
      <c r="C1" s="81" t="s">
        <v>996</v>
      </c>
    </row>
    <row r="2" spans="1:5" x14ac:dyDescent="0.25">
      <c r="A2" s="39" t="s">
        <v>236</v>
      </c>
      <c r="B2" s="70" t="s">
        <v>611</v>
      </c>
      <c r="C2" s="74">
        <v>3.1341427522963001</v>
      </c>
      <c r="E2" s="191" t="s">
        <v>13</v>
      </c>
    </row>
    <row r="3" spans="1:5" x14ac:dyDescent="0.25">
      <c r="A3" s="39" t="s">
        <v>267</v>
      </c>
      <c r="B3" s="70" t="s">
        <v>611</v>
      </c>
      <c r="C3" s="74">
        <v>3.8820329084732199</v>
      </c>
      <c r="E3" s="192" t="s">
        <v>376</v>
      </c>
    </row>
    <row r="4" spans="1:5" x14ac:dyDescent="0.25">
      <c r="A4" s="39" t="s">
        <v>249</v>
      </c>
      <c r="B4" s="70" t="s">
        <v>611</v>
      </c>
      <c r="C4" s="74">
        <v>2.30454782591254</v>
      </c>
      <c r="E4" s="191" t="s">
        <v>956</v>
      </c>
    </row>
    <row r="5" spans="1:5" x14ac:dyDescent="0.25">
      <c r="A5" s="39" t="s">
        <v>247</v>
      </c>
      <c r="B5" s="70" t="s">
        <v>611</v>
      </c>
      <c r="C5" s="74">
        <v>3.3637010801853577</v>
      </c>
      <c r="E5" s="192" t="s">
        <v>1044</v>
      </c>
    </row>
    <row r="6" spans="1:5" x14ac:dyDescent="0.25">
      <c r="A6" s="39" t="s">
        <v>273</v>
      </c>
      <c r="B6" s="70" t="s">
        <v>611</v>
      </c>
      <c r="C6" s="74">
        <v>2.0123527499589278</v>
      </c>
      <c r="E6" s="191" t="s">
        <v>1055</v>
      </c>
    </row>
    <row r="7" spans="1:5" x14ac:dyDescent="0.25">
      <c r="A7" s="39" t="s">
        <v>275</v>
      </c>
      <c r="B7" s="70" t="s">
        <v>611</v>
      </c>
      <c r="C7" s="74">
        <v>2.9133254097712102</v>
      </c>
      <c r="E7" s="194" t="s">
        <v>1056</v>
      </c>
    </row>
    <row r="8" spans="1:5" x14ac:dyDescent="0.25">
      <c r="A8" s="39" t="s">
        <v>277</v>
      </c>
      <c r="B8" s="70" t="s">
        <v>611</v>
      </c>
      <c r="C8" s="74">
        <v>4.9021696969220816</v>
      </c>
      <c r="E8" s="193" t="s">
        <v>1066</v>
      </c>
    </row>
    <row r="9" spans="1:5" x14ac:dyDescent="0.25">
      <c r="A9" s="71" t="s">
        <v>259</v>
      </c>
      <c r="B9" s="70" t="s">
        <v>611</v>
      </c>
      <c r="C9" s="74">
        <v>5.4145379230647226</v>
      </c>
      <c r="E9" s="194" t="s">
        <v>1068</v>
      </c>
    </row>
    <row r="10" spans="1:5" x14ac:dyDescent="0.25">
      <c r="A10" s="71" t="s">
        <v>279</v>
      </c>
      <c r="B10" s="70" t="s">
        <v>611</v>
      </c>
      <c r="C10" s="74">
        <v>6.6198004689728469</v>
      </c>
      <c r="E10" s="191" t="s">
        <v>1133</v>
      </c>
    </row>
    <row r="11" spans="1:5" x14ac:dyDescent="0.25">
      <c r="A11" s="39" t="s">
        <v>244</v>
      </c>
      <c r="B11" s="70" t="s">
        <v>611</v>
      </c>
      <c r="C11" s="74">
        <v>1.1985969617964649</v>
      </c>
      <c r="E11" s="194" t="s">
        <v>941</v>
      </c>
    </row>
    <row r="12" spans="1:5" x14ac:dyDescent="0.25">
      <c r="A12" s="39" t="s">
        <v>245</v>
      </c>
      <c r="B12" s="70" t="s">
        <v>611</v>
      </c>
      <c r="C12" s="74">
        <v>1.3510454549069482</v>
      </c>
      <c r="E12" s="191" t="s">
        <v>1043</v>
      </c>
    </row>
    <row r="13" spans="1:5" x14ac:dyDescent="0.25">
      <c r="A13" s="39" t="s">
        <v>242</v>
      </c>
      <c r="B13" s="70" t="s">
        <v>611</v>
      </c>
      <c r="C13" s="74">
        <v>1.5295244799681529</v>
      </c>
      <c r="E13" s="192" t="s">
        <v>1082</v>
      </c>
    </row>
    <row r="14" spans="1:5" x14ac:dyDescent="0.25">
      <c r="A14" s="39" t="s">
        <v>255</v>
      </c>
      <c r="B14" s="70" t="s">
        <v>611</v>
      </c>
      <c r="C14" s="74">
        <v>2.8164250706222882</v>
      </c>
      <c r="E14" s="193" t="s">
        <v>1120</v>
      </c>
    </row>
    <row r="15" spans="1:5" x14ac:dyDescent="0.25">
      <c r="A15" s="39" t="s">
        <v>283</v>
      </c>
      <c r="B15" s="70" t="s">
        <v>611</v>
      </c>
      <c r="C15" s="74">
        <v>4.262018365878137</v>
      </c>
      <c r="E15" s="194" t="s">
        <v>1121</v>
      </c>
    </row>
    <row r="16" spans="1:5" x14ac:dyDescent="0.25">
      <c r="A16" s="39" t="s">
        <v>239</v>
      </c>
      <c r="B16" s="70" t="s">
        <v>611</v>
      </c>
      <c r="C16" s="74">
        <v>3.3602711423118103</v>
      </c>
      <c r="E16" s="193" t="s">
        <v>1122</v>
      </c>
    </row>
    <row r="17" spans="1:5" x14ac:dyDescent="0.25">
      <c r="A17" s="39" t="s">
        <v>257</v>
      </c>
      <c r="B17" s="70" t="s">
        <v>635</v>
      </c>
      <c r="C17" s="74">
        <v>3.3362307375127798</v>
      </c>
      <c r="E17" s="194" t="s">
        <v>1123</v>
      </c>
    </row>
    <row r="18" spans="1:5" x14ac:dyDescent="0.25">
      <c r="A18" s="39" t="s">
        <v>265</v>
      </c>
      <c r="B18" s="70" t="s">
        <v>611</v>
      </c>
      <c r="C18" s="74">
        <v>1.3751794210741128</v>
      </c>
      <c r="E18" s="193" t="s">
        <v>1124</v>
      </c>
    </row>
    <row r="19" spans="1:5" x14ac:dyDescent="0.25">
      <c r="A19" s="39" t="s">
        <v>251</v>
      </c>
      <c r="B19" s="70" t="s">
        <v>611</v>
      </c>
      <c r="C19" s="74">
        <v>2.4647367211404561</v>
      </c>
      <c r="E19" s="194" t="s">
        <v>1125</v>
      </c>
    </row>
    <row r="20" spans="1:5" x14ac:dyDescent="0.25">
      <c r="A20" s="39" t="s">
        <v>253</v>
      </c>
      <c r="B20" s="70" t="s">
        <v>611</v>
      </c>
      <c r="C20" s="74">
        <v>1.8563710010113432</v>
      </c>
      <c r="E20" s="193" t="s">
        <v>1126</v>
      </c>
    </row>
    <row r="21" spans="1:5" x14ac:dyDescent="0.25">
      <c r="A21" s="39" t="s">
        <v>261</v>
      </c>
      <c r="B21" s="70" t="s">
        <v>611</v>
      </c>
      <c r="C21" s="74">
        <v>10.744749696609457</v>
      </c>
      <c r="E21" s="194" t="s">
        <v>1127</v>
      </c>
    </row>
    <row r="22" spans="1:5" x14ac:dyDescent="0.25">
      <c r="A22" s="39" t="s">
        <v>263</v>
      </c>
      <c r="B22" s="70" t="s">
        <v>611</v>
      </c>
      <c r="C22" s="74">
        <v>10.15228229456989</v>
      </c>
    </row>
    <row r="23" spans="1:5" x14ac:dyDescent="0.25">
      <c r="A23" s="39" t="s">
        <v>281</v>
      </c>
      <c r="B23" s="70" t="s">
        <v>611</v>
      </c>
      <c r="C23" s="74">
        <v>1.7877148351104664</v>
      </c>
    </row>
    <row r="24" spans="1:5" x14ac:dyDescent="0.25">
      <c r="A24" s="39" t="s">
        <v>241</v>
      </c>
      <c r="B24" s="70" t="s">
        <v>611</v>
      </c>
      <c r="C24" s="74">
        <v>2.6190942927115026</v>
      </c>
    </row>
    <row r="25" spans="1:5" x14ac:dyDescent="0.25">
      <c r="A25" s="39" t="s">
        <v>269</v>
      </c>
      <c r="B25" s="70" t="s">
        <v>611</v>
      </c>
      <c r="C25" s="74">
        <v>4.037940696665812</v>
      </c>
    </row>
    <row r="26" spans="1:5" x14ac:dyDescent="0.25">
      <c r="A26" s="39" t="s">
        <v>339</v>
      </c>
      <c r="B26" s="70" t="s">
        <v>635</v>
      </c>
      <c r="C26" s="74">
        <v>0.4474205416025816</v>
      </c>
    </row>
    <row r="27" spans="1:5" x14ac:dyDescent="0.25">
      <c r="A27" s="39" t="s">
        <v>348</v>
      </c>
      <c r="B27" s="70" t="s">
        <v>635</v>
      </c>
      <c r="C27" s="74">
        <v>1.0367202051285227</v>
      </c>
    </row>
    <row r="28" spans="1:5" x14ac:dyDescent="0.25">
      <c r="A28" s="75" t="s">
        <v>318</v>
      </c>
      <c r="B28" s="70" t="s">
        <v>635</v>
      </c>
      <c r="C28" s="74">
        <v>1.1134935940025397</v>
      </c>
    </row>
    <row r="29" spans="1:5" x14ac:dyDescent="0.25">
      <c r="A29" s="39" t="s">
        <v>311</v>
      </c>
      <c r="B29" s="70" t="s">
        <v>635</v>
      </c>
      <c r="C29" s="74">
        <v>5.0655036329811631</v>
      </c>
    </row>
    <row r="30" spans="1:5" x14ac:dyDescent="0.25">
      <c r="A30" s="71" t="s">
        <v>328</v>
      </c>
      <c r="B30" s="70" t="s">
        <v>611</v>
      </c>
      <c r="C30" s="74">
        <v>5.7019834469756479</v>
      </c>
    </row>
    <row r="31" spans="1:5" x14ac:dyDescent="0.25">
      <c r="A31" s="39" t="s">
        <v>336</v>
      </c>
      <c r="B31" s="70" t="s">
        <v>635</v>
      </c>
      <c r="C31" s="74">
        <v>0.77827912736780092</v>
      </c>
    </row>
    <row r="32" spans="1:5" x14ac:dyDescent="0.25">
      <c r="A32" s="39" t="s">
        <v>326</v>
      </c>
      <c r="B32" s="70" t="s">
        <v>611</v>
      </c>
      <c r="C32" s="74">
        <v>5.9727739497559158</v>
      </c>
    </row>
    <row r="33" spans="1:3" x14ac:dyDescent="0.25">
      <c r="A33" s="39" t="s">
        <v>316</v>
      </c>
      <c r="B33" s="70" t="s">
        <v>635</v>
      </c>
      <c r="C33" s="74">
        <v>0.37684287609457234</v>
      </c>
    </row>
    <row r="34" spans="1:3" x14ac:dyDescent="0.25">
      <c r="A34" s="39" t="s">
        <v>341</v>
      </c>
      <c r="B34" s="70" t="s">
        <v>611</v>
      </c>
      <c r="C34" s="74">
        <v>6.0275881703713861</v>
      </c>
    </row>
    <row r="35" spans="1:3" x14ac:dyDescent="0.25">
      <c r="A35" s="75" t="s">
        <v>308</v>
      </c>
      <c r="B35" s="70" t="s">
        <v>635</v>
      </c>
      <c r="C35" s="74">
        <v>0.70725493400809891</v>
      </c>
    </row>
    <row r="36" spans="1:3" x14ac:dyDescent="0.25">
      <c r="A36" s="39" t="s">
        <v>346</v>
      </c>
      <c r="B36" s="70" t="s">
        <v>635</v>
      </c>
      <c r="C36" s="74">
        <v>2.4174307716662291</v>
      </c>
    </row>
    <row r="37" spans="1:3" x14ac:dyDescent="0.25">
      <c r="A37" s="39" t="s">
        <v>314</v>
      </c>
      <c r="B37" s="70" t="s">
        <v>635</v>
      </c>
      <c r="C37" s="74">
        <v>0.15089472113650237</v>
      </c>
    </row>
    <row r="38" spans="1:3" x14ac:dyDescent="0.25">
      <c r="A38" s="39" t="s">
        <v>324</v>
      </c>
      <c r="B38" s="70" t="s">
        <v>611</v>
      </c>
      <c r="C38" s="74">
        <v>4.3887485673235673</v>
      </c>
    </row>
    <row r="39" spans="1:3" x14ac:dyDescent="0.25">
      <c r="A39" s="39" t="s">
        <v>322</v>
      </c>
      <c r="B39" s="70" t="s">
        <v>611</v>
      </c>
      <c r="C39" s="74">
        <v>5.2238983299151851</v>
      </c>
    </row>
    <row r="40" spans="1:3" x14ac:dyDescent="0.25">
      <c r="A40" s="39" t="s">
        <v>344</v>
      </c>
      <c r="B40" s="70" t="s">
        <v>1011</v>
      </c>
      <c r="C40" s="74">
        <v>9.3609732231189877</v>
      </c>
    </row>
    <row r="41" spans="1:3" x14ac:dyDescent="0.25">
      <c r="A41" s="39" t="s">
        <v>30</v>
      </c>
      <c r="B41" s="70" t="s">
        <v>731</v>
      </c>
      <c r="C41" s="74">
        <v>0.15809623370782155</v>
      </c>
    </row>
    <row r="42" spans="1:3" x14ac:dyDescent="0.25">
      <c r="A42" s="39" t="s">
        <v>29</v>
      </c>
      <c r="B42" s="70" t="s">
        <v>998</v>
      </c>
      <c r="C42" s="74">
        <v>19.834999342466848</v>
      </c>
    </row>
    <row r="43" spans="1:3" x14ac:dyDescent="0.25">
      <c r="A43" s="39" t="s">
        <v>33</v>
      </c>
      <c r="B43" s="70" t="s">
        <v>998</v>
      </c>
      <c r="C43" s="74">
        <v>12.486065224161463</v>
      </c>
    </row>
    <row r="44" spans="1:3" x14ac:dyDescent="0.25">
      <c r="A44" s="39" t="s">
        <v>21</v>
      </c>
      <c r="B44" s="70" t="s">
        <v>577</v>
      </c>
      <c r="C44" s="74">
        <v>1.5797992800898704</v>
      </c>
    </row>
    <row r="45" spans="1:3" x14ac:dyDescent="0.25">
      <c r="A45" s="39" t="s">
        <v>17</v>
      </c>
      <c r="B45" s="70" t="s">
        <v>577</v>
      </c>
      <c r="C45" s="74">
        <v>1.0876401420946245</v>
      </c>
    </row>
    <row r="46" spans="1:3" x14ac:dyDescent="0.25">
      <c r="A46" s="39" t="s">
        <v>4</v>
      </c>
      <c r="B46" s="70" t="s">
        <v>577</v>
      </c>
      <c r="C46" s="74">
        <v>0.78440046838596356</v>
      </c>
    </row>
    <row r="47" spans="1:3" x14ac:dyDescent="0.25">
      <c r="A47" s="39" t="s">
        <v>7</v>
      </c>
      <c r="B47" s="70" t="s">
        <v>577</v>
      </c>
      <c r="C47" s="74">
        <v>0.20824727902294948</v>
      </c>
    </row>
    <row r="48" spans="1:3" x14ac:dyDescent="0.25">
      <c r="A48" s="39" t="s">
        <v>13</v>
      </c>
      <c r="B48" s="70" t="s">
        <v>577</v>
      </c>
      <c r="C48" s="74">
        <v>0.84749304721635399</v>
      </c>
    </row>
    <row r="49" spans="1:3" x14ac:dyDescent="0.25">
      <c r="A49" s="39" t="s">
        <v>25</v>
      </c>
      <c r="B49" s="70" t="s">
        <v>577</v>
      </c>
      <c r="C49" s="74">
        <v>0.87147615879849294</v>
      </c>
    </row>
    <row r="50" spans="1:3" x14ac:dyDescent="0.25">
      <c r="A50" s="71" t="s">
        <v>19</v>
      </c>
      <c r="B50" s="70" t="s">
        <v>602</v>
      </c>
      <c r="C50" s="74">
        <v>8.3788619521763046</v>
      </c>
    </row>
    <row r="51" spans="1:3" x14ac:dyDescent="0.25">
      <c r="A51" s="39" t="s">
        <v>23</v>
      </c>
      <c r="B51" s="70" t="s">
        <v>577</v>
      </c>
      <c r="C51" s="74">
        <v>4.108228790802368</v>
      </c>
    </row>
    <row r="52" spans="1:3" x14ac:dyDescent="0.25">
      <c r="A52" s="39" t="s">
        <v>208</v>
      </c>
      <c r="B52" s="70" t="s">
        <v>602</v>
      </c>
      <c r="C52" s="74">
        <v>0.62513510418653162</v>
      </c>
    </row>
    <row r="53" spans="1:3" x14ac:dyDescent="0.25">
      <c r="A53" s="39" t="s">
        <v>206</v>
      </c>
      <c r="B53" s="70" t="s">
        <v>602</v>
      </c>
      <c r="C53" s="74">
        <v>0.49034468319599833</v>
      </c>
    </row>
    <row r="54" spans="1:3" x14ac:dyDescent="0.25">
      <c r="A54" s="39" t="s">
        <v>216</v>
      </c>
      <c r="B54" s="70" t="s">
        <v>602</v>
      </c>
      <c r="C54" s="74">
        <v>0.32830807173487342</v>
      </c>
    </row>
    <row r="55" spans="1:3" x14ac:dyDescent="0.25">
      <c r="A55" s="39" t="s">
        <v>226</v>
      </c>
      <c r="B55" s="70" t="s">
        <v>1008</v>
      </c>
      <c r="C55" s="74">
        <v>14.236592976936194</v>
      </c>
    </row>
    <row r="56" spans="1:3" x14ac:dyDescent="0.25">
      <c r="A56" s="39" t="s">
        <v>212</v>
      </c>
      <c r="B56" s="70" t="s">
        <v>602</v>
      </c>
      <c r="C56" s="74">
        <v>17.689123339899055</v>
      </c>
    </row>
    <row r="57" spans="1:3" x14ac:dyDescent="0.25">
      <c r="A57" s="39" t="s">
        <v>201</v>
      </c>
      <c r="B57" s="70" t="s">
        <v>602</v>
      </c>
      <c r="C57" s="74">
        <v>2.4411071835305544</v>
      </c>
    </row>
    <row r="58" spans="1:3" x14ac:dyDescent="0.25">
      <c r="A58" s="39" t="s">
        <v>203</v>
      </c>
      <c r="B58" s="70" t="s">
        <v>602</v>
      </c>
      <c r="C58" s="74">
        <v>17.282528446236295</v>
      </c>
    </row>
    <row r="59" spans="1:3" x14ac:dyDescent="0.25">
      <c r="A59" s="39" t="s">
        <v>199</v>
      </c>
      <c r="B59" s="70" t="s">
        <v>1008</v>
      </c>
      <c r="C59" s="74">
        <v>19.860265975801305</v>
      </c>
    </row>
    <row r="60" spans="1:3" x14ac:dyDescent="0.25">
      <c r="A60" s="75" t="s">
        <v>220</v>
      </c>
      <c r="B60" s="70" t="s">
        <v>1008</v>
      </c>
      <c r="C60" s="74">
        <v>3.6887624513681017</v>
      </c>
    </row>
    <row r="61" spans="1:3" x14ac:dyDescent="0.25">
      <c r="A61" s="39" t="s">
        <v>150</v>
      </c>
      <c r="B61" s="70" t="s">
        <v>590</v>
      </c>
      <c r="C61" s="74">
        <v>1.0576516850656514</v>
      </c>
    </row>
    <row r="62" spans="1:3" x14ac:dyDescent="0.25">
      <c r="A62" s="39" t="s">
        <v>304</v>
      </c>
      <c r="B62" s="70" t="s">
        <v>561</v>
      </c>
      <c r="C62" s="74">
        <v>0.74396039478864395</v>
      </c>
    </row>
    <row r="63" spans="1:3" x14ac:dyDescent="0.25">
      <c r="A63" s="39" t="s">
        <v>306</v>
      </c>
      <c r="B63" s="70" t="s">
        <v>561</v>
      </c>
      <c r="C63" s="74">
        <v>0.74330366237812662</v>
      </c>
    </row>
    <row r="64" spans="1:3" x14ac:dyDescent="0.25">
      <c r="A64" s="39" t="s">
        <v>222</v>
      </c>
      <c r="B64" s="70" t="s">
        <v>693</v>
      </c>
      <c r="C64" s="74">
        <v>0.77978735578277303</v>
      </c>
    </row>
    <row r="65" spans="1:3" x14ac:dyDescent="0.25">
      <c r="A65" s="39" t="s">
        <v>189</v>
      </c>
      <c r="B65" s="70" t="s">
        <v>693</v>
      </c>
      <c r="C65" s="74">
        <v>0.38934692601696641</v>
      </c>
    </row>
    <row r="66" spans="1:3" x14ac:dyDescent="0.25">
      <c r="A66" s="39" t="s">
        <v>184</v>
      </c>
      <c r="B66" s="70" t="s">
        <v>693</v>
      </c>
      <c r="C66" s="74">
        <v>0.28829825866869707</v>
      </c>
    </row>
    <row r="67" spans="1:3" x14ac:dyDescent="0.25">
      <c r="A67" s="39" t="s">
        <v>228</v>
      </c>
      <c r="B67" s="70" t="s">
        <v>693</v>
      </c>
      <c r="C67" s="74">
        <v>0.77561767807574999</v>
      </c>
    </row>
    <row r="68" spans="1:3" x14ac:dyDescent="0.25">
      <c r="A68" s="39" t="s">
        <v>224</v>
      </c>
      <c r="B68" s="70" t="s">
        <v>693</v>
      </c>
      <c r="C68" s="74">
        <v>1.343152344964242</v>
      </c>
    </row>
    <row r="69" spans="1:3" x14ac:dyDescent="0.25">
      <c r="A69" s="39" t="s">
        <v>143</v>
      </c>
      <c r="B69" s="70" t="s">
        <v>1002</v>
      </c>
      <c r="C69" s="74">
        <v>28.422357500443528</v>
      </c>
    </row>
    <row r="70" spans="1:3" x14ac:dyDescent="0.25">
      <c r="A70" s="75" t="s">
        <v>298</v>
      </c>
      <c r="B70" s="70" t="s">
        <v>740</v>
      </c>
      <c r="C70" s="74">
        <v>1.3759254000531889</v>
      </c>
    </row>
    <row r="71" spans="1:3" x14ac:dyDescent="0.25">
      <c r="A71" s="39" t="s">
        <v>175</v>
      </c>
      <c r="B71" s="70" t="s">
        <v>570</v>
      </c>
      <c r="C71" s="74">
        <v>0.71141459237180937</v>
      </c>
    </row>
    <row r="72" spans="1:3" x14ac:dyDescent="0.25">
      <c r="A72" s="39" t="s">
        <v>172</v>
      </c>
      <c r="B72" s="70" t="s">
        <v>570</v>
      </c>
      <c r="C72" s="74">
        <v>1.815139598767344</v>
      </c>
    </row>
    <row r="73" spans="1:3" x14ac:dyDescent="0.25">
      <c r="A73" s="39" t="s">
        <v>177</v>
      </c>
      <c r="B73" s="70" t="s">
        <v>570</v>
      </c>
      <c r="C73" s="74">
        <v>0.86042374061342075</v>
      </c>
    </row>
    <row r="74" spans="1:3" x14ac:dyDescent="0.25">
      <c r="A74" s="39" t="s">
        <v>179</v>
      </c>
      <c r="B74" s="70" t="s">
        <v>959</v>
      </c>
      <c r="C74" s="74">
        <v>1.7021273757523427</v>
      </c>
    </row>
    <row r="75" spans="1:3" x14ac:dyDescent="0.25">
      <c r="A75" s="39" t="s">
        <v>99</v>
      </c>
      <c r="B75" s="70" t="s">
        <v>999</v>
      </c>
      <c r="C75" s="74">
        <v>0.79577754007276646</v>
      </c>
    </row>
    <row r="76" spans="1:3" x14ac:dyDescent="0.25">
      <c r="A76" s="39" t="s">
        <v>107</v>
      </c>
      <c r="B76" s="70" t="s">
        <v>999</v>
      </c>
      <c r="C76" s="74">
        <v>2.9334852607184256</v>
      </c>
    </row>
    <row r="77" spans="1:3" x14ac:dyDescent="0.25">
      <c r="A77" s="39" t="s">
        <v>139</v>
      </c>
      <c r="B77" s="70" t="s">
        <v>999</v>
      </c>
      <c r="C77" s="74">
        <v>1.5942018764815451</v>
      </c>
    </row>
    <row r="78" spans="1:3" x14ac:dyDescent="0.25">
      <c r="A78" s="39" t="s">
        <v>71</v>
      </c>
      <c r="B78" s="70" t="s">
        <v>999</v>
      </c>
      <c r="C78" s="74">
        <v>4.4704963044882238</v>
      </c>
    </row>
    <row r="79" spans="1:3" x14ac:dyDescent="0.25">
      <c r="A79" s="39" t="s">
        <v>354</v>
      </c>
      <c r="B79" s="70" t="s">
        <v>1012</v>
      </c>
      <c r="C79" s="74">
        <v>32.827754639406997</v>
      </c>
    </row>
    <row r="80" spans="1:3" x14ac:dyDescent="0.25">
      <c r="A80" s="39" t="s">
        <v>332</v>
      </c>
      <c r="B80" s="70" t="s">
        <v>1012</v>
      </c>
      <c r="C80" s="74">
        <v>18.198335991626355</v>
      </c>
    </row>
    <row r="81" spans="1:3" x14ac:dyDescent="0.25">
      <c r="A81" s="39" t="s">
        <v>334</v>
      </c>
      <c r="B81" s="70" t="s">
        <v>1012</v>
      </c>
      <c r="C81" s="74">
        <v>21.287604662770121</v>
      </c>
    </row>
    <row r="82" spans="1:3" x14ac:dyDescent="0.25">
      <c r="A82" s="71" t="s">
        <v>350</v>
      </c>
      <c r="B82" s="70" t="s">
        <v>1007</v>
      </c>
      <c r="C82" s="74">
        <v>1.7420415164460403</v>
      </c>
    </row>
    <row r="83" spans="1:3" x14ac:dyDescent="0.25">
      <c r="A83" s="71" t="s">
        <v>313</v>
      </c>
      <c r="B83" s="70" t="s">
        <v>1007</v>
      </c>
      <c r="C83" s="74">
        <v>1.857513522619473</v>
      </c>
    </row>
    <row r="84" spans="1:3" x14ac:dyDescent="0.25">
      <c r="A84" s="39" t="s">
        <v>320</v>
      </c>
      <c r="B84" s="70" t="s">
        <v>1007</v>
      </c>
      <c r="C84" s="74">
        <v>28.888856599204185</v>
      </c>
    </row>
    <row r="85" spans="1:3" x14ac:dyDescent="0.25">
      <c r="A85" s="39" t="s">
        <v>343</v>
      </c>
      <c r="B85" s="70" t="s">
        <v>1007</v>
      </c>
      <c r="C85" s="74">
        <v>20.599512012485512</v>
      </c>
    </row>
    <row r="86" spans="1:3" x14ac:dyDescent="0.25">
      <c r="A86" s="39" t="s">
        <v>195</v>
      </c>
      <c r="B86" s="70" t="s">
        <v>1007</v>
      </c>
      <c r="C86" s="74">
        <v>7.985347533011188</v>
      </c>
    </row>
    <row r="87" spans="1:3" x14ac:dyDescent="0.25">
      <c r="A87" s="39" t="s">
        <v>193</v>
      </c>
      <c r="B87" s="70" t="s">
        <v>1007</v>
      </c>
      <c r="C87" s="74">
        <v>10.953347686331073</v>
      </c>
    </row>
    <row r="88" spans="1:3" x14ac:dyDescent="0.25">
      <c r="A88" s="39" t="s">
        <v>191</v>
      </c>
      <c r="B88" s="70" t="s">
        <v>1008</v>
      </c>
      <c r="C88" s="74">
        <v>18.65617244319267</v>
      </c>
    </row>
    <row r="89" spans="1:3" x14ac:dyDescent="0.25">
      <c r="A89" s="39" t="s">
        <v>218</v>
      </c>
      <c r="B89" s="70" t="s">
        <v>693</v>
      </c>
      <c r="C89" s="74">
        <v>8.953204937938569</v>
      </c>
    </row>
    <row r="90" spans="1:3" x14ac:dyDescent="0.25">
      <c r="A90" s="39" t="s">
        <v>197</v>
      </c>
      <c r="B90" s="70" t="s">
        <v>693</v>
      </c>
      <c r="C90" s="74">
        <v>18.620903555062636</v>
      </c>
    </row>
    <row r="91" spans="1:3" x14ac:dyDescent="0.25">
      <c r="A91" s="39" t="s">
        <v>187</v>
      </c>
      <c r="B91" s="70" t="s">
        <v>1003</v>
      </c>
      <c r="C91" s="74">
        <v>19.796407430638478</v>
      </c>
    </row>
    <row r="92" spans="1:3" x14ac:dyDescent="0.25">
      <c r="A92" s="39" t="s">
        <v>214</v>
      </c>
      <c r="B92" s="70" t="s">
        <v>693</v>
      </c>
      <c r="C92" s="74">
        <v>20.558236360788097</v>
      </c>
    </row>
    <row r="93" spans="1:3" x14ac:dyDescent="0.25">
      <c r="A93" s="39" t="s">
        <v>153</v>
      </c>
      <c r="B93" s="70" t="s">
        <v>1003</v>
      </c>
      <c r="C93" s="74">
        <v>10.509375400480517</v>
      </c>
    </row>
    <row r="94" spans="1:3" x14ac:dyDescent="0.25">
      <c r="A94" s="39" t="s">
        <v>159</v>
      </c>
      <c r="B94" s="70" t="s">
        <v>1003</v>
      </c>
      <c r="C94" s="74">
        <v>9.3704379947870464</v>
      </c>
    </row>
    <row r="95" spans="1:3" x14ac:dyDescent="0.25">
      <c r="A95" s="39" t="s">
        <v>155</v>
      </c>
      <c r="B95" s="70" t="s">
        <v>1003</v>
      </c>
      <c r="C95" s="74">
        <v>9.5650381623500511</v>
      </c>
    </row>
    <row r="96" spans="1:3" x14ac:dyDescent="0.25">
      <c r="A96" s="39" t="s">
        <v>157</v>
      </c>
      <c r="B96" s="70" t="s">
        <v>1003</v>
      </c>
      <c r="C96" s="74">
        <v>12.392289083396149</v>
      </c>
    </row>
    <row r="97" spans="1:3" x14ac:dyDescent="0.25">
      <c r="A97" s="39" t="s">
        <v>87</v>
      </c>
      <c r="B97" s="70" t="s">
        <v>1000</v>
      </c>
      <c r="C97" s="74">
        <v>1.1537462444167914</v>
      </c>
    </row>
    <row r="98" spans="1:3" x14ac:dyDescent="0.25">
      <c r="A98" s="71" t="s">
        <v>338</v>
      </c>
      <c r="B98" s="70" t="s">
        <v>1012</v>
      </c>
      <c r="C98" s="74">
        <v>34.344689881690819</v>
      </c>
    </row>
    <row r="99" spans="1:3" x14ac:dyDescent="0.25">
      <c r="A99" s="39" t="s">
        <v>285</v>
      </c>
      <c r="B99" s="70" t="s">
        <v>1006</v>
      </c>
      <c r="C99" s="74">
        <v>16.668825701583572</v>
      </c>
    </row>
    <row r="100" spans="1:3" x14ac:dyDescent="0.25">
      <c r="A100" s="39" t="s">
        <v>352</v>
      </c>
      <c r="B100" s="70" t="s">
        <v>1012</v>
      </c>
      <c r="C100" s="74">
        <v>17.035515422123492</v>
      </c>
    </row>
    <row r="101" spans="1:3" x14ac:dyDescent="0.25">
      <c r="A101" s="71" t="s">
        <v>271</v>
      </c>
      <c r="B101" s="70" t="s">
        <v>611</v>
      </c>
      <c r="C101" s="74">
        <v>12.627188913244609</v>
      </c>
    </row>
    <row r="102" spans="1:3" x14ac:dyDescent="0.25">
      <c r="A102" s="39" t="s">
        <v>11</v>
      </c>
      <c r="B102" s="70" t="s">
        <v>577</v>
      </c>
      <c r="C102" s="74">
        <v>1.1354007641426449</v>
      </c>
    </row>
    <row r="103" spans="1:3" x14ac:dyDescent="0.25">
      <c r="A103" s="39" t="s">
        <v>91</v>
      </c>
      <c r="B103" s="70" t="s">
        <v>999</v>
      </c>
      <c r="C103" s="74">
        <v>0.75842119772531946</v>
      </c>
    </row>
    <row r="104" spans="1:3" x14ac:dyDescent="0.25">
      <c r="A104" s="39" t="s">
        <v>119</v>
      </c>
      <c r="B104" s="70" t="s">
        <v>999</v>
      </c>
      <c r="C104" s="74">
        <v>6.3039408411778268</v>
      </c>
    </row>
    <row r="105" spans="1:3" x14ac:dyDescent="0.25">
      <c r="A105" s="39" t="s">
        <v>51</v>
      </c>
      <c r="B105" s="70" t="s">
        <v>999</v>
      </c>
      <c r="C105" s="74">
        <v>5.184483270539272</v>
      </c>
    </row>
    <row r="106" spans="1:3" x14ac:dyDescent="0.25">
      <c r="A106" s="39" t="s">
        <v>75</v>
      </c>
      <c r="B106" s="70" t="s">
        <v>999</v>
      </c>
      <c r="C106" s="74">
        <v>4.8862832644478198</v>
      </c>
    </row>
    <row r="107" spans="1:3" x14ac:dyDescent="0.25">
      <c r="A107" s="39" t="s">
        <v>40</v>
      </c>
      <c r="B107" s="70" t="s">
        <v>999</v>
      </c>
      <c r="C107" s="74">
        <v>4.1842484710239098</v>
      </c>
    </row>
    <row r="108" spans="1:3" x14ac:dyDescent="0.25">
      <c r="A108" s="39" t="s">
        <v>61</v>
      </c>
      <c r="B108" s="70" t="s">
        <v>999</v>
      </c>
      <c r="C108" s="74">
        <v>6.4753396248436657</v>
      </c>
    </row>
    <row r="109" spans="1:3" x14ac:dyDescent="0.25">
      <c r="A109" s="39" t="s">
        <v>89</v>
      </c>
      <c r="B109" s="70" t="s">
        <v>999</v>
      </c>
      <c r="C109" s="74">
        <v>6.7094919928483892</v>
      </c>
    </row>
    <row r="110" spans="1:3" x14ac:dyDescent="0.25">
      <c r="A110" s="39" t="s">
        <v>117</v>
      </c>
      <c r="B110" s="70" t="s">
        <v>999</v>
      </c>
      <c r="C110" s="74">
        <v>6.2085564346706201</v>
      </c>
    </row>
    <row r="111" spans="1:3" x14ac:dyDescent="0.25">
      <c r="A111" s="39" t="s">
        <v>123</v>
      </c>
      <c r="B111" s="70" t="s">
        <v>999</v>
      </c>
      <c r="C111" s="74">
        <v>7.419312682373878</v>
      </c>
    </row>
    <row r="112" spans="1:3" x14ac:dyDescent="0.25">
      <c r="A112" s="39" t="s">
        <v>125</v>
      </c>
      <c r="B112" s="70" t="s">
        <v>999</v>
      </c>
      <c r="C112" s="74">
        <v>4.6754712546149264</v>
      </c>
    </row>
    <row r="113" spans="1:3" x14ac:dyDescent="0.25">
      <c r="A113" s="39" t="s">
        <v>57</v>
      </c>
      <c r="B113" s="70" t="s">
        <v>1000</v>
      </c>
      <c r="C113" s="74">
        <v>23.222739740353646</v>
      </c>
    </row>
    <row r="114" spans="1:3" x14ac:dyDescent="0.25">
      <c r="A114" s="39" t="s">
        <v>42</v>
      </c>
      <c r="B114" s="70" t="s">
        <v>999</v>
      </c>
      <c r="C114" s="74">
        <v>0.66733171900141897</v>
      </c>
    </row>
    <row r="115" spans="1:3" x14ac:dyDescent="0.25">
      <c r="A115" s="39" t="s">
        <v>45</v>
      </c>
      <c r="B115" s="70" t="s">
        <v>999</v>
      </c>
      <c r="C115" s="74">
        <v>0.56771790814545575</v>
      </c>
    </row>
    <row r="116" spans="1:3" x14ac:dyDescent="0.25">
      <c r="A116" s="39" t="s">
        <v>46</v>
      </c>
      <c r="B116" s="70" t="s">
        <v>999</v>
      </c>
      <c r="C116" s="74">
        <v>2.814225084976667</v>
      </c>
    </row>
    <row r="117" spans="1:3" x14ac:dyDescent="0.25">
      <c r="A117" s="39" t="s">
        <v>374</v>
      </c>
      <c r="B117" s="70" t="s">
        <v>577</v>
      </c>
      <c r="C117" s="74">
        <v>4.067486452659054</v>
      </c>
    </row>
    <row r="118" spans="1:3" x14ac:dyDescent="0.25">
      <c r="A118" s="39" t="s">
        <v>375</v>
      </c>
      <c r="B118" s="70" t="s">
        <v>577</v>
      </c>
      <c r="C118" s="74">
        <v>1.9489261822960435</v>
      </c>
    </row>
    <row r="119" spans="1:3" s="131" customFormat="1" x14ac:dyDescent="0.25">
      <c r="A119" s="39" t="s">
        <v>376</v>
      </c>
      <c r="B119" s="70" t="s">
        <v>731</v>
      </c>
      <c r="C119" s="74">
        <v>0</v>
      </c>
    </row>
    <row r="120" spans="1:3" x14ac:dyDescent="0.25">
      <c r="A120" s="39" t="s">
        <v>388</v>
      </c>
      <c r="B120" s="70" t="s">
        <v>590</v>
      </c>
      <c r="C120" s="74">
        <v>0.51447052329458698</v>
      </c>
    </row>
    <row r="121" spans="1:3" x14ac:dyDescent="0.25">
      <c r="A121" s="39" t="s">
        <v>389</v>
      </c>
      <c r="B121" s="70" t="s">
        <v>602</v>
      </c>
      <c r="C121" s="74">
        <v>0.60629049139006752</v>
      </c>
    </row>
    <row r="122" spans="1:3" x14ac:dyDescent="0.25">
      <c r="A122" s="39" t="s">
        <v>390</v>
      </c>
      <c r="B122" s="70" t="s">
        <v>1008</v>
      </c>
      <c r="C122" s="74">
        <v>24.701686141136339</v>
      </c>
    </row>
    <row r="123" spans="1:3" x14ac:dyDescent="0.25">
      <c r="A123" s="39" t="s">
        <v>391</v>
      </c>
      <c r="B123" s="70" t="s">
        <v>561</v>
      </c>
      <c r="C123" s="74">
        <v>2.3794331620169178</v>
      </c>
    </row>
    <row r="124" spans="1:3" x14ac:dyDescent="0.25">
      <c r="A124" s="39" t="s">
        <v>475</v>
      </c>
      <c r="B124" s="70" t="s">
        <v>602</v>
      </c>
      <c r="C124" s="74">
        <v>13.446032768350749</v>
      </c>
    </row>
    <row r="125" spans="1:3" x14ac:dyDescent="0.25">
      <c r="A125" s="75" t="s">
        <v>750</v>
      </c>
      <c r="B125" s="70" t="s">
        <v>748</v>
      </c>
      <c r="C125" s="74">
        <v>0.23004407510846425</v>
      </c>
    </row>
    <row r="126" spans="1:3" x14ac:dyDescent="0.25">
      <c r="A126" s="71" t="s">
        <v>752</v>
      </c>
      <c r="B126" s="70" t="s">
        <v>1007</v>
      </c>
      <c r="C126" s="74">
        <v>2.3307568207764655</v>
      </c>
    </row>
    <row r="127" spans="1:3" x14ac:dyDescent="0.25">
      <c r="A127" s="75" t="s">
        <v>789</v>
      </c>
      <c r="B127" s="70" t="s">
        <v>998</v>
      </c>
      <c r="C127" s="74">
        <v>0.18710270881855062</v>
      </c>
    </row>
    <row r="128" spans="1:3" x14ac:dyDescent="0.25">
      <c r="A128" s="39" t="s">
        <v>812</v>
      </c>
      <c r="B128" s="70" t="s">
        <v>590</v>
      </c>
      <c r="C128" s="74">
        <v>17.731070777343263</v>
      </c>
    </row>
    <row r="129" spans="1:3" x14ac:dyDescent="0.25">
      <c r="A129" s="75" t="s">
        <v>816</v>
      </c>
      <c r="B129" s="70" t="s">
        <v>1013</v>
      </c>
      <c r="C129" s="74">
        <v>1.7005689699647599</v>
      </c>
    </row>
    <row r="130" spans="1:3" x14ac:dyDescent="0.25">
      <c r="A130" s="75" t="s">
        <v>820</v>
      </c>
      <c r="B130" s="70" t="s">
        <v>1013</v>
      </c>
      <c r="C130" s="74">
        <v>1.136583238544624</v>
      </c>
    </row>
    <row r="131" spans="1:3" x14ac:dyDescent="0.25">
      <c r="A131" s="39" t="s">
        <v>845</v>
      </c>
      <c r="B131" s="70" t="s">
        <v>1000</v>
      </c>
      <c r="C131" s="74">
        <v>12.257552920582597</v>
      </c>
    </row>
    <row r="132" spans="1:3" x14ac:dyDescent="0.25">
      <c r="A132" s="39" t="s">
        <v>875</v>
      </c>
      <c r="B132" s="70" t="s">
        <v>997</v>
      </c>
      <c r="C132" s="74">
        <v>0</v>
      </c>
    </row>
    <row r="133" spans="1:3" x14ac:dyDescent="0.25">
      <c r="A133" s="35" t="s">
        <v>888</v>
      </c>
      <c r="B133" s="70" t="s">
        <v>1003</v>
      </c>
      <c r="C133" s="74">
        <v>19.631786732140053</v>
      </c>
    </row>
    <row r="134" spans="1:3" x14ac:dyDescent="0.25">
      <c r="A134" s="76" t="s">
        <v>892</v>
      </c>
      <c r="B134" s="70" t="s">
        <v>1013</v>
      </c>
      <c r="C134" s="74">
        <v>4.789460146835963</v>
      </c>
    </row>
    <row r="135" spans="1:3" x14ac:dyDescent="0.25">
      <c r="A135" s="39" t="s">
        <v>911</v>
      </c>
      <c r="B135" s="70" t="s">
        <v>1003</v>
      </c>
      <c r="C135" s="74">
        <v>10.527586947557506</v>
      </c>
    </row>
    <row r="136" spans="1:3" x14ac:dyDescent="0.25">
      <c r="A136" s="39" t="s">
        <v>915</v>
      </c>
      <c r="B136" s="70" t="s">
        <v>999</v>
      </c>
      <c r="C136" s="74">
        <v>0.19374952337076978</v>
      </c>
    </row>
    <row r="137" spans="1:3" s="305" customFormat="1" x14ac:dyDescent="0.25">
      <c r="A137" s="197" t="s">
        <v>956</v>
      </c>
      <c r="B137" s="70" t="s">
        <v>999</v>
      </c>
      <c r="C137" s="74">
        <v>10</v>
      </c>
    </row>
    <row r="138" spans="1:3" s="305" customFormat="1" x14ac:dyDescent="0.25">
      <c r="A138" s="197" t="s">
        <v>985</v>
      </c>
      <c r="B138" s="70" t="s">
        <v>1006</v>
      </c>
      <c r="C138" s="74">
        <v>0</v>
      </c>
    </row>
    <row r="139" spans="1:3" s="305" customFormat="1" x14ac:dyDescent="0.25">
      <c r="A139" s="197" t="s">
        <v>986</v>
      </c>
      <c r="B139" s="70" t="s">
        <v>959</v>
      </c>
      <c r="C139" s="74">
        <v>0</v>
      </c>
    </row>
    <row r="140" spans="1:3" s="305" customFormat="1" x14ac:dyDescent="0.25">
      <c r="A140" s="197" t="s">
        <v>1044</v>
      </c>
      <c r="B140" s="70" t="s">
        <v>740</v>
      </c>
      <c r="C140" s="74">
        <v>0</v>
      </c>
    </row>
    <row r="141" spans="1:3" s="305" customFormat="1" x14ac:dyDescent="0.25">
      <c r="A141" s="197" t="s">
        <v>1054</v>
      </c>
      <c r="B141" s="70" t="s">
        <v>570</v>
      </c>
      <c r="C141" s="74">
        <v>5</v>
      </c>
    </row>
    <row r="142" spans="1:3" s="305" customFormat="1" x14ac:dyDescent="0.25">
      <c r="A142" s="197" t="s">
        <v>1055</v>
      </c>
      <c r="B142" s="70" t="s">
        <v>570</v>
      </c>
      <c r="C142" s="74">
        <v>5</v>
      </c>
    </row>
    <row r="143" spans="1:3" s="305" customFormat="1" x14ac:dyDescent="0.25">
      <c r="A143" s="198" t="s">
        <v>1056</v>
      </c>
      <c r="B143" s="70" t="s">
        <v>570</v>
      </c>
      <c r="C143" s="74">
        <v>0.75</v>
      </c>
    </row>
    <row r="144" spans="1:3" s="305" customFormat="1" x14ac:dyDescent="0.25">
      <c r="A144" s="198" t="s">
        <v>1066</v>
      </c>
      <c r="B144" s="70" t="s">
        <v>748</v>
      </c>
      <c r="C144" s="74"/>
    </row>
    <row r="145" spans="1:3" s="305" customFormat="1" x14ac:dyDescent="0.25">
      <c r="A145" s="198" t="s">
        <v>1068</v>
      </c>
      <c r="B145" s="70" t="s">
        <v>748</v>
      </c>
      <c r="C145" s="74"/>
    </row>
    <row r="146" spans="1:3" s="305" customFormat="1" x14ac:dyDescent="0.25">
      <c r="A146" s="199" t="s">
        <v>1080</v>
      </c>
      <c r="B146" s="35" t="s">
        <v>1008</v>
      </c>
      <c r="C146" s="196">
        <v>0</v>
      </c>
    </row>
    <row r="147" spans="1:3" s="305" customFormat="1" x14ac:dyDescent="0.25">
      <c r="A147" s="199" t="s">
        <v>1133</v>
      </c>
      <c r="B147" s="35" t="s">
        <v>999</v>
      </c>
      <c r="C147" s="196"/>
    </row>
    <row r="148" spans="1:3" s="305" customFormat="1" x14ac:dyDescent="0.25">
      <c r="A148" s="183" t="s">
        <v>1159</v>
      </c>
      <c r="B148" s="70" t="s">
        <v>999</v>
      </c>
      <c r="C148" s="74"/>
    </row>
    <row r="149" spans="1:3" s="305" customFormat="1" x14ac:dyDescent="0.25">
      <c r="A149" s="183" t="s">
        <v>1160</v>
      </c>
      <c r="B149" s="70" t="s">
        <v>999</v>
      </c>
      <c r="C149" s="74"/>
    </row>
    <row r="150" spans="1:3" s="305" customFormat="1" x14ac:dyDescent="0.25">
      <c r="A150" s="183" t="s">
        <v>1161</v>
      </c>
      <c r="B150" s="70" t="s">
        <v>999</v>
      </c>
      <c r="C150" s="74"/>
    </row>
    <row r="151" spans="1:3" s="305" customFormat="1" x14ac:dyDescent="0.25">
      <c r="A151" s="183" t="s">
        <v>1162</v>
      </c>
      <c r="B151" s="70" t="s">
        <v>999</v>
      </c>
      <c r="C151" s="74"/>
    </row>
    <row r="152" spans="1:3" s="305" customFormat="1" x14ac:dyDescent="0.25">
      <c r="A152" s="183" t="s">
        <v>1163</v>
      </c>
      <c r="B152" s="70" t="s">
        <v>999</v>
      </c>
      <c r="C152" s="196"/>
    </row>
    <row r="153" spans="1:3" s="305" customFormat="1" x14ac:dyDescent="0.25">
      <c r="A153" s="70" t="s">
        <v>1649</v>
      </c>
      <c r="B153" s="70" t="s">
        <v>1670</v>
      </c>
      <c r="C153" s="74">
        <v>0.4</v>
      </c>
    </row>
    <row r="154" spans="1:3" s="305" customFormat="1" x14ac:dyDescent="0.25">
      <c r="A154" s="70" t="s">
        <v>1650</v>
      </c>
      <c r="B154" s="70" t="s">
        <v>1670</v>
      </c>
      <c r="C154" s="74">
        <v>0.4</v>
      </c>
    </row>
    <row r="155" spans="1:3" s="305" customFormat="1" x14ac:dyDescent="0.25">
      <c r="A155" s="70" t="s">
        <v>1651</v>
      </c>
      <c r="B155" s="70" t="s">
        <v>1670</v>
      </c>
      <c r="C155" s="74">
        <v>0.4</v>
      </c>
    </row>
    <row r="156" spans="1:3" s="305" customFormat="1" x14ac:dyDescent="0.25">
      <c r="A156" s="70" t="s">
        <v>1652</v>
      </c>
      <c r="B156" s="70" t="s">
        <v>1670</v>
      </c>
      <c r="C156" s="74">
        <v>0.4</v>
      </c>
    </row>
    <row r="157" spans="1:3" s="305" customFormat="1" x14ac:dyDescent="0.25">
      <c r="A157" s="70" t="s">
        <v>1653</v>
      </c>
      <c r="B157" s="70" t="s">
        <v>611</v>
      </c>
      <c r="C157" s="74">
        <v>8</v>
      </c>
    </row>
    <row r="158" spans="1:3" s="305" customFormat="1" x14ac:dyDescent="0.25">
      <c r="A158" s="307" t="s">
        <v>1654</v>
      </c>
      <c r="B158" s="70" t="s">
        <v>611</v>
      </c>
      <c r="C158" s="74">
        <v>27</v>
      </c>
    </row>
    <row r="159" spans="1:3" s="305" customFormat="1" x14ac:dyDescent="0.25">
      <c r="A159" s="307" t="s">
        <v>302</v>
      </c>
      <c r="B159" s="70" t="s">
        <v>1688</v>
      </c>
      <c r="C159" s="74"/>
    </row>
    <row r="160" spans="1:3" s="305" customFormat="1" x14ac:dyDescent="0.25">
      <c r="A160" s="307" t="s">
        <v>1249</v>
      </c>
      <c r="B160" s="70" t="s">
        <v>635</v>
      </c>
      <c r="C160" s="74"/>
    </row>
    <row r="161" spans="1:3" s="305" customFormat="1" x14ac:dyDescent="0.25">
      <c r="A161" s="307" t="s">
        <v>1261</v>
      </c>
      <c r="B161" s="70" t="s">
        <v>635</v>
      </c>
      <c r="C161" s="74"/>
    </row>
    <row r="162" spans="1:3" s="305" customFormat="1" x14ac:dyDescent="0.25">
      <c r="A162" s="307" t="s">
        <v>1267</v>
      </c>
      <c r="B162" s="70" t="s">
        <v>999</v>
      </c>
      <c r="C162" s="74"/>
    </row>
    <row r="163" spans="1:3" s="305" customFormat="1" x14ac:dyDescent="0.25">
      <c r="A163" s="307" t="s">
        <v>1403</v>
      </c>
      <c r="B163" s="70" t="s">
        <v>1681</v>
      </c>
      <c r="C163" s="74"/>
    </row>
    <row r="164" spans="1:3" s="305" customFormat="1" x14ac:dyDescent="0.25">
      <c r="A164" s="307" t="s">
        <v>1404</v>
      </c>
      <c r="B164" s="70" t="s">
        <v>1681</v>
      </c>
      <c r="C164" s="74"/>
    </row>
    <row r="165" spans="1:3" s="305" customFormat="1" x14ac:dyDescent="0.25">
      <c r="A165" s="307" t="s">
        <v>1405</v>
      </c>
      <c r="B165" s="70" t="s">
        <v>1681</v>
      </c>
      <c r="C165" s="74"/>
    </row>
    <row r="166" spans="1:3" s="305" customFormat="1" x14ac:dyDescent="0.25">
      <c r="A166" s="307" t="s">
        <v>1406</v>
      </c>
      <c r="B166" s="70" t="s">
        <v>1681</v>
      </c>
      <c r="C166" s="74"/>
    </row>
    <row r="167" spans="1:3" s="305" customFormat="1" x14ac:dyDescent="0.25">
      <c r="A167" s="307" t="s">
        <v>1543</v>
      </c>
      <c r="B167" s="70" t="s">
        <v>611</v>
      </c>
      <c r="C167" s="74"/>
    </row>
    <row r="168" spans="1:3" s="305" customFormat="1" x14ac:dyDescent="0.25">
      <c r="A168" s="672" t="s">
        <v>1545</v>
      </c>
      <c r="B168" s="70" t="s">
        <v>1012</v>
      </c>
      <c r="C168" s="74"/>
    </row>
    <row r="169" spans="1:3" x14ac:dyDescent="0.25">
      <c r="A169" s="39" t="s">
        <v>938</v>
      </c>
      <c r="B169" s="70" t="s">
        <v>1003</v>
      </c>
      <c r="C169" s="74">
        <v>9.2957189123335944</v>
      </c>
    </row>
    <row r="170" spans="1:3" s="305" customFormat="1" x14ac:dyDescent="0.25">
      <c r="A170" s="197" t="s">
        <v>1690</v>
      </c>
      <c r="B170" s="70" t="s">
        <v>611</v>
      </c>
      <c r="C170" s="74">
        <v>10</v>
      </c>
    </row>
    <row r="171" spans="1:3" s="305" customFormat="1" x14ac:dyDescent="0.25">
      <c r="A171" s="197" t="s">
        <v>1691</v>
      </c>
      <c r="B171" s="70" t="s">
        <v>1696</v>
      </c>
      <c r="C171" s="74">
        <v>0</v>
      </c>
    </row>
    <row r="172" spans="1:3" s="305" customFormat="1" x14ac:dyDescent="0.25">
      <c r="A172" s="197" t="s">
        <v>1692</v>
      </c>
      <c r="B172" s="70" t="s">
        <v>611</v>
      </c>
      <c r="C172" s="74">
        <v>51</v>
      </c>
    </row>
    <row r="173" spans="1:3" s="305" customFormat="1" x14ac:dyDescent="0.25">
      <c r="A173" s="197" t="s">
        <v>1693</v>
      </c>
      <c r="B173" s="70" t="s">
        <v>1000</v>
      </c>
      <c r="C173" s="74">
        <v>10</v>
      </c>
    </row>
    <row r="174" spans="1:3" s="305" customFormat="1" x14ac:dyDescent="0.25">
      <c r="A174" s="197" t="s">
        <v>1694</v>
      </c>
      <c r="B174" s="197" t="s">
        <v>635</v>
      </c>
      <c r="C174" s="74">
        <v>0</v>
      </c>
    </row>
    <row r="175" spans="1:3" s="305" customFormat="1" x14ac:dyDescent="0.25">
      <c r="A175" s="197" t="s">
        <v>1695</v>
      </c>
      <c r="B175" s="197" t="s">
        <v>1000</v>
      </c>
      <c r="C175" s="74">
        <v>0</v>
      </c>
    </row>
    <row r="176" spans="1:3" x14ac:dyDescent="0.25">
      <c r="A176" s="39" t="s">
        <v>287</v>
      </c>
      <c r="B176" s="70" t="s">
        <v>1003</v>
      </c>
      <c r="C176" s="74">
        <v>1.5619149693996526</v>
      </c>
    </row>
    <row r="177" spans="1:3" x14ac:dyDescent="0.25">
      <c r="A177" s="39" t="s">
        <v>294</v>
      </c>
      <c r="B177" s="70" t="s">
        <v>1003</v>
      </c>
      <c r="C177" s="74">
        <v>1.5239325151406049</v>
      </c>
    </row>
    <row r="178" spans="1:3" x14ac:dyDescent="0.25">
      <c r="A178" s="39" t="s">
        <v>290</v>
      </c>
      <c r="B178" s="70" t="s">
        <v>1003</v>
      </c>
      <c r="C178" s="74">
        <v>1.7369508287203668</v>
      </c>
    </row>
    <row r="179" spans="1:3" x14ac:dyDescent="0.25">
      <c r="A179" s="39" t="s">
        <v>234</v>
      </c>
      <c r="B179" s="70" t="s">
        <v>1010</v>
      </c>
      <c r="C179" s="74">
        <v>7.490291417449443</v>
      </c>
    </row>
    <row r="180" spans="1:3" x14ac:dyDescent="0.25">
      <c r="A180" s="39" t="s">
        <v>147</v>
      </c>
      <c r="B180" s="70" t="s">
        <v>1004</v>
      </c>
      <c r="C180" s="74">
        <v>23.172399462804503</v>
      </c>
    </row>
    <row r="181" spans="1:3" x14ac:dyDescent="0.25">
      <c r="A181" s="39" t="s">
        <v>148</v>
      </c>
      <c r="B181" s="70" t="s">
        <v>1003</v>
      </c>
      <c r="C181" s="74">
        <v>21.148671772283631</v>
      </c>
    </row>
    <row r="182" spans="1:3" x14ac:dyDescent="0.25">
      <c r="A182" s="39" t="s">
        <v>165</v>
      </c>
      <c r="B182" s="70" t="s">
        <v>1005</v>
      </c>
      <c r="C182" s="74">
        <v>0.43878855438285824</v>
      </c>
    </row>
    <row r="183" spans="1:3" x14ac:dyDescent="0.25">
      <c r="A183" s="39" t="s">
        <v>168</v>
      </c>
      <c r="B183" s="70" t="s">
        <v>1010</v>
      </c>
      <c r="C183" s="74">
        <v>18.405283544772924</v>
      </c>
    </row>
    <row r="184" spans="1:3" x14ac:dyDescent="0.25">
      <c r="A184" s="39" t="s">
        <v>170</v>
      </c>
      <c r="B184" s="70" t="s">
        <v>1010</v>
      </c>
      <c r="C184" s="74">
        <v>12.794700705104317</v>
      </c>
    </row>
    <row r="185" spans="1:3" x14ac:dyDescent="0.25">
      <c r="A185" s="39" t="s">
        <v>232</v>
      </c>
      <c r="B185" s="70" t="s">
        <v>1009</v>
      </c>
      <c r="C185" s="74">
        <v>1.789574394782699</v>
      </c>
    </row>
    <row r="186" spans="1:3" x14ac:dyDescent="0.25">
      <c r="A186" s="39" t="s">
        <v>296</v>
      </c>
      <c r="B186" s="70" t="s">
        <v>755</v>
      </c>
      <c r="C186" s="74">
        <v>0.37588352961435612</v>
      </c>
    </row>
    <row r="187" spans="1:3" x14ac:dyDescent="0.25">
      <c r="A187" s="39" t="s">
        <v>380</v>
      </c>
      <c r="B187" s="70" t="s">
        <v>669</v>
      </c>
      <c r="C187" s="74">
        <v>11.65743881259678</v>
      </c>
    </row>
    <row r="188" spans="1:3" x14ac:dyDescent="0.25">
      <c r="A188" s="39" t="s">
        <v>381</v>
      </c>
      <c r="B188" s="70" t="s">
        <v>669</v>
      </c>
      <c r="C188" s="74">
        <v>1.9281430163271129</v>
      </c>
    </row>
    <row r="189" spans="1:3" x14ac:dyDescent="0.25">
      <c r="A189" s="39" t="s">
        <v>382</v>
      </c>
      <c r="B189" s="70" t="s">
        <v>669</v>
      </c>
      <c r="C189" s="74">
        <v>0.42212558305526549</v>
      </c>
    </row>
    <row r="190" spans="1:3" x14ac:dyDescent="0.25">
      <c r="A190" s="39" t="s">
        <v>383</v>
      </c>
      <c r="B190" s="70" t="s">
        <v>669</v>
      </c>
      <c r="C190" s="74">
        <v>21.050742639251741</v>
      </c>
    </row>
    <row r="191" spans="1:3" x14ac:dyDescent="0.25">
      <c r="A191" s="39" t="s">
        <v>385</v>
      </c>
      <c r="B191" s="70" t="s">
        <v>669</v>
      </c>
      <c r="C191" s="74">
        <v>13.632081902964599</v>
      </c>
    </row>
    <row r="192" spans="1:3" x14ac:dyDescent="0.25">
      <c r="A192" s="39" t="s">
        <v>386</v>
      </c>
      <c r="B192" s="70" t="s">
        <v>1010</v>
      </c>
      <c r="C192" s="74">
        <v>5.5919136174199959</v>
      </c>
    </row>
    <row r="193" spans="1:3" x14ac:dyDescent="0.25">
      <c r="A193" s="39" t="s">
        <v>772</v>
      </c>
      <c r="B193" s="70" t="s">
        <v>1001</v>
      </c>
      <c r="C193" s="74">
        <v>30.037709702375544</v>
      </c>
    </row>
    <row r="194" spans="1:3" x14ac:dyDescent="0.25">
      <c r="A194" s="39" t="s">
        <v>761</v>
      </c>
      <c r="B194" s="70" t="s">
        <v>1005</v>
      </c>
      <c r="C194" s="74">
        <v>0.71762888500316424</v>
      </c>
    </row>
    <row r="195" spans="1:3" x14ac:dyDescent="0.25">
      <c r="A195" s="39" t="s">
        <v>762</v>
      </c>
      <c r="B195" s="70" t="s">
        <v>755</v>
      </c>
      <c r="C195" s="74">
        <v>0.63626694856259092</v>
      </c>
    </row>
    <row r="196" spans="1:3" x14ac:dyDescent="0.25">
      <c r="A196" s="35" t="s">
        <v>903</v>
      </c>
      <c r="B196" s="70" t="s">
        <v>898</v>
      </c>
      <c r="C196" s="74">
        <v>1.989668595899414</v>
      </c>
    </row>
    <row r="197" spans="1:3" x14ac:dyDescent="0.25">
      <c r="A197" s="35" t="s">
        <v>905</v>
      </c>
      <c r="B197" s="70" t="s">
        <v>1003</v>
      </c>
      <c r="C197" s="74">
        <v>2.0141034419413328</v>
      </c>
    </row>
    <row r="198" spans="1:3" x14ac:dyDescent="0.25">
      <c r="A198" s="35" t="s">
        <v>909</v>
      </c>
      <c r="B198" s="70" t="s">
        <v>1003</v>
      </c>
      <c r="C198" s="74">
        <v>2.8590638493982405</v>
      </c>
    </row>
    <row r="199" spans="1:3" s="305" customFormat="1" x14ac:dyDescent="0.25">
      <c r="A199" s="197" t="s">
        <v>956</v>
      </c>
      <c r="B199" s="70" t="s">
        <v>999</v>
      </c>
      <c r="C199" s="74"/>
    </row>
    <row r="200" spans="1:3" x14ac:dyDescent="0.25">
      <c r="A200" s="35" t="s">
        <v>913</v>
      </c>
      <c r="B200" s="70" t="s">
        <v>898</v>
      </c>
      <c r="C200" s="74">
        <v>2.1362355825722199</v>
      </c>
    </row>
    <row r="201" spans="1:3" x14ac:dyDescent="0.25">
      <c r="A201" s="307" t="s">
        <v>1743</v>
      </c>
      <c r="B201" s="70" t="s">
        <v>611</v>
      </c>
      <c r="C201" s="74">
        <v>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AA25"/>
  <sheetViews>
    <sheetView showZeros="0" workbookViewId="0">
      <selection activeCell="D26" sqref="D26"/>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38" customWidth="1"/>
    <col min="12" max="12" width="15.28515625" customWidth="1"/>
    <col min="13" max="13" width="15.28515625" style="38" customWidth="1"/>
    <col min="14" max="14" width="14.85546875" customWidth="1"/>
    <col min="16" max="16" width="22.5703125" customWidth="1"/>
    <col min="17" max="17" width="21.42578125" customWidth="1"/>
    <col min="22" max="22" width="16.7109375" bestFit="1" customWidth="1"/>
  </cols>
  <sheetData>
    <row r="1" spans="1:27" s="11" customFormat="1" x14ac:dyDescent="0.25">
      <c r="A1" s="11" t="s">
        <v>446</v>
      </c>
      <c r="B1" s="11" t="s">
        <v>448</v>
      </c>
      <c r="C1" s="11" t="s">
        <v>447</v>
      </c>
      <c r="D1" s="11" t="s">
        <v>406</v>
      </c>
      <c r="E1" s="11" t="s">
        <v>450</v>
      </c>
      <c r="F1" s="11" t="s">
        <v>449</v>
      </c>
      <c r="J1" s="2" t="s">
        <v>392</v>
      </c>
      <c r="K1" s="2"/>
      <c r="L1" s="2" t="s">
        <v>378</v>
      </c>
      <c r="M1" s="2"/>
      <c r="N1" s="2" t="s">
        <v>506</v>
      </c>
      <c r="O1" s="2"/>
      <c r="P1" s="2" t="s">
        <v>398</v>
      </c>
      <c r="Q1" s="2" t="s">
        <v>459</v>
      </c>
      <c r="R1"/>
      <c r="S1" s="2" t="s">
        <v>1069</v>
      </c>
      <c r="V1" s="2" t="s">
        <v>398</v>
      </c>
      <c r="X1" s="2" t="s">
        <v>458</v>
      </c>
      <c r="Y1" s="714" t="s">
        <v>1035</v>
      </c>
      <c r="AA1" s="2" t="s">
        <v>457</v>
      </c>
    </row>
    <row r="2" spans="1:27" x14ac:dyDescent="0.25">
      <c r="A2" t="s">
        <v>415</v>
      </c>
      <c r="B2" t="s">
        <v>439</v>
      </c>
      <c r="C2" t="s">
        <v>429</v>
      </c>
      <c r="D2" t="s">
        <v>432</v>
      </c>
      <c r="E2" s="38">
        <v>12</v>
      </c>
      <c r="F2">
        <v>2</v>
      </c>
      <c r="J2" s="13" t="s">
        <v>378</v>
      </c>
      <c r="K2" s="13"/>
      <c r="L2" s="13" t="s">
        <v>5</v>
      </c>
      <c r="M2" s="13"/>
      <c r="N2" s="13" t="s">
        <v>146</v>
      </c>
      <c r="O2" s="13"/>
      <c r="P2" s="13" t="s">
        <v>393</v>
      </c>
      <c r="Q2" s="13" t="s">
        <v>454</v>
      </c>
      <c r="S2" t="s">
        <v>1070</v>
      </c>
      <c r="V2" t="s">
        <v>848</v>
      </c>
      <c r="X2" s="305" t="s">
        <v>775</v>
      </c>
      <c r="Y2" s="706"/>
      <c r="AA2" t="s">
        <v>464</v>
      </c>
    </row>
    <row r="3" spans="1:27" x14ac:dyDescent="0.25">
      <c r="A3" t="s">
        <v>1015</v>
      </c>
      <c r="B3" t="s">
        <v>1017</v>
      </c>
      <c r="C3" t="s">
        <v>1018</v>
      </c>
      <c r="D3" t="s">
        <v>1019</v>
      </c>
      <c r="E3" s="38">
        <v>12</v>
      </c>
      <c r="F3">
        <v>1</v>
      </c>
      <c r="J3" s="13" t="s">
        <v>379</v>
      </c>
      <c r="K3" s="13"/>
      <c r="L3" s="13" t="s">
        <v>27</v>
      </c>
      <c r="M3" s="13"/>
      <c r="N3" s="13" t="s">
        <v>166</v>
      </c>
      <c r="O3" s="13"/>
      <c r="P3" s="13" t="s">
        <v>394</v>
      </c>
      <c r="Q3" s="13" t="s">
        <v>455</v>
      </c>
      <c r="S3" t="s">
        <v>1071</v>
      </c>
      <c r="V3" t="s">
        <v>507</v>
      </c>
      <c r="X3" s="305" t="s">
        <v>1740</v>
      </c>
      <c r="Y3" t="s">
        <v>994</v>
      </c>
      <c r="AA3" t="s">
        <v>466</v>
      </c>
    </row>
    <row r="4" spans="1:27" x14ac:dyDescent="0.25">
      <c r="A4" t="s">
        <v>421</v>
      </c>
      <c r="B4" t="s">
        <v>440</v>
      </c>
      <c r="C4" t="s">
        <v>425</v>
      </c>
      <c r="D4" t="s">
        <v>435</v>
      </c>
      <c r="E4" s="38">
        <v>12</v>
      </c>
      <c r="F4">
        <v>1</v>
      </c>
      <c r="J4" s="13" t="s">
        <v>506</v>
      </c>
      <c r="K4" s="13"/>
      <c r="L4" s="13" t="s">
        <v>480</v>
      </c>
      <c r="M4" s="13"/>
      <c r="N4" s="13" t="s">
        <v>230</v>
      </c>
      <c r="O4" s="13"/>
      <c r="P4" s="13" t="s">
        <v>395</v>
      </c>
      <c r="Q4" s="13" t="s">
        <v>453</v>
      </c>
      <c r="V4" t="s">
        <v>1571</v>
      </c>
      <c r="X4" s="305" t="s">
        <v>1739</v>
      </c>
    </row>
    <row r="5" spans="1:27" x14ac:dyDescent="0.25">
      <c r="A5" t="s">
        <v>416</v>
      </c>
      <c r="B5" t="s">
        <v>441</v>
      </c>
      <c r="C5" t="s">
        <v>430</v>
      </c>
      <c r="D5" t="s">
        <v>433</v>
      </c>
      <c r="E5" s="38">
        <v>12</v>
      </c>
      <c r="F5">
        <v>1</v>
      </c>
      <c r="J5" s="2"/>
      <c r="K5" s="2"/>
      <c r="L5" s="13" t="s">
        <v>361</v>
      </c>
      <c r="M5" s="13"/>
      <c r="N5" s="13" t="s">
        <v>288</v>
      </c>
      <c r="O5" s="13"/>
      <c r="P5" s="13" t="s">
        <v>396</v>
      </c>
      <c r="Q5" s="13"/>
      <c r="V5" t="s">
        <v>12</v>
      </c>
    </row>
    <row r="6" spans="1:27" x14ac:dyDescent="0.25">
      <c r="A6" t="s">
        <v>536</v>
      </c>
      <c r="B6" t="s">
        <v>442</v>
      </c>
      <c r="C6" t="s">
        <v>434</v>
      </c>
      <c r="D6" t="s">
        <v>438</v>
      </c>
      <c r="E6" s="38">
        <v>12</v>
      </c>
      <c r="F6">
        <v>2</v>
      </c>
      <c r="J6" s="13"/>
      <c r="K6" s="13"/>
      <c r="L6" s="13" t="s">
        <v>144</v>
      </c>
      <c r="M6" s="13"/>
      <c r="N6" s="13" t="s">
        <v>297</v>
      </c>
      <c r="O6" s="13"/>
      <c r="P6" s="13" t="s">
        <v>397</v>
      </c>
      <c r="Q6" s="13"/>
      <c r="V6" t="s">
        <v>1741</v>
      </c>
    </row>
    <row r="7" spans="1:27" x14ac:dyDescent="0.25">
      <c r="A7" t="s">
        <v>400</v>
      </c>
      <c r="B7" t="s">
        <v>443</v>
      </c>
      <c r="C7" t="s">
        <v>426</v>
      </c>
      <c r="D7" t="s">
        <v>436</v>
      </c>
      <c r="E7" s="38">
        <v>12</v>
      </c>
      <c r="F7">
        <v>1</v>
      </c>
      <c r="J7" s="13"/>
      <c r="K7" s="13"/>
      <c r="L7" s="38" t="s">
        <v>817</v>
      </c>
      <c r="N7" s="13" t="s">
        <v>719</v>
      </c>
      <c r="O7" s="13"/>
      <c r="P7" s="13"/>
      <c r="Q7" s="13"/>
    </row>
    <row r="8" spans="1:27" x14ac:dyDescent="0.25">
      <c r="A8" t="s">
        <v>422</v>
      </c>
      <c r="B8" t="s">
        <v>444</v>
      </c>
      <c r="C8" t="s">
        <v>427</v>
      </c>
      <c r="D8" t="s">
        <v>437</v>
      </c>
      <c r="E8" s="38">
        <v>12</v>
      </c>
      <c r="F8">
        <v>1</v>
      </c>
      <c r="J8" s="13"/>
      <c r="K8" s="13"/>
      <c r="L8" s="13" t="s">
        <v>151</v>
      </c>
      <c r="M8" s="13"/>
      <c r="O8" s="13"/>
      <c r="P8" s="13"/>
      <c r="Q8" s="13"/>
    </row>
    <row r="9" spans="1:27" x14ac:dyDescent="0.25">
      <c r="A9" t="s">
        <v>423</v>
      </c>
      <c r="B9" t="s">
        <v>445</v>
      </c>
      <c r="C9" t="s">
        <v>428</v>
      </c>
      <c r="D9" t="s">
        <v>431</v>
      </c>
      <c r="E9" s="38">
        <v>12</v>
      </c>
      <c r="F9">
        <v>1</v>
      </c>
      <c r="J9" s="13"/>
      <c r="K9" s="13"/>
      <c r="L9" s="13" t="s">
        <v>173</v>
      </c>
      <c r="M9" s="13"/>
      <c r="N9" s="13"/>
      <c r="O9" s="13"/>
      <c r="P9" s="13"/>
      <c r="Q9" s="13"/>
    </row>
    <row r="10" spans="1:27" x14ac:dyDescent="0.25">
      <c r="A10" t="s">
        <v>525</v>
      </c>
      <c r="B10" s="30" t="s">
        <v>527</v>
      </c>
      <c r="C10" s="30" t="s">
        <v>529</v>
      </c>
      <c r="D10" s="30" t="s">
        <v>531</v>
      </c>
      <c r="E10" s="38">
        <v>12</v>
      </c>
      <c r="F10" s="30">
        <v>1</v>
      </c>
      <c r="J10" s="13"/>
      <c r="K10" s="13"/>
      <c r="L10" s="13" t="s">
        <v>180</v>
      </c>
      <c r="M10" s="13"/>
      <c r="N10" s="13"/>
      <c r="O10" s="13"/>
      <c r="P10" s="13"/>
      <c r="Q10" s="13"/>
    </row>
    <row r="11" spans="1:27" x14ac:dyDescent="0.25">
      <c r="A11" t="s">
        <v>526</v>
      </c>
      <c r="B11" s="30" t="s">
        <v>528</v>
      </c>
      <c r="C11" s="30" t="s">
        <v>530</v>
      </c>
      <c r="D11" s="30" t="s">
        <v>532</v>
      </c>
      <c r="E11" s="38">
        <v>12</v>
      </c>
      <c r="F11" s="30">
        <v>5</v>
      </c>
      <c r="J11" s="13"/>
      <c r="K11" s="13"/>
      <c r="L11" s="13" t="s">
        <v>185</v>
      </c>
      <c r="M11" s="13"/>
      <c r="N11" s="13"/>
      <c r="O11" s="13"/>
      <c r="P11" s="13"/>
      <c r="Q11" s="13"/>
    </row>
    <row r="12" spans="1:27" x14ac:dyDescent="0.25">
      <c r="A12" t="s">
        <v>849</v>
      </c>
      <c r="B12" s="38" t="s">
        <v>850</v>
      </c>
      <c r="C12" s="38" t="s">
        <v>851</v>
      </c>
      <c r="D12" s="38" t="s">
        <v>852</v>
      </c>
      <c r="E12" s="38">
        <v>12</v>
      </c>
      <c r="F12">
        <v>2</v>
      </c>
      <c r="J12" s="13"/>
      <c r="K12" s="13"/>
      <c r="L12" s="13" t="s">
        <v>377</v>
      </c>
      <c r="M12" s="13"/>
      <c r="N12" s="13"/>
      <c r="O12" s="13"/>
      <c r="P12" s="13"/>
      <c r="Q12" s="13"/>
    </row>
    <row r="13" spans="1:27" x14ac:dyDescent="0.25">
      <c r="A13" s="38" t="s">
        <v>853</v>
      </c>
      <c r="B13" s="38" t="s">
        <v>854</v>
      </c>
      <c r="C13" s="38" t="s">
        <v>855</v>
      </c>
      <c r="D13" s="38" t="s">
        <v>856</v>
      </c>
      <c r="E13" s="38">
        <v>12</v>
      </c>
      <c r="F13">
        <v>3</v>
      </c>
      <c r="J13" s="13"/>
      <c r="K13" s="13"/>
      <c r="L13" s="13" t="s">
        <v>237</v>
      </c>
      <c r="M13" s="13"/>
      <c r="N13" s="13"/>
      <c r="O13" s="13"/>
      <c r="P13" s="13"/>
      <c r="Q13" s="13"/>
    </row>
    <row r="14" spans="1:27" x14ac:dyDescent="0.25">
      <c r="A14" t="s">
        <v>857</v>
      </c>
      <c r="B14" s="38" t="s">
        <v>858</v>
      </c>
      <c r="C14" s="38" t="s">
        <v>859</v>
      </c>
      <c r="D14" s="38" t="s">
        <v>860</v>
      </c>
      <c r="E14" s="38">
        <v>12</v>
      </c>
      <c r="F14">
        <v>10</v>
      </c>
      <c r="J14" s="13"/>
      <c r="K14" s="13"/>
      <c r="L14" s="13" t="s">
        <v>299</v>
      </c>
      <c r="M14" s="13"/>
      <c r="N14" s="13"/>
      <c r="O14" s="13"/>
      <c r="P14" s="13"/>
      <c r="Q14" s="13"/>
    </row>
    <row r="15" spans="1:27" x14ac:dyDescent="0.25">
      <c r="A15" t="s">
        <v>946</v>
      </c>
      <c r="B15" t="s">
        <v>947</v>
      </c>
      <c r="C15" s="38" t="s">
        <v>948</v>
      </c>
      <c r="D15" s="38" t="s">
        <v>949</v>
      </c>
      <c r="E15" s="38">
        <v>24</v>
      </c>
      <c r="F15">
        <v>2</v>
      </c>
      <c r="J15" s="13"/>
      <c r="K15" s="13"/>
      <c r="L15" s="13" t="s">
        <v>301</v>
      </c>
      <c r="M15" s="13"/>
      <c r="N15" s="13"/>
      <c r="O15" s="13"/>
      <c r="P15" s="13"/>
      <c r="Q15" s="13"/>
    </row>
    <row r="16" spans="1:27" x14ac:dyDescent="0.25">
      <c r="A16" t="s">
        <v>1072</v>
      </c>
      <c r="B16" t="s">
        <v>1074</v>
      </c>
      <c r="C16" t="s">
        <v>1075</v>
      </c>
      <c r="D16" t="s">
        <v>1076</v>
      </c>
      <c r="E16">
        <v>12</v>
      </c>
      <c r="F16">
        <v>1</v>
      </c>
      <c r="J16" s="13"/>
      <c r="K16" s="13"/>
      <c r="L16" s="13" t="s">
        <v>746</v>
      </c>
      <c r="M16" s="13"/>
      <c r="N16" s="13"/>
      <c r="O16" s="13"/>
      <c r="P16" s="13"/>
      <c r="Q16" s="13"/>
    </row>
    <row r="17" spans="1:17" x14ac:dyDescent="0.25">
      <c r="J17" s="13"/>
      <c r="K17" s="13"/>
      <c r="L17" s="13" t="s">
        <v>309</v>
      </c>
      <c r="M17" s="13"/>
      <c r="N17" s="13"/>
      <c r="O17" s="13"/>
      <c r="P17" s="13"/>
      <c r="Q17" s="13"/>
    </row>
    <row r="18" spans="1:17" x14ac:dyDescent="0.25">
      <c r="J18" s="13"/>
      <c r="K18" s="13"/>
      <c r="L18" s="13" t="s">
        <v>1135</v>
      </c>
      <c r="M18" s="13"/>
      <c r="N18" s="13"/>
      <c r="O18" s="13"/>
      <c r="P18" s="13"/>
      <c r="Q18" s="13"/>
    </row>
    <row r="19" spans="1:17" x14ac:dyDescent="0.25">
      <c r="J19" s="13"/>
      <c r="K19" s="13"/>
      <c r="L19" s="13"/>
      <c r="M19" s="13"/>
      <c r="N19" s="13"/>
      <c r="O19" s="13"/>
      <c r="P19" s="13"/>
      <c r="Q19" s="13"/>
    </row>
    <row r="20" spans="1:17" x14ac:dyDescent="0.25">
      <c r="A20" s="2"/>
      <c r="J20" s="13"/>
      <c r="K20" s="13"/>
      <c r="L20" s="13"/>
      <c r="M20" s="13"/>
      <c r="N20" s="13"/>
      <c r="O20" s="13"/>
      <c r="P20" s="13"/>
      <c r="Q20" s="13"/>
    </row>
    <row r="21" spans="1:17" x14ac:dyDescent="0.25">
      <c r="L21" s="13"/>
    </row>
    <row r="22" spans="1:17" x14ac:dyDescent="0.25">
      <c r="L22" s="13"/>
    </row>
    <row r="23" spans="1:17" x14ac:dyDescent="0.25">
      <c r="A23" t="s">
        <v>976</v>
      </c>
      <c r="B23" s="17">
        <v>43404</v>
      </c>
      <c r="L23" s="13"/>
    </row>
    <row r="24" spans="1:17" x14ac:dyDescent="0.25">
      <c r="A24" t="s">
        <v>977</v>
      </c>
      <c r="B24" s="73">
        <v>41640</v>
      </c>
      <c r="C24" s="73"/>
      <c r="L24" s="13"/>
    </row>
    <row r="25" spans="1:17" x14ac:dyDescent="0.25">
      <c r="B25" s="73"/>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2"/>
  <sheetViews>
    <sheetView workbookViewId="0">
      <selection activeCell="B26" sqref="B26"/>
    </sheetView>
  </sheetViews>
  <sheetFormatPr defaultRowHeight="15" x14ac:dyDescent="0.25"/>
  <cols>
    <col min="1" max="1" width="17" customWidth="1"/>
    <col min="2" max="2" width="12" customWidth="1"/>
    <col min="3" max="3" width="10.5703125" bestFit="1" customWidth="1"/>
    <col min="4" max="4" width="11.5703125" customWidth="1"/>
  </cols>
  <sheetData>
    <row r="1" spans="1:5" x14ac:dyDescent="0.25">
      <c r="A1" t="s">
        <v>464</v>
      </c>
      <c r="D1" t="s">
        <v>419</v>
      </c>
    </row>
    <row r="2" spans="1:5" x14ac:dyDescent="0.25">
      <c r="A2" t="s">
        <v>507</v>
      </c>
      <c r="B2" s="373">
        <f>SUMIFS(CampList[Total],CampList[Type of Accomodation],Graphs!$A2,CampList[Status],Definition!$X$3,CampList[Accessibility],Definition!$AA$2)</f>
        <v>57999</v>
      </c>
      <c r="C2" s="388"/>
      <c r="D2" s="305" t="s">
        <v>1398</v>
      </c>
      <c r="E2" s="305"/>
    </row>
    <row r="3" spans="1:5" x14ac:dyDescent="0.25">
      <c r="A3" t="s">
        <v>1387</v>
      </c>
      <c r="B3" s="373">
        <f>SUMIFS(CampList[Total],CampList[Type of Accomodation],Graphs!$A3,CampList[Status],Definition!$X$3,CampList[Accessibility],Definition!$AA$2)</f>
        <v>5279</v>
      </c>
      <c r="C3" s="388"/>
      <c r="D3" t="s">
        <v>1258</v>
      </c>
      <c r="E3" s="305">
        <f>COUNTIF('NFI Distributions'!D5:D61,"NRC")</f>
        <v>2</v>
      </c>
    </row>
    <row r="4" spans="1:5" x14ac:dyDescent="0.25">
      <c r="A4" t="s">
        <v>848</v>
      </c>
      <c r="B4" s="373">
        <f>SUMIFS(CampList[Total],CampList[Type of Accomodation],Graphs!$A4,CampList[Status],Definition!$X$3,CampList[Accessibility],Definition!$AA$2)</f>
        <v>0</v>
      </c>
      <c r="C4" s="389"/>
      <c r="D4" t="s">
        <v>1396</v>
      </c>
      <c r="E4">
        <f>COUNTIF('NFI Distributions'!D40:D62,"NRC/KBC")</f>
        <v>0</v>
      </c>
    </row>
    <row r="5" spans="1:5" x14ac:dyDescent="0.25">
      <c r="A5" t="s">
        <v>1381</v>
      </c>
      <c r="B5" s="373">
        <f>SUMIFS(CampList[Total],CampList[Type of Accomodation],Graphs!$A5,CampList[Status],Definition!$X$3,CampList[Accessibility],Definition!$AA$2)</f>
        <v>4667</v>
      </c>
      <c r="C5" s="388"/>
      <c r="D5" t="s">
        <v>778</v>
      </c>
      <c r="E5" s="305">
        <f>COUNTIF('NFI Distributions'!D41:D63,"Metta")</f>
        <v>0</v>
      </c>
    </row>
    <row r="6" spans="1:5" x14ac:dyDescent="0.25">
      <c r="A6" s="305"/>
      <c r="B6" s="373"/>
      <c r="D6" t="s">
        <v>825</v>
      </c>
      <c r="E6" s="305">
        <f>COUNTIF('NFI Distributions'!D42:D64,"MRCS")</f>
        <v>0</v>
      </c>
    </row>
    <row r="7" spans="1:5" x14ac:dyDescent="0.25">
      <c r="B7" s="373"/>
      <c r="D7" t="s">
        <v>1397</v>
      </c>
      <c r="E7" s="305">
        <f>COUNTIF('NFI Distributions'!D43:D65,"UNHCR/Shalom")</f>
        <v>0</v>
      </c>
    </row>
    <row r="8" spans="1:5" x14ac:dyDescent="0.25">
      <c r="A8" t="s">
        <v>466</v>
      </c>
      <c r="B8" s="373"/>
    </row>
    <row r="9" spans="1:5" x14ac:dyDescent="0.25">
      <c r="A9" s="305" t="s">
        <v>507</v>
      </c>
      <c r="B9" s="373">
        <f>SUMIFS(CampList[Total],CampList[Type of Accomodation],Graphs!$A9,CampList[Status],Definition!$X$3,CampList[Accessibility],Definition!$AA$3)</f>
        <v>37037</v>
      </c>
      <c r="C9" s="388"/>
    </row>
    <row r="10" spans="1:5" x14ac:dyDescent="0.25">
      <c r="A10" s="305" t="s">
        <v>1387</v>
      </c>
      <c r="B10" s="373">
        <f>SUMIFS(CampList[Total],CampList[Type of Accomodation],Graphs!$A10,CampList[Status],Definition!$X$3,CampList[Accessibility],Definition!$AA$3)</f>
        <v>0</v>
      </c>
      <c r="C10" s="388"/>
    </row>
    <row r="11" spans="1:5" x14ac:dyDescent="0.25">
      <c r="A11" s="305" t="s">
        <v>848</v>
      </c>
      <c r="B11" s="373">
        <f>SUMIFS(CampList[Total],CampList[Type of Accomodation],Graphs!$A11,CampList[Status],Definition!$X$3,CampList[Accessibility],Definition!$AA$3)</f>
        <v>872</v>
      </c>
      <c r="C11" s="388"/>
    </row>
    <row r="12" spans="1:5" x14ac:dyDescent="0.25">
      <c r="A12" s="305" t="s">
        <v>1381</v>
      </c>
      <c r="B12" s="373">
        <f>SUMIFS(CampList[Total],CampList[Type of Accomodation],Graphs!$A12,CampList[Status],Definition!$X$3,CampList[Accessibility],Definition!$AA$3)</f>
        <v>0</v>
      </c>
      <c r="C12" s="388"/>
    </row>
    <row r="13" spans="1:5" s="305" customFormat="1" x14ac:dyDescent="0.25">
      <c r="B13" s="373"/>
      <c r="C13" s="388"/>
    </row>
    <row r="15" spans="1:5" x14ac:dyDescent="0.25">
      <c r="A15" t="s">
        <v>1388</v>
      </c>
    </row>
    <row r="16" spans="1:5" x14ac:dyDescent="0.25">
      <c r="A16" t="s">
        <v>378</v>
      </c>
      <c r="B16">
        <f>SUMIFS(CampList[Total],CampList[Status],Definition!$X$3,CampList[State],Definition!$J$2)</f>
        <v>96607</v>
      </c>
    </row>
    <row r="17" spans="1:5" x14ac:dyDescent="0.25">
      <c r="A17" t="s">
        <v>1149</v>
      </c>
      <c r="B17" s="305">
        <f>SUMIFS(CampList[Total],CampList[Status],Definition!$X$3,CampList[State],Definition!$J$4,CampList[Affected Population],Definition!$Y$3)</f>
        <v>9247</v>
      </c>
    </row>
    <row r="18" spans="1:5" s="305" customFormat="1" x14ac:dyDescent="0.25">
      <c r="D18"/>
      <c r="E18"/>
    </row>
    <row r="19" spans="1:5" x14ac:dyDescent="0.25">
      <c r="A19" t="s">
        <v>1389</v>
      </c>
      <c r="D19" s="305"/>
      <c r="E19" s="305"/>
    </row>
    <row r="20" spans="1:5" x14ac:dyDescent="0.25">
      <c r="A20" t="s">
        <v>466</v>
      </c>
      <c r="B20">
        <f>SUMIFS(CampList[Total],CampList[Status],Definition!$X$3,CampList[Accessibility],Definition!$AA$3)</f>
        <v>37909</v>
      </c>
    </row>
    <row r="21" spans="1:5" x14ac:dyDescent="0.25">
      <c r="A21" t="s">
        <v>464</v>
      </c>
      <c r="B21" s="305">
        <f>SUMIFS(CampList[Total],CampList[Status],Definition!$X$3,CampList[Accessibility],Definition!$AA$2)</f>
        <v>67945</v>
      </c>
    </row>
    <row r="23" spans="1:5" x14ac:dyDescent="0.25">
      <c r="A23" t="s">
        <v>1390</v>
      </c>
    </row>
    <row r="24" spans="1:5" x14ac:dyDescent="0.25">
      <c r="A24" s="259" t="s">
        <v>1148</v>
      </c>
      <c r="B24" s="260" t="s">
        <v>1028</v>
      </c>
    </row>
    <row r="25" spans="1:5" x14ac:dyDescent="0.25">
      <c r="A25" s="261" t="s">
        <v>378</v>
      </c>
      <c r="B25" s="262"/>
    </row>
    <row r="26" spans="1:5" x14ac:dyDescent="0.25">
      <c r="A26" s="263" t="s">
        <v>5</v>
      </c>
      <c r="B26" s="264">
        <f>COUNTIFS(CampList[[#All],[Status]],"open",CampList[[#All],[Township]],"Bhamo")</f>
        <v>0</v>
      </c>
    </row>
    <row r="27" spans="1:5" x14ac:dyDescent="0.25">
      <c r="A27" s="263" t="s">
        <v>27</v>
      </c>
      <c r="B27" s="264">
        <f>COUNTIFS(CampList[[#All],[Status]],"open",CampList[[#All],[Township]],"Chipwi")</f>
        <v>0</v>
      </c>
    </row>
    <row r="28" spans="1:5" x14ac:dyDescent="0.25">
      <c r="A28" s="263" t="s">
        <v>480</v>
      </c>
      <c r="B28" s="264">
        <f>COUNTIFS(CampList[[#All],[Status]],"open",CampList[[#All],[Township]],"Hpakant")</f>
        <v>0</v>
      </c>
    </row>
    <row r="29" spans="1:5" x14ac:dyDescent="0.25">
      <c r="A29" s="263" t="s">
        <v>361</v>
      </c>
      <c r="B29" s="264">
        <f>COUNTIFS(CampList[[#All],[Status]],"open",CampList[[#All],[Township]],"Injangyang")</f>
        <v>0</v>
      </c>
    </row>
    <row r="30" spans="1:5" x14ac:dyDescent="0.25">
      <c r="A30" s="263" t="s">
        <v>144</v>
      </c>
      <c r="B30" s="264">
        <f>COUNTIFS(CampList[[#All],[Status]],"open",CampList[[#All],[Township]],"Khaunglanhpu")</f>
        <v>0</v>
      </c>
    </row>
    <row r="31" spans="1:5" x14ac:dyDescent="0.25">
      <c r="A31" s="263" t="s">
        <v>817</v>
      </c>
      <c r="B31" s="264">
        <f>COUNTIFS(CampList[[#All],[Status]],"open",CampList[[#All],[Township]],"Manchanbaw")</f>
        <v>0</v>
      </c>
    </row>
    <row r="32" spans="1:5" x14ac:dyDescent="0.25">
      <c r="A32" s="263" t="s">
        <v>151</v>
      </c>
      <c r="B32" s="264">
        <f>COUNTIFS(CampList[[#All],[Status]],"open",CampList[[#All],[Township]],"Mansi")</f>
        <v>0</v>
      </c>
    </row>
    <row r="33" spans="1:2" x14ac:dyDescent="0.25">
      <c r="A33" s="263" t="s">
        <v>173</v>
      </c>
      <c r="B33" s="264">
        <f>COUNTIFS(CampList[[#All],[Status]],"open",CampList[[#All],[Township]],"Mogaung")</f>
        <v>0</v>
      </c>
    </row>
    <row r="34" spans="1:2" x14ac:dyDescent="0.25">
      <c r="A34" s="263" t="s">
        <v>180</v>
      </c>
      <c r="B34" s="264">
        <f>COUNTIFS(CampList[[#All],[Status]],"open",CampList[[#All],[Township]],"Mohnyin")</f>
        <v>0</v>
      </c>
    </row>
    <row r="35" spans="1:2" x14ac:dyDescent="0.25">
      <c r="A35" s="263" t="s">
        <v>185</v>
      </c>
      <c r="B35" s="264">
        <f>COUNTIFS(CampList[[#All],[Status]],"open",CampList[[#All],[Township]],"Momauk")</f>
        <v>0</v>
      </c>
    </row>
    <row r="36" spans="1:2" x14ac:dyDescent="0.25">
      <c r="A36" s="263" t="s">
        <v>237</v>
      </c>
      <c r="B36" s="264">
        <f>COUNTIFS(CampList[[#All],[Status]],"open",CampList[[#All],[Township]],"Myitkyina")</f>
        <v>0</v>
      </c>
    </row>
    <row r="37" spans="1:2" x14ac:dyDescent="0.25">
      <c r="A37" s="263" t="s">
        <v>299</v>
      </c>
      <c r="B37" s="264">
        <f>COUNTIFS(CampList[[#All],[Status]],"open",CampList[[#All],[Township]],"Puta-O")</f>
        <v>0</v>
      </c>
    </row>
    <row r="38" spans="1:2" x14ac:dyDescent="0.25">
      <c r="A38" s="263" t="s">
        <v>301</v>
      </c>
      <c r="B38" s="264">
        <f>COUNTIFS(CampList[[#All],[Status]],"open",CampList[[#All],[Township]],"Shwegu")</f>
        <v>0</v>
      </c>
    </row>
    <row r="39" spans="1:2" x14ac:dyDescent="0.25">
      <c r="A39" s="263" t="s">
        <v>746</v>
      </c>
      <c r="B39" s="264">
        <f>COUNTIFS(CampList[[#All],[Status]],"open",CampList[[#All],[Township]],"Sumprabum")</f>
        <v>0</v>
      </c>
    </row>
    <row r="40" spans="1:2" x14ac:dyDescent="0.25">
      <c r="A40" s="263" t="s">
        <v>1135</v>
      </c>
      <c r="B40" s="264">
        <f>COUNTIFS(CampList[[#All],[Status]],"open",CampList[[#All],[Township]],"Tanai")</f>
        <v>0</v>
      </c>
    </row>
    <row r="41" spans="1:2" x14ac:dyDescent="0.25">
      <c r="A41" s="263" t="s">
        <v>309</v>
      </c>
      <c r="B41" s="264">
        <f>COUNTIFS(CampList[[#All],[Status]],"open",CampList[[#All],[Township]],"Waingmaw")</f>
        <v>0</v>
      </c>
    </row>
    <row r="42" spans="1:2" x14ac:dyDescent="0.25">
      <c r="A42" s="265" t="s">
        <v>779</v>
      </c>
      <c r="B42" s="266">
        <f>SUM(B26:B41)</f>
        <v>0</v>
      </c>
    </row>
    <row r="43" spans="1:2" x14ac:dyDescent="0.25">
      <c r="A43" s="261" t="s">
        <v>1149</v>
      </c>
      <c r="B43" s="262"/>
    </row>
    <row r="44" spans="1:2" x14ac:dyDescent="0.25">
      <c r="A44" s="267" t="s">
        <v>719</v>
      </c>
      <c r="B44" s="264">
        <f>COUNTIFS(CampList[[#All],[Status]],"open",CampList[[#All],[Township]],"Hseni")</f>
        <v>0</v>
      </c>
    </row>
    <row r="45" spans="1:2" x14ac:dyDescent="0.25">
      <c r="A45" s="267" t="s">
        <v>146</v>
      </c>
      <c r="B45" s="264">
        <f>COUNTIFS(CampList[[#All],[Status]],"open",CampList[[#All],[Township]],"Kutkai")</f>
        <v>0</v>
      </c>
    </row>
    <row r="46" spans="1:2" x14ac:dyDescent="0.25">
      <c r="A46" s="267" t="s">
        <v>166</v>
      </c>
      <c r="B46" s="264">
        <f>COUNTIFS(CampList[[#All],[Status]],"open",CampList[[#All],[Township]],"Manton")</f>
        <v>0</v>
      </c>
    </row>
    <row r="47" spans="1:2" x14ac:dyDescent="0.25">
      <c r="A47" s="263" t="s">
        <v>230</v>
      </c>
      <c r="B47" s="264">
        <f>COUNTIFS(CampList[[#All],[Status]],"open",CampList[[#All],[Township]],"Muse")</f>
        <v>0</v>
      </c>
    </row>
    <row r="48" spans="1:2" x14ac:dyDescent="0.25">
      <c r="A48" s="263" t="s">
        <v>288</v>
      </c>
      <c r="B48" s="264">
        <f>COUNTIFS(CampList[[#All],[Status]],"open",CampList[[#All],[Township]],"Namhkan")</f>
        <v>0</v>
      </c>
    </row>
    <row r="49" spans="1:2" x14ac:dyDescent="0.25">
      <c r="A49" s="263" t="s">
        <v>1199</v>
      </c>
      <c r="B49" s="264">
        <f>COUNTIFS(CampList[[#All],[Status]],"open",CampList[[#All],[Township]],"Hsipaw")</f>
        <v>0</v>
      </c>
    </row>
    <row r="50" spans="1:2" x14ac:dyDescent="0.25">
      <c r="A50" s="263" t="s">
        <v>297</v>
      </c>
      <c r="B50" s="264">
        <f>COUNTIFS(CampList[[#All],[Status]],"open",CampList[[#All],[Township]],"Namtu")</f>
        <v>0</v>
      </c>
    </row>
    <row r="51" spans="1:2" x14ac:dyDescent="0.25">
      <c r="A51" s="268" t="s">
        <v>1150</v>
      </c>
      <c r="B51" s="266">
        <f>SUM(B44:B50)</f>
        <v>0</v>
      </c>
    </row>
    <row r="52" spans="1:2" x14ac:dyDescent="0.25">
      <c r="A52" s="259" t="s">
        <v>411</v>
      </c>
      <c r="B52" s="266">
        <f>SUM(B51+B42)</f>
        <v>0</v>
      </c>
    </row>
  </sheetData>
  <conditionalFormatting sqref="B26:B42 B44:B51">
    <cfRule type="dataBar" priority="1">
      <dataBar>
        <cfvo type="min"/>
        <cfvo type="max"/>
        <color rgb="FFFFB628"/>
      </dataBar>
      <extLst>
        <ext xmlns:x14="http://schemas.microsoft.com/office/spreadsheetml/2009/9/main" uri="{B025F937-C7B1-47D3-B67F-A62EFF666E3E}">
          <x14:id>{85A00642-8D96-44EB-9D0D-AF201E7695B5}</x14:id>
        </ext>
      </extLst>
    </cfRule>
  </conditionalFormatting>
  <conditionalFormatting sqref="B52">
    <cfRule type="dataBar" priority="4">
      <dataBar>
        <cfvo type="min"/>
        <cfvo type="max"/>
        <color rgb="FFFFB628"/>
      </dataBar>
      <extLst>
        <ext xmlns:x14="http://schemas.microsoft.com/office/spreadsheetml/2009/9/main" uri="{B025F937-C7B1-47D3-B67F-A62EFF666E3E}">
          <x14:id>{023AD947-70C9-4051-9911-63B9B42F41F0}</x14:id>
        </ext>
      </extLst>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85A00642-8D96-44EB-9D0D-AF201E7695B5}">
            <x14:dataBar minLength="0" maxLength="100" border="1" negativeBarBorderColorSameAsPositive="0">
              <x14:cfvo type="autoMin"/>
              <x14:cfvo type="autoMax"/>
              <x14:borderColor rgb="FFFFB628"/>
              <x14:negativeFillColor rgb="FFFF0000"/>
              <x14:negativeBorderColor rgb="FFFF0000"/>
              <x14:axisColor rgb="FF000000"/>
            </x14:dataBar>
          </x14:cfRule>
          <xm:sqref>B26:B42 B44:B51</xm:sqref>
        </x14:conditionalFormatting>
        <x14:conditionalFormatting xmlns:xm="http://schemas.microsoft.com/office/excel/2006/main">
          <x14:cfRule type="dataBar" id="{023AD947-70C9-4051-9911-63B9B42F41F0}">
            <x14:dataBar minLength="0" maxLength="100" border="1" negativeBarBorderColorSameAsPositive="0">
              <x14:cfvo type="autoMin"/>
              <x14:cfvo type="autoMax"/>
              <x14:borderColor rgb="FFFFB628"/>
              <x14:negativeFillColor rgb="FFFF0000"/>
              <x14:negativeBorderColor rgb="FFFF0000"/>
              <x14:axisColor rgb="FF000000"/>
            </x14:dataBar>
          </x14:cfRule>
          <xm:sqref>B52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B1:BH253"/>
  <sheetViews>
    <sheetView showGridLines="0" showZeros="0" zoomScale="40" zoomScaleNormal="40" workbookViewId="0">
      <pane ySplit="2" topLeftCell="A3" activePane="bottomLeft" state="frozen"/>
      <selection activeCell="AS915" sqref="AS915"/>
      <selection pane="bottomLeft" activeCell="Z5" sqref="Z5:Z6"/>
    </sheetView>
  </sheetViews>
  <sheetFormatPr defaultColWidth="9.140625" defaultRowHeight="15" x14ac:dyDescent="0.25"/>
  <cols>
    <col min="1" max="1" width="1.85546875" style="611" customWidth="1"/>
    <col min="2" max="2" width="21.28515625" style="611" customWidth="1"/>
    <col min="3" max="3" width="12.28515625" style="611" customWidth="1"/>
    <col min="4" max="5" width="17" style="611" customWidth="1"/>
    <col min="6" max="6" width="16.28515625" style="611" customWidth="1"/>
    <col min="7" max="7" width="16.42578125" style="611" customWidth="1"/>
    <col min="8" max="9" width="11.28515625" style="611" customWidth="1"/>
    <col min="10" max="10" width="7.28515625" style="611" customWidth="1"/>
    <col min="11" max="11" width="11.28515625" style="611" customWidth="1"/>
    <col min="12" max="12" width="8.7109375" style="611" customWidth="1"/>
    <col min="13" max="13" width="13.140625" style="611" customWidth="1"/>
    <col min="14" max="14" width="14.140625" style="611" customWidth="1"/>
    <col min="15" max="15" width="14.140625" style="611" bestFit="1" customWidth="1"/>
    <col min="16" max="16" width="0" style="611" hidden="1" customWidth="1"/>
    <col min="17" max="17" width="19.42578125" style="611" hidden="1" customWidth="1"/>
    <col min="18" max="18" width="20.5703125" style="611" hidden="1" customWidth="1"/>
    <col min="19" max="19" width="0" style="611" hidden="1" customWidth="1"/>
    <col min="20" max="20" width="9.140625" style="611"/>
    <col min="21" max="21" width="15.7109375" style="611" customWidth="1"/>
    <col min="22" max="22" width="16.140625" style="611" customWidth="1"/>
    <col min="23" max="23" width="9.140625" style="611"/>
    <col min="24" max="24" width="15.5703125" style="611" customWidth="1"/>
    <col min="25" max="25" width="10.7109375" style="611" customWidth="1"/>
    <col min="26" max="26" width="26.7109375" style="611" customWidth="1"/>
    <col min="27" max="27" width="10.140625" style="611" customWidth="1"/>
    <col min="28" max="28" width="9.140625" style="611"/>
    <col min="29" max="29" width="7.42578125" style="611" customWidth="1"/>
    <col min="30" max="30" width="7" style="611" customWidth="1"/>
    <col min="31" max="31" width="6.5703125" style="611" customWidth="1"/>
    <col min="32" max="32" width="9.85546875" style="611" bestFit="1" customWidth="1"/>
    <col min="33" max="33" width="7.140625" style="611" customWidth="1"/>
    <col min="34" max="34" width="8.140625" style="611" customWidth="1"/>
    <col min="35" max="35" width="6" style="611" customWidth="1"/>
    <col min="36" max="36" width="8" style="611" customWidth="1"/>
    <col min="37" max="37" width="9.42578125" style="611" bestFit="1" customWidth="1"/>
    <col min="38" max="38" width="9" style="611" customWidth="1"/>
    <col min="39" max="39" width="10.85546875" style="611" bestFit="1" customWidth="1"/>
    <col min="40" max="40" width="9.85546875" style="611" bestFit="1" customWidth="1"/>
    <col min="41" max="41" width="13.85546875" style="611" bestFit="1" customWidth="1"/>
    <col min="42" max="43" width="7.28515625" style="611" customWidth="1"/>
    <col min="44" max="44" width="11.5703125" style="611" bestFit="1" customWidth="1"/>
    <col min="45" max="49" width="9.140625" style="611"/>
    <col min="50" max="50" width="22.28515625" style="611" customWidth="1"/>
    <col min="51" max="51" width="20.85546875" style="611" customWidth="1"/>
    <col min="52" max="16384" width="9.140625" style="611"/>
  </cols>
  <sheetData>
    <row r="1" spans="2:60" ht="11.45" customHeight="1" x14ac:dyDescent="0.25"/>
    <row r="2" spans="2:60" s="612" customFormat="1" ht="63.75" customHeight="1" x14ac:dyDescent="0.25">
      <c r="B2" s="98" t="s">
        <v>1377</v>
      </c>
      <c r="C2" s="99"/>
      <c r="D2" s="99"/>
      <c r="E2" s="99"/>
      <c r="F2" s="99"/>
      <c r="G2" s="99"/>
      <c r="H2" s="99"/>
      <c r="I2" s="99"/>
      <c r="J2" s="99"/>
      <c r="K2" s="99"/>
      <c r="L2" s="99"/>
      <c r="M2" s="99"/>
      <c r="N2" s="99"/>
      <c r="O2" s="613"/>
      <c r="P2" s="614"/>
      <c r="Q2" s="614"/>
      <c r="R2" s="614"/>
      <c r="S2" s="614"/>
      <c r="T2" s="99"/>
      <c r="U2" s="99"/>
      <c r="V2" s="99"/>
      <c r="W2" s="99"/>
      <c r="X2" s="99"/>
      <c r="Y2" s="99"/>
      <c r="Z2" s="374"/>
      <c r="BG2" s="15"/>
      <c r="BH2" s="15"/>
    </row>
    <row r="3" spans="2:60" s="20" customFormat="1" ht="18" customHeight="1" x14ac:dyDescent="0.25">
      <c r="B3" s="752">
        <f>Definition!B23</f>
        <v>43404</v>
      </c>
      <c r="C3" s="753"/>
      <c r="D3" s="753"/>
      <c r="E3" s="100"/>
      <c r="F3" s="100"/>
      <c r="G3" s="100"/>
      <c r="H3" s="100"/>
      <c r="I3" s="100"/>
      <c r="J3" s="100"/>
      <c r="K3" s="100"/>
      <c r="L3" s="100"/>
      <c r="M3" s="100"/>
      <c r="N3" s="100"/>
      <c r="O3" s="107"/>
      <c r="P3" s="375"/>
      <c r="Q3" s="375"/>
      <c r="R3" s="375"/>
      <c r="S3" s="375"/>
      <c r="T3" s="376"/>
      <c r="U3" s="376"/>
      <c r="V3" s="376"/>
      <c r="W3" s="376"/>
      <c r="X3" s="376"/>
      <c r="Y3" s="376"/>
      <c r="Z3" s="377"/>
      <c r="BG3" s="16"/>
      <c r="BH3" s="16"/>
    </row>
    <row r="4" spans="2:60" s="20" customFormat="1" ht="36" customHeight="1" x14ac:dyDescent="0.35">
      <c r="B4" s="422" t="s">
        <v>1420</v>
      </c>
      <c r="C4" s="615"/>
      <c r="D4" s="82"/>
      <c r="E4" s="82"/>
      <c r="F4" s="82"/>
      <c r="G4" s="82"/>
      <c r="H4" s="83"/>
      <c r="I4" s="83"/>
      <c r="J4" s="83"/>
      <c r="K4" s="83"/>
      <c r="L4" s="616"/>
      <c r="M4" s="756" t="s">
        <v>1419</v>
      </c>
      <c r="N4" s="756"/>
      <c r="O4" s="758" t="s">
        <v>1444</v>
      </c>
      <c r="P4" s="758"/>
      <c r="Q4" s="758"/>
      <c r="R4" s="758"/>
      <c r="S4" s="758"/>
      <c r="T4" s="758"/>
      <c r="U4" s="448" t="s">
        <v>1443</v>
      </c>
      <c r="V4" s="103"/>
      <c r="W4" s="617"/>
      <c r="X4" s="765" t="str">
        <f>IF(O4="All","Kachin &amp; Northern Shan",IF(O4="Kachin","Kachin",IF(O4="Shan_North","Northern Shan","")))</f>
        <v>Kachin &amp; Northern Shan</v>
      </c>
      <c r="Y4" s="765"/>
      <c r="Z4" s="765"/>
      <c r="BG4" s="16"/>
      <c r="BH4" s="16"/>
    </row>
    <row r="5" spans="2:60" s="20" customFormat="1" ht="16.5" customHeight="1" x14ac:dyDescent="0.25">
      <c r="B5" s="139" t="s">
        <v>392</v>
      </c>
      <c r="C5" s="305" t="s">
        <v>537</v>
      </c>
      <c r="D5" s="618" t="s">
        <v>413</v>
      </c>
      <c r="E5" s="84"/>
      <c r="F5" s="84"/>
      <c r="G5" s="84"/>
      <c r="H5" s="84"/>
      <c r="I5" s="84"/>
      <c r="J5" s="84"/>
      <c r="K5" s="84"/>
      <c r="L5" s="84"/>
      <c r="M5" s="763" t="s">
        <v>1401</v>
      </c>
      <c r="N5" s="763"/>
      <c r="O5" s="763"/>
      <c r="P5" s="763"/>
      <c r="Q5" s="763"/>
      <c r="R5" s="763"/>
      <c r="S5" s="763"/>
      <c r="T5" s="763"/>
      <c r="U5" s="763"/>
      <c r="V5" s="619"/>
      <c r="W5" s="619"/>
      <c r="X5" s="619"/>
      <c r="Y5" s="619"/>
      <c r="Z5" s="761">
        <f ca="1">IF(O4="All",SUMIF(CampList[[#All],[Status]:[Total]],"Open",CampList[[#All],[Total]]),SUMIFS(CampList[[#All],[Total]],CampList[[#All],[Status]],"Open",CampList[[#All],[State]],O4))</f>
        <v>0</v>
      </c>
      <c r="AA5" s="620"/>
      <c r="BG5" s="16"/>
      <c r="BH5" s="16"/>
    </row>
    <row r="6" spans="2:60" ht="18" customHeight="1" x14ac:dyDescent="0.25">
      <c r="B6" s="139" t="s">
        <v>1035</v>
      </c>
      <c r="C6" s="305" t="s">
        <v>994</v>
      </c>
      <c r="M6" s="764"/>
      <c r="N6" s="764"/>
      <c r="O6" s="764"/>
      <c r="P6" s="764"/>
      <c r="Q6" s="764"/>
      <c r="R6" s="764"/>
      <c r="S6" s="764"/>
      <c r="T6" s="764"/>
      <c r="U6" s="764"/>
      <c r="V6" s="621"/>
      <c r="W6" s="621"/>
      <c r="X6" s="621"/>
      <c r="Y6" s="621"/>
      <c r="Z6" s="762"/>
      <c r="AA6" s="622"/>
    </row>
    <row r="7" spans="2:60" ht="14.45" customHeight="1" x14ac:dyDescent="0.25">
      <c r="B7" s="139" t="s">
        <v>458</v>
      </c>
      <c r="C7" s="305" t="s">
        <v>1740</v>
      </c>
      <c r="M7" s="763" t="s">
        <v>1402</v>
      </c>
      <c r="N7" s="763"/>
      <c r="O7" s="763"/>
      <c r="P7" s="763"/>
      <c r="Q7" s="763"/>
      <c r="R7" s="763"/>
      <c r="S7" s="763"/>
      <c r="T7" s="763"/>
      <c r="U7" s="763"/>
      <c r="V7" s="623"/>
      <c r="W7" s="623"/>
      <c r="X7" s="623"/>
      <c r="Y7" s="623"/>
      <c r="Z7" s="760">
        <f>IF(O4="All",COUNTIF(CampList[[#All],[Status]],"Open"),COUNTIFS(CampList[[#All],[Status]],"Open",CampList[[#All],[State]],O4))</f>
        <v>0</v>
      </c>
    </row>
    <row r="8" spans="2:60" x14ac:dyDescent="0.25">
      <c r="M8" s="763"/>
      <c r="N8" s="763"/>
      <c r="O8" s="763"/>
      <c r="P8" s="763"/>
      <c r="Q8" s="137" t="s">
        <v>392</v>
      </c>
      <c r="R8" s="134" t="s">
        <v>537</v>
      </c>
      <c r="S8" s="763"/>
      <c r="T8" s="763"/>
      <c r="U8" s="763"/>
      <c r="V8" s="623"/>
      <c r="W8" s="623"/>
      <c r="X8" s="623"/>
      <c r="Y8" s="623"/>
      <c r="Z8" s="760"/>
    </row>
    <row r="9" spans="2:60" ht="31.5" x14ac:dyDescent="0.25">
      <c r="B9" s="139" t="s">
        <v>0</v>
      </c>
      <c r="C9" s="305" t="s">
        <v>1753</v>
      </c>
      <c r="D9" s="305" t="s">
        <v>1440</v>
      </c>
      <c r="M9" s="759"/>
      <c r="N9" s="759"/>
      <c r="O9" s="759"/>
      <c r="P9" s="759"/>
      <c r="Q9" s="134" t="s">
        <v>458</v>
      </c>
      <c r="R9" s="134" t="s">
        <v>1740</v>
      </c>
      <c r="S9" s="759" t="s">
        <v>413</v>
      </c>
      <c r="T9" s="759"/>
      <c r="U9" s="759"/>
      <c r="V9" s="624"/>
      <c r="W9" s="624"/>
    </row>
    <row r="10" spans="2:60" x14ac:dyDescent="0.25">
      <c r="B10" s="6" t="s">
        <v>5</v>
      </c>
      <c r="C10" s="133">
        <v>1442</v>
      </c>
      <c r="D10" s="133">
        <v>8124</v>
      </c>
      <c r="T10" s="624"/>
      <c r="U10" s="624"/>
      <c r="V10" s="624"/>
      <c r="W10" s="624"/>
      <c r="X10" s="615"/>
      <c r="Y10" s="615"/>
    </row>
    <row r="11" spans="2:60" x14ac:dyDescent="0.25">
      <c r="B11" s="6" t="s">
        <v>27</v>
      </c>
      <c r="C11" s="133">
        <v>614</v>
      </c>
      <c r="D11" s="133">
        <v>3051</v>
      </c>
      <c r="Q11" s="134" t="s">
        <v>410</v>
      </c>
      <c r="R11" s="134" t="s">
        <v>412</v>
      </c>
      <c r="S11" s="615"/>
      <c r="T11" s="624"/>
      <c r="U11" s="624"/>
      <c r="V11" s="624"/>
      <c r="W11" s="624"/>
      <c r="X11" s="615"/>
      <c r="Y11" s="615"/>
    </row>
    <row r="12" spans="2:60" x14ac:dyDescent="0.25">
      <c r="B12" s="6" t="s">
        <v>480</v>
      </c>
      <c r="C12" s="133">
        <v>791</v>
      </c>
      <c r="D12" s="133">
        <v>3978</v>
      </c>
      <c r="Q12" s="135" t="s">
        <v>5</v>
      </c>
      <c r="R12" s="136">
        <v>8124</v>
      </c>
      <c r="S12" s="615"/>
      <c r="T12" s="624"/>
      <c r="U12" s="624"/>
      <c r="V12" s="624"/>
      <c r="W12" s="624"/>
      <c r="X12" s="615"/>
      <c r="Y12" s="615"/>
    </row>
    <row r="13" spans="2:60" x14ac:dyDescent="0.25">
      <c r="B13" s="6" t="s">
        <v>719</v>
      </c>
      <c r="C13" s="133">
        <v>32</v>
      </c>
      <c r="D13" s="133">
        <v>172</v>
      </c>
      <c r="Q13" s="135" t="s">
        <v>27</v>
      </c>
      <c r="R13" s="136">
        <v>3051</v>
      </c>
      <c r="S13" s="615"/>
      <c r="T13" s="624"/>
      <c r="U13" s="624"/>
      <c r="V13" s="624"/>
      <c r="W13" s="624"/>
      <c r="X13" s="615"/>
      <c r="Y13" s="615"/>
    </row>
    <row r="14" spans="2:60" x14ac:dyDescent="0.25">
      <c r="B14" s="6" t="s">
        <v>1199</v>
      </c>
      <c r="C14" s="133">
        <v>37</v>
      </c>
      <c r="D14" s="133">
        <v>120</v>
      </c>
      <c r="Q14" s="135" t="s">
        <v>480</v>
      </c>
      <c r="R14" s="136">
        <v>3978</v>
      </c>
      <c r="S14" s="615"/>
      <c r="X14" s="615"/>
      <c r="Y14" s="615"/>
    </row>
    <row r="15" spans="2:60" x14ac:dyDescent="0.25">
      <c r="B15" s="6" t="s">
        <v>146</v>
      </c>
      <c r="C15" s="133">
        <v>949</v>
      </c>
      <c r="D15" s="133">
        <v>4793</v>
      </c>
      <c r="Q15" s="135" t="s">
        <v>719</v>
      </c>
      <c r="R15" s="136">
        <v>172</v>
      </c>
      <c r="S15" s="615"/>
      <c r="X15" s="615"/>
      <c r="Y15" s="615"/>
    </row>
    <row r="16" spans="2:60" x14ac:dyDescent="0.25">
      <c r="B16" s="6" t="s">
        <v>151</v>
      </c>
      <c r="C16" s="133">
        <v>2812</v>
      </c>
      <c r="D16" s="133">
        <v>13435</v>
      </c>
      <c r="Q16" s="135" t="s">
        <v>1199</v>
      </c>
      <c r="R16" s="136">
        <v>120</v>
      </c>
      <c r="S16" s="615"/>
      <c r="X16" s="615"/>
      <c r="Y16" s="615"/>
    </row>
    <row r="17" spans="2:25" x14ac:dyDescent="0.25">
      <c r="B17" s="6" t="s">
        <v>166</v>
      </c>
      <c r="C17" s="133">
        <v>62</v>
      </c>
      <c r="D17" s="133">
        <v>348</v>
      </c>
      <c r="Q17" s="135" t="s">
        <v>146</v>
      </c>
      <c r="R17" s="136">
        <v>4793</v>
      </c>
      <c r="S17" s="615"/>
      <c r="X17" s="615"/>
      <c r="Y17" s="615"/>
    </row>
    <row r="18" spans="2:25" x14ac:dyDescent="0.25">
      <c r="B18" s="6" t="s">
        <v>173</v>
      </c>
      <c r="C18" s="133">
        <v>307</v>
      </c>
      <c r="D18" s="133">
        <v>1481</v>
      </c>
      <c r="Q18" s="135" t="s">
        <v>151</v>
      </c>
      <c r="R18" s="136">
        <v>13435</v>
      </c>
      <c r="S18" s="615"/>
      <c r="X18" s="615"/>
      <c r="Y18" s="615"/>
    </row>
    <row r="19" spans="2:25" x14ac:dyDescent="0.25">
      <c r="B19" s="6" t="s">
        <v>180</v>
      </c>
      <c r="C19" s="133">
        <v>77</v>
      </c>
      <c r="D19" s="133">
        <v>339</v>
      </c>
      <c r="Q19" s="135" t="s">
        <v>166</v>
      </c>
      <c r="R19" s="136">
        <v>348</v>
      </c>
      <c r="S19" s="615"/>
      <c r="X19" s="615"/>
      <c r="Y19" s="615"/>
    </row>
    <row r="20" spans="2:25" x14ac:dyDescent="0.25">
      <c r="B20" s="6" t="s">
        <v>185</v>
      </c>
      <c r="C20" s="133">
        <v>4754</v>
      </c>
      <c r="D20" s="133">
        <v>24865</v>
      </c>
      <c r="Q20" s="135" t="s">
        <v>173</v>
      </c>
      <c r="R20" s="136">
        <v>1481</v>
      </c>
      <c r="S20" s="615"/>
      <c r="X20" s="615"/>
      <c r="Y20" s="615"/>
    </row>
    <row r="21" spans="2:25" x14ac:dyDescent="0.25">
      <c r="B21" s="6" t="s">
        <v>230</v>
      </c>
      <c r="C21" s="133">
        <v>212</v>
      </c>
      <c r="D21" s="133">
        <v>1052</v>
      </c>
      <c r="Q21" s="135" t="s">
        <v>180</v>
      </c>
      <c r="R21" s="136">
        <v>339</v>
      </c>
      <c r="S21" s="615"/>
      <c r="X21" s="615"/>
      <c r="Y21" s="615"/>
    </row>
    <row r="22" spans="2:25" x14ac:dyDescent="0.25">
      <c r="B22" s="6" t="s">
        <v>237</v>
      </c>
      <c r="C22" s="133">
        <v>2558</v>
      </c>
      <c r="D22" s="133">
        <v>12884</v>
      </c>
      <c r="Q22" s="135" t="s">
        <v>185</v>
      </c>
      <c r="R22" s="136">
        <v>24865</v>
      </c>
      <c r="S22" s="615"/>
      <c r="X22" s="615"/>
      <c r="Y22" s="615"/>
    </row>
    <row r="23" spans="2:25" x14ac:dyDescent="0.25">
      <c r="B23" s="6" t="s">
        <v>288</v>
      </c>
      <c r="C23" s="133">
        <v>401</v>
      </c>
      <c r="D23" s="133">
        <v>2009</v>
      </c>
      <c r="Q23" s="135" t="s">
        <v>230</v>
      </c>
      <c r="R23" s="136">
        <v>1052</v>
      </c>
      <c r="S23" s="615"/>
      <c r="X23" s="615"/>
      <c r="Y23" s="615"/>
    </row>
    <row r="24" spans="2:25" x14ac:dyDescent="0.25">
      <c r="B24" s="6" t="s">
        <v>297</v>
      </c>
      <c r="C24" s="133">
        <v>159</v>
      </c>
      <c r="D24" s="133">
        <v>753</v>
      </c>
      <c r="Q24" s="135" t="s">
        <v>237</v>
      </c>
      <c r="R24" s="136">
        <v>12884</v>
      </c>
      <c r="S24" s="615"/>
      <c r="X24" s="615"/>
      <c r="Y24" s="615"/>
    </row>
    <row r="25" spans="2:25" x14ac:dyDescent="0.25">
      <c r="B25" s="6" t="s">
        <v>299</v>
      </c>
      <c r="C25" s="133">
        <v>85</v>
      </c>
      <c r="D25" s="133">
        <v>412</v>
      </c>
      <c r="Q25" s="135" t="s">
        <v>288</v>
      </c>
      <c r="R25" s="136">
        <v>2009</v>
      </c>
      <c r="S25" s="615"/>
      <c r="X25" s="615"/>
      <c r="Y25" s="615"/>
    </row>
    <row r="26" spans="2:25" x14ac:dyDescent="0.25">
      <c r="B26" s="6" t="s">
        <v>301</v>
      </c>
      <c r="C26" s="133">
        <v>94</v>
      </c>
      <c r="D26" s="133">
        <v>542</v>
      </c>
      <c r="Q26" s="135" t="s">
        <v>297</v>
      </c>
      <c r="R26" s="136">
        <v>753</v>
      </c>
      <c r="S26" s="615"/>
      <c r="X26" s="615"/>
      <c r="Y26" s="615"/>
    </row>
    <row r="27" spans="2:25" x14ac:dyDescent="0.25">
      <c r="B27" s="6" t="s">
        <v>746</v>
      </c>
      <c r="C27" s="133">
        <v>180</v>
      </c>
      <c r="D27" s="133">
        <v>977</v>
      </c>
      <c r="Q27" s="135" t="s">
        <v>299</v>
      </c>
      <c r="R27" s="136">
        <v>412</v>
      </c>
      <c r="X27" s="615"/>
      <c r="Y27" s="615"/>
    </row>
    <row r="28" spans="2:25" x14ac:dyDescent="0.25">
      <c r="B28" s="6" t="s">
        <v>309</v>
      </c>
      <c r="C28" s="133">
        <v>4867</v>
      </c>
      <c r="D28" s="133">
        <v>25409</v>
      </c>
      <c r="Q28" s="135" t="s">
        <v>301</v>
      </c>
      <c r="R28" s="136">
        <v>542</v>
      </c>
      <c r="X28" s="615"/>
      <c r="Y28" s="615"/>
    </row>
    <row r="29" spans="2:25" x14ac:dyDescent="0.25">
      <c r="B29" s="6" t="s">
        <v>1135</v>
      </c>
      <c r="C29" s="133">
        <v>274</v>
      </c>
      <c r="D29" s="133">
        <v>1110</v>
      </c>
      <c r="Q29" s="135" t="s">
        <v>746</v>
      </c>
      <c r="R29" s="136">
        <v>977</v>
      </c>
      <c r="X29" s="615"/>
      <c r="Y29" s="615"/>
    </row>
    <row r="30" spans="2:25" x14ac:dyDescent="0.25">
      <c r="B30" s="6" t="s">
        <v>411</v>
      </c>
      <c r="C30" s="133">
        <v>20707</v>
      </c>
      <c r="D30" s="133">
        <v>105854</v>
      </c>
      <c r="Q30" s="135" t="s">
        <v>1135</v>
      </c>
      <c r="R30" s="136">
        <v>1110</v>
      </c>
      <c r="X30" s="615"/>
      <c r="Y30" s="615"/>
    </row>
    <row r="31" spans="2:25" x14ac:dyDescent="0.25">
      <c r="B31"/>
      <c r="C31"/>
      <c r="D31"/>
      <c r="Q31" s="135" t="s">
        <v>309</v>
      </c>
      <c r="R31" s="136">
        <v>25409</v>
      </c>
      <c r="X31" s="615"/>
      <c r="Y31" s="615"/>
    </row>
    <row r="32" spans="2:25" x14ac:dyDescent="0.25">
      <c r="B32" s="615"/>
      <c r="C32" s="615"/>
      <c r="D32" s="615"/>
      <c r="Q32" s="169" t="s">
        <v>411</v>
      </c>
      <c r="R32" s="168">
        <v>105854</v>
      </c>
      <c r="X32" s="615"/>
      <c r="Y32" s="615"/>
    </row>
    <row r="33" spans="2:25" x14ac:dyDescent="0.25">
      <c r="B33" s="615"/>
      <c r="C33" s="615"/>
      <c r="D33" s="615"/>
      <c r="Q33"/>
      <c r="R33"/>
      <c r="X33" s="615"/>
      <c r="Y33" s="615"/>
    </row>
    <row r="34" spans="2:25" ht="21" x14ac:dyDescent="0.35">
      <c r="B34" s="387" t="s">
        <v>1421</v>
      </c>
      <c r="C34" s="615"/>
      <c r="D34" s="615"/>
      <c r="Q34" s="615"/>
      <c r="R34" s="615"/>
      <c r="X34" s="615"/>
      <c r="Y34" s="615"/>
    </row>
    <row r="35" spans="2:25" x14ac:dyDescent="0.25">
      <c r="C35" s="615"/>
      <c r="D35" s="615"/>
      <c r="Q35" s="615"/>
      <c r="R35" s="615"/>
      <c r="X35" s="615"/>
      <c r="Y35" s="615"/>
    </row>
    <row r="36" spans="2:25" hidden="1" x14ac:dyDescent="0.25">
      <c r="B36" s="615"/>
      <c r="C36" s="615"/>
      <c r="D36" s="615"/>
      <c r="Q36" s="615"/>
      <c r="R36" s="615"/>
      <c r="X36" s="615"/>
      <c r="Y36" s="615"/>
    </row>
    <row r="37" spans="2:25" hidden="1" x14ac:dyDescent="0.25">
      <c r="Q37" s="615"/>
      <c r="R37" s="615"/>
      <c r="X37" s="615"/>
      <c r="Y37" s="615"/>
    </row>
    <row r="38" spans="2:25" hidden="1" x14ac:dyDescent="0.25">
      <c r="Q38" s="615"/>
      <c r="R38" s="615"/>
      <c r="X38" s="615"/>
      <c r="Y38" s="615"/>
    </row>
    <row r="39" spans="2:25" hidden="1" x14ac:dyDescent="0.25">
      <c r="Q39" s="615"/>
      <c r="R39" s="615"/>
      <c r="X39" s="615"/>
      <c r="Y39" s="615"/>
    </row>
    <row r="40" spans="2:25" hidden="1" x14ac:dyDescent="0.25">
      <c r="Q40" s="615"/>
      <c r="R40" s="615"/>
      <c r="X40" s="615"/>
      <c r="Y40" s="615"/>
    </row>
    <row r="41" spans="2:25" hidden="1" x14ac:dyDescent="0.25">
      <c r="Q41" s="615"/>
      <c r="R41" s="615"/>
      <c r="X41" s="615"/>
      <c r="Y41" s="615"/>
    </row>
    <row r="42" spans="2:25" hidden="1" x14ac:dyDescent="0.25">
      <c r="Q42" s="615"/>
      <c r="R42" s="615"/>
      <c r="X42" s="615"/>
      <c r="Y42" s="615"/>
    </row>
    <row r="43" spans="2:25" x14ac:dyDescent="0.25">
      <c r="B43" s="156" t="s">
        <v>392</v>
      </c>
      <c r="C43" s="154" t="s">
        <v>537</v>
      </c>
      <c r="D43" s="625" t="s">
        <v>413</v>
      </c>
      <c r="Q43" s="615"/>
      <c r="R43" s="615"/>
      <c r="X43" s="615"/>
      <c r="Y43" s="615"/>
    </row>
    <row r="44" spans="2:25" x14ac:dyDescent="0.25">
      <c r="B44" s="156" t="s">
        <v>1035</v>
      </c>
      <c r="C44" s="154" t="s">
        <v>994</v>
      </c>
      <c r="Q44" s="615"/>
      <c r="R44" s="615"/>
      <c r="X44" s="615"/>
      <c r="Y44" s="615"/>
    </row>
    <row r="45" spans="2:25" x14ac:dyDescent="0.25">
      <c r="Q45" s="615"/>
      <c r="R45" s="615"/>
      <c r="X45" s="615"/>
      <c r="Y45" s="615"/>
    </row>
    <row r="46" spans="2:25" x14ac:dyDescent="0.25">
      <c r="B46" s="149" t="s">
        <v>764</v>
      </c>
      <c r="C46" s="141" t="s">
        <v>457</v>
      </c>
      <c r="D46" s="142"/>
      <c r="E46"/>
      <c r="F46"/>
      <c r="G46"/>
      <c r="H46"/>
      <c r="Q46" s="615"/>
      <c r="R46" s="615"/>
      <c r="X46" s="615"/>
      <c r="Y46" s="615"/>
    </row>
    <row r="47" spans="2:25" x14ac:dyDescent="0.25">
      <c r="B47" s="150" t="s">
        <v>410</v>
      </c>
      <c r="C47" s="155" t="s">
        <v>1740</v>
      </c>
      <c r="D47" s="143" t="s">
        <v>1440</v>
      </c>
      <c r="E47"/>
      <c r="F47"/>
      <c r="G47"/>
      <c r="H47"/>
      <c r="Q47" s="615"/>
      <c r="R47" s="615"/>
      <c r="X47" s="615"/>
      <c r="Y47" s="615"/>
    </row>
    <row r="48" spans="2:25" x14ac:dyDescent="0.25">
      <c r="B48" s="151" t="s">
        <v>464</v>
      </c>
      <c r="C48" s="155">
        <v>67945</v>
      </c>
      <c r="D48" s="705">
        <v>67945</v>
      </c>
      <c r="E48"/>
      <c r="F48"/>
      <c r="G48"/>
      <c r="H48"/>
      <c r="Q48" s="615"/>
      <c r="R48" s="615"/>
      <c r="X48" s="615"/>
      <c r="Y48" s="615"/>
    </row>
    <row r="49" spans="2:51" x14ac:dyDescent="0.25">
      <c r="B49" s="151" t="s">
        <v>466</v>
      </c>
      <c r="C49" s="155">
        <v>37909</v>
      </c>
      <c r="D49" s="705">
        <v>37909</v>
      </c>
      <c r="E49"/>
      <c r="F49"/>
      <c r="G49"/>
      <c r="H49"/>
      <c r="Q49" s="615"/>
      <c r="R49" s="615"/>
      <c r="X49" s="615"/>
      <c r="Y49" s="615"/>
    </row>
    <row r="50" spans="2:51" x14ac:dyDescent="0.25">
      <c r="B50" s="171" t="s">
        <v>1440</v>
      </c>
      <c r="C50" s="715">
        <v>105854</v>
      </c>
      <c r="D50" s="170">
        <v>105854</v>
      </c>
      <c r="E50"/>
      <c r="F50"/>
      <c r="G50"/>
      <c r="H50"/>
      <c r="X50" s="615"/>
      <c r="Y50" s="615"/>
    </row>
    <row r="51" spans="2:51" x14ac:dyDescent="0.25">
      <c r="B51" s="615"/>
      <c r="C51" s="615"/>
      <c r="D51" s="615"/>
      <c r="E51" s="615"/>
      <c r="F51" s="615"/>
      <c r="X51" s="615"/>
      <c r="Y51" s="615"/>
    </row>
    <row r="52" spans="2:51" x14ac:dyDescent="0.25">
      <c r="B52" s="757" t="s">
        <v>1422</v>
      </c>
      <c r="C52" s="757"/>
      <c r="D52" s="757"/>
      <c r="E52" s="757"/>
      <c r="F52" s="615"/>
      <c r="X52" s="615"/>
      <c r="Y52" s="615"/>
    </row>
    <row r="53" spans="2:51" ht="27.75" customHeight="1" x14ac:dyDescent="0.25">
      <c r="B53" s="757"/>
      <c r="C53" s="757"/>
      <c r="D53" s="757"/>
      <c r="E53" s="757"/>
      <c r="F53" s="615"/>
      <c r="X53" s="615"/>
      <c r="Y53" s="615"/>
      <c r="AX53" s="139" t="s">
        <v>458</v>
      </c>
      <c r="AY53" s="305" t="s">
        <v>1740</v>
      </c>
    </row>
    <row r="54" spans="2:51" x14ac:dyDescent="0.25">
      <c r="B54" s="164" t="s">
        <v>458</v>
      </c>
      <c r="C54" s="164" t="s">
        <v>1740</v>
      </c>
      <c r="O54"/>
      <c r="X54" s="615"/>
      <c r="Y54" s="615"/>
    </row>
    <row r="55" spans="2:51" x14ac:dyDescent="0.25">
      <c r="B55" s="156" t="s">
        <v>1035</v>
      </c>
      <c r="C55" s="154" t="s">
        <v>537</v>
      </c>
      <c r="O55"/>
      <c r="AX55" s="139" t="s">
        <v>410</v>
      </c>
      <c r="AY55" t="s">
        <v>1540</v>
      </c>
    </row>
    <row r="56" spans="2:51" x14ac:dyDescent="0.25">
      <c r="O56"/>
      <c r="AX56" s="6" t="s">
        <v>5</v>
      </c>
      <c r="AY56" s="133">
        <v>10</v>
      </c>
    </row>
    <row r="57" spans="2:51" x14ac:dyDescent="0.25">
      <c r="B57" s="149"/>
      <c r="C57" s="141" t="s">
        <v>763</v>
      </c>
      <c r="D57" s="141"/>
      <c r="E57" s="142"/>
      <c r="F57"/>
      <c r="O57"/>
      <c r="AX57" s="6" t="s">
        <v>27</v>
      </c>
      <c r="AY57" s="133">
        <v>5</v>
      </c>
    </row>
    <row r="58" spans="2:51" x14ac:dyDescent="0.25">
      <c r="B58" s="150"/>
      <c r="C58" s="140" t="s">
        <v>464</v>
      </c>
      <c r="D58" s="140" t="s">
        <v>466</v>
      </c>
      <c r="E58" s="143" t="s">
        <v>1440</v>
      </c>
      <c r="F58"/>
      <c r="O58"/>
      <c r="AX58" s="6" t="s">
        <v>480</v>
      </c>
      <c r="AY58" s="133">
        <v>23</v>
      </c>
    </row>
    <row r="59" spans="2:51" x14ac:dyDescent="0.25">
      <c r="B59" s="462" t="s">
        <v>764</v>
      </c>
      <c r="C59" s="152">
        <v>67945</v>
      </c>
      <c r="D59" s="152">
        <v>37909</v>
      </c>
      <c r="E59" s="153">
        <v>105854</v>
      </c>
      <c r="F59"/>
      <c r="O59"/>
      <c r="AX59" s="6" t="s">
        <v>719</v>
      </c>
      <c r="AY59" s="133">
        <v>1</v>
      </c>
    </row>
    <row r="60" spans="2:51" x14ac:dyDescent="0.25">
      <c r="B60" s="615"/>
      <c r="C60" s="615"/>
      <c r="D60" s="615"/>
      <c r="E60" s="615"/>
      <c r="F60" s="615"/>
      <c r="O60"/>
      <c r="AX60" s="6" t="s">
        <v>1199</v>
      </c>
      <c r="AY60" s="133">
        <v>1</v>
      </c>
    </row>
    <row r="61" spans="2:51" x14ac:dyDescent="0.25">
      <c r="B61" s="615"/>
      <c r="C61" s="615"/>
      <c r="D61" s="615"/>
      <c r="E61" s="615"/>
      <c r="F61" s="615"/>
      <c r="O61"/>
      <c r="AX61" s="6" t="s">
        <v>146</v>
      </c>
      <c r="AY61" s="133">
        <v>16</v>
      </c>
    </row>
    <row r="62" spans="2:51" x14ac:dyDescent="0.25">
      <c r="B62" s="615"/>
      <c r="C62" s="615"/>
      <c r="D62" s="615"/>
      <c r="E62" s="615"/>
      <c r="F62" s="615"/>
      <c r="O62"/>
      <c r="AX62" s="6" t="s">
        <v>151</v>
      </c>
      <c r="AY62" s="133">
        <v>11</v>
      </c>
    </row>
    <row r="63" spans="2:51" x14ac:dyDescent="0.25">
      <c r="B63" s="615"/>
      <c r="C63" s="615"/>
      <c r="D63" s="615"/>
      <c r="E63" s="615"/>
      <c r="F63" s="615"/>
      <c r="H63" s="293"/>
      <c r="O63"/>
      <c r="AX63" s="6" t="s">
        <v>166</v>
      </c>
      <c r="AY63" s="133">
        <v>2</v>
      </c>
    </row>
    <row r="64" spans="2:51" x14ac:dyDescent="0.25">
      <c r="O64"/>
      <c r="AX64" s="6" t="s">
        <v>173</v>
      </c>
      <c r="AY64" s="133">
        <v>8</v>
      </c>
    </row>
    <row r="65" spans="2:51" x14ac:dyDescent="0.25">
      <c r="B65" s="757" t="s">
        <v>1423</v>
      </c>
      <c r="C65" s="757"/>
      <c r="D65" s="757"/>
      <c r="E65" s="757"/>
      <c r="O65"/>
      <c r="AX65" s="6" t="s">
        <v>180</v>
      </c>
      <c r="AY65" s="133">
        <v>4</v>
      </c>
    </row>
    <row r="66" spans="2:51" ht="27" customHeight="1" x14ac:dyDescent="0.25">
      <c r="B66" s="757"/>
      <c r="C66" s="757"/>
      <c r="D66" s="757"/>
      <c r="E66" s="757"/>
      <c r="O66"/>
      <c r="AX66" s="6" t="s">
        <v>185</v>
      </c>
      <c r="AY66" s="133">
        <v>15</v>
      </c>
    </row>
    <row r="67" spans="2:51" x14ac:dyDescent="0.25">
      <c r="B67" s="147" t="s">
        <v>458</v>
      </c>
      <c r="C67" s="148" t="s">
        <v>957</v>
      </c>
      <c r="O67"/>
      <c r="AX67" s="6" t="s">
        <v>230</v>
      </c>
      <c r="AY67" s="133">
        <v>3</v>
      </c>
    </row>
    <row r="68" spans="2:51" x14ac:dyDescent="0.25">
      <c r="B68" s="147" t="s">
        <v>1035</v>
      </c>
      <c r="C68" s="148" t="s">
        <v>537</v>
      </c>
      <c r="O68"/>
      <c r="AX68" s="6" t="s">
        <v>237</v>
      </c>
      <c r="AY68" s="133">
        <v>28</v>
      </c>
    </row>
    <row r="69" spans="2:51" x14ac:dyDescent="0.25">
      <c r="O69"/>
      <c r="AX69" s="6" t="s">
        <v>288</v>
      </c>
      <c r="AY69" s="133">
        <v>6</v>
      </c>
    </row>
    <row r="70" spans="2:51" x14ac:dyDescent="0.25">
      <c r="B70" s="459"/>
      <c r="C70" s="158" t="s">
        <v>763</v>
      </c>
      <c r="D70" s="145"/>
      <c r="E70" s="145"/>
      <c r="F70" s="146"/>
      <c r="G70" s="615"/>
      <c r="O70"/>
      <c r="AX70" s="6" t="s">
        <v>297</v>
      </c>
      <c r="AY70" s="133">
        <v>4</v>
      </c>
    </row>
    <row r="71" spans="2:51" x14ac:dyDescent="0.25">
      <c r="B71" s="460"/>
      <c r="C71" s="132" t="s">
        <v>464</v>
      </c>
      <c r="D71" s="132" t="s">
        <v>466</v>
      </c>
      <c r="E71" s="132" t="s">
        <v>787</v>
      </c>
      <c r="F71" s="144" t="s">
        <v>1441</v>
      </c>
      <c r="G71" s="615"/>
      <c r="O71"/>
      <c r="AX71" s="6" t="s">
        <v>299</v>
      </c>
      <c r="AY71" s="133">
        <v>3</v>
      </c>
    </row>
    <row r="72" spans="2:51" x14ac:dyDescent="0.25">
      <c r="B72" s="461" t="s">
        <v>1540</v>
      </c>
      <c r="C72" s="160">
        <v>154</v>
      </c>
      <c r="D72" s="160">
        <v>18</v>
      </c>
      <c r="E72" s="160"/>
      <c r="F72" s="161">
        <v>172</v>
      </c>
      <c r="G72" s="615"/>
      <c r="O72"/>
      <c r="AX72" s="6" t="s">
        <v>301</v>
      </c>
      <c r="AY72" s="133">
        <v>2</v>
      </c>
    </row>
    <row r="73" spans="2:51" x14ac:dyDescent="0.25">
      <c r="B73" s="615"/>
      <c r="C73" s="615"/>
      <c r="D73" s="615"/>
      <c r="E73" s="615"/>
      <c r="F73" s="615"/>
      <c r="G73" s="615"/>
      <c r="O73"/>
      <c r="AX73" s="6" t="s">
        <v>746</v>
      </c>
      <c r="AY73" s="133">
        <v>3</v>
      </c>
    </row>
    <row r="74" spans="2:51" x14ac:dyDescent="0.25">
      <c r="B74" s="615"/>
      <c r="C74" s="615"/>
      <c r="D74" s="615"/>
      <c r="E74" s="615"/>
      <c r="F74" s="615"/>
      <c r="O74"/>
      <c r="AX74" s="6" t="s">
        <v>1135</v>
      </c>
      <c r="AY74" s="133">
        <v>3</v>
      </c>
    </row>
    <row r="75" spans="2:51" ht="18.75" x14ac:dyDescent="0.3">
      <c r="B75" s="718" t="s">
        <v>1750</v>
      </c>
      <c r="C75" s="615"/>
      <c r="D75" s="615"/>
      <c r="E75" s="615"/>
      <c r="F75" s="615"/>
      <c r="O75"/>
      <c r="AX75" s="6" t="s">
        <v>309</v>
      </c>
      <c r="AY75" s="133">
        <v>24</v>
      </c>
    </row>
    <row r="76" spans="2:51" x14ac:dyDescent="0.25">
      <c r="B76" s="615"/>
      <c r="C76" s="615"/>
      <c r="D76" s="615"/>
      <c r="E76" s="615"/>
      <c r="F76" s="615"/>
      <c r="M76"/>
      <c r="N76"/>
      <c r="O76"/>
      <c r="AX76" s="6" t="s">
        <v>411</v>
      </c>
      <c r="AY76" s="133">
        <v>172</v>
      </c>
    </row>
    <row r="77" spans="2:51" x14ac:dyDescent="0.25">
      <c r="B77" s="139" t="s">
        <v>458</v>
      </c>
      <c r="C77" s="305" t="s">
        <v>1740</v>
      </c>
      <c r="M77"/>
      <c r="N77"/>
      <c r="O77"/>
    </row>
    <row r="78" spans="2:51" x14ac:dyDescent="0.25">
      <c r="B78" s="139" t="s">
        <v>457</v>
      </c>
      <c r="C78" s="305" t="s">
        <v>464</v>
      </c>
      <c r="M78"/>
      <c r="N78"/>
      <c r="O78"/>
    </row>
    <row r="79" spans="2:51" ht="15.75" customHeight="1" x14ac:dyDescent="0.35">
      <c r="B79" s="718"/>
      <c r="C79" s="716"/>
      <c r="D79" s="716"/>
      <c r="E79" s="716"/>
    </row>
    <row r="80" spans="2:51" ht="21" x14ac:dyDescent="0.35">
      <c r="B80" s="139" t="s">
        <v>410</v>
      </c>
      <c r="C80" t="s">
        <v>1751</v>
      </c>
      <c r="D80"/>
      <c r="E80" s="716"/>
    </row>
    <row r="81" spans="2:5" x14ac:dyDescent="0.25">
      <c r="B81" s="6" t="s">
        <v>507</v>
      </c>
      <c r="C81" s="36">
        <v>0.7857142857142857</v>
      </c>
      <c r="D81"/>
      <c r="E81"/>
    </row>
    <row r="82" spans="2:5" x14ac:dyDescent="0.25">
      <c r="B82" s="6" t="s">
        <v>1571</v>
      </c>
      <c r="C82" s="36">
        <v>0.14285714285714285</v>
      </c>
      <c r="D82"/>
      <c r="E82"/>
    </row>
    <row r="83" spans="2:5" x14ac:dyDescent="0.25">
      <c r="B83" s="6" t="s">
        <v>12</v>
      </c>
      <c r="C83" s="36">
        <v>7.1428571428571425E-2</v>
      </c>
      <c r="D83"/>
      <c r="E83" s="615"/>
    </row>
    <row r="84" spans="2:5" x14ac:dyDescent="0.25">
      <c r="B84" s="6" t="s">
        <v>411</v>
      </c>
      <c r="C84" s="36">
        <v>1</v>
      </c>
      <c r="D84"/>
      <c r="E84" s="615"/>
    </row>
    <row r="85" spans="2:5" x14ac:dyDescent="0.25">
      <c r="B85"/>
      <c r="C85"/>
      <c r="D85" s="305"/>
      <c r="E85" s="615"/>
    </row>
    <row r="86" spans="2:5" ht="23.25" customHeight="1" x14ac:dyDescent="0.25">
      <c r="B86" s="719" t="s">
        <v>1752</v>
      </c>
      <c r="C86" s="36"/>
      <c r="D86" s="305"/>
      <c r="E86" s="615"/>
    </row>
    <row r="87" spans="2:5" x14ac:dyDescent="0.25">
      <c r="B87" s="139" t="s">
        <v>458</v>
      </c>
      <c r="C87" s="305" t="s">
        <v>1740</v>
      </c>
      <c r="D87"/>
      <c r="E87" s="615"/>
    </row>
    <row r="88" spans="2:5" x14ac:dyDescent="0.25">
      <c r="B88" s="139" t="s">
        <v>1035</v>
      </c>
      <c r="C88" s="305" t="s">
        <v>537</v>
      </c>
      <c r="D88"/>
      <c r="E88" s="615"/>
    </row>
    <row r="89" spans="2:5" x14ac:dyDescent="0.25">
      <c r="B89"/>
      <c r="C89"/>
      <c r="D89"/>
      <c r="E89" s="615"/>
    </row>
    <row r="90" spans="2:5" x14ac:dyDescent="0.25">
      <c r="B90" s="139" t="s">
        <v>410</v>
      </c>
      <c r="C90" s="305" t="s">
        <v>1754</v>
      </c>
      <c r="D90" s="305" t="s">
        <v>788</v>
      </c>
      <c r="E90" s="305" t="s">
        <v>1442</v>
      </c>
    </row>
    <row r="91" spans="2:5" x14ac:dyDescent="0.25">
      <c r="B91" s="6" t="s">
        <v>378</v>
      </c>
      <c r="C91" s="133">
        <v>139</v>
      </c>
      <c r="D91" s="133">
        <v>96607</v>
      </c>
      <c r="E91" s="36">
        <v>0.91264383018119299</v>
      </c>
    </row>
    <row r="92" spans="2:5" x14ac:dyDescent="0.25">
      <c r="B92" s="704" t="s">
        <v>464</v>
      </c>
      <c r="C92" s="133">
        <v>121</v>
      </c>
      <c r="D92" s="133">
        <v>58698</v>
      </c>
      <c r="E92" s="36">
        <v>0.55451848772838064</v>
      </c>
    </row>
    <row r="93" spans="2:5" x14ac:dyDescent="0.25">
      <c r="B93" s="704" t="s">
        <v>466</v>
      </c>
      <c r="C93" s="133">
        <v>18</v>
      </c>
      <c r="D93" s="133">
        <v>37909</v>
      </c>
      <c r="E93" s="36">
        <v>0.35812534245281236</v>
      </c>
    </row>
    <row r="94" spans="2:5" x14ac:dyDescent="0.25">
      <c r="B94" s="6" t="s">
        <v>506</v>
      </c>
      <c r="C94" s="133">
        <v>33</v>
      </c>
      <c r="D94" s="133">
        <v>9247</v>
      </c>
      <c r="E94" s="36">
        <v>8.7356169818807033E-2</v>
      </c>
    </row>
    <row r="95" spans="2:5" x14ac:dyDescent="0.25">
      <c r="B95" s="704" t="s">
        <v>464</v>
      </c>
      <c r="C95" s="133">
        <v>33</v>
      </c>
      <c r="D95" s="133">
        <v>9247</v>
      </c>
      <c r="E95" s="36">
        <v>8.7356169818807033E-2</v>
      </c>
    </row>
    <row r="96" spans="2:5" x14ac:dyDescent="0.25">
      <c r="B96" s="6" t="s">
        <v>411</v>
      </c>
      <c r="C96" s="133">
        <v>172</v>
      </c>
      <c r="D96" s="133">
        <v>105854</v>
      </c>
      <c r="E96" s="717">
        <v>1</v>
      </c>
    </row>
    <row r="97" spans="2:5" x14ac:dyDescent="0.25">
      <c r="B97"/>
      <c r="C97"/>
      <c r="D97"/>
      <c r="E97" s="615"/>
    </row>
    <row r="98" spans="2:5" x14ac:dyDescent="0.25">
      <c r="B98"/>
      <c r="C98"/>
      <c r="D98"/>
      <c r="E98" s="615"/>
    </row>
    <row r="99" spans="2:5" x14ac:dyDescent="0.25">
      <c r="B99"/>
      <c r="C99"/>
      <c r="D99"/>
      <c r="E99" s="615"/>
    </row>
    <row r="100" spans="2:5" x14ac:dyDescent="0.25">
      <c r="B100"/>
      <c r="C100"/>
      <c r="D100"/>
      <c r="E100" s="615"/>
    </row>
    <row r="101" spans="2:5" x14ac:dyDescent="0.25">
      <c r="B101"/>
      <c r="C101"/>
      <c r="D101"/>
      <c r="E101" s="615"/>
    </row>
    <row r="102" spans="2:5" x14ac:dyDescent="0.25">
      <c r="B102"/>
      <c r="C102"/>
      <c r="D102"/>
      <c r="E102" s="615"/>
    </row>
    <row r="103" spans="2:5" x14ac:dyDescent="0.25">
      <c r="B103"/>
      <c r="C103"/>
      <c r="D103"/>
      <c r="E103" s="615"/>
    </row>
    <row r="104" spans="2:5" x14ac:dyDescent="0.25">
      <c r="B104"/>
      <c r="C104"/>
      <c r="D104"/>
      <c r="E104" s="615"/>
    </row>
    <row r="105" spans="2:5" x14ac:dyDescent="0.25">
      <c r="B105"/>
      <c r="C105"/>
      <c r="D105"/>
      <c r="E105" s="615"/>
    </row>
    <row r="106" spans="2:5" x14ac:dyDescent="0.25">
      <c r="B106"/>
      <c r="C106"/>
      <c r="D106"/>
      <c r="E106" s="615"/>
    </row>
    <row r="107" spans="2:5" x14ac:dyDescent="0.25">
      <c r="B107"/>
      <c r="C107"/>
      <c r="D107"/>
      <c r="E107" s="615"/>
    </row>
    <row r="108" spans="2:5" x14ac:dyDescent="0.25">
      <c r="B108"/>
      <c r="C108"/>
      <c r="D108" s="615"/>
      <c r="E108" s="615"/>
    </row>
    <row r="109" spans="2:5" x14ac:dyDescent="0.25">
      <c r="B109"/>
      <c r="C109"/>
      <c r="D109" s="615"/>
      <c r="E109" s="615"/>
    </row>
    <row r="110" spans="2:5" x14ac:dyDescent="0.25">
      <c r="B110"/>
      <c r="C110"/>
      <c r="D110" s="615"/>
      <c r="E110" s="615"/>
    </row>
    <row r="111" spans="2:5" x14ac:dyDescent="0.25">
      <c r="B111"/>
      <c r="C111"/>
      <c r="D111" s="615"/>
      <c r="E111" s="615"/>
    </row>
    <row r="112" spans="2:5" x14ac:dyDescent="0.25">
      <c r="B112"/>
      <c r="C112"/>
      <c r="D112" s="615"/>
      <c r="E112" s="615"/>
    </row>
    <row r="113" spans="2:5" x14ac:dyDescent="0.25">
      <c r="B113"/>
      <c r="C113"/>
      <c r="D113" s="615"/>
      <c r="E113" s="615"/>
    </row>
    <row r="114" spans="2:5" x14ac:dyDescent="0.25">
      <c r="B114" s="615"/>
      <c r="C114" s="615"/>
      <c r="D114" s="615"/>
      <c r="E114" s="615"/>
    </row>
    <row r="115" spans="2:5" x14ac:dyDescent="0.25">
      <c r="B115" s="615"/>
      <c r="C115" s="615"/>
      <c r="D115" s="615"/>
      <c r="E115" s="615"/>
    </row>
    <row r="116" spans="2:5" x14ac:dyDescent="0.25">
      <c r="B116" s="615"/>
      <c r="C116" s="615"/>
      <c r="D116" s="615"/>
      <c r="E116" s="615"/>
    </row>
    <row r="117" spans="2:5" x14ac:dyDescent="0.25">
      <c r="B117" s="615"/>
      <c r="C117" s="615"/>
      <c r="D117" s="615"/>
      <c r="E117" s="615"/>
    </row>
    <row r="118" spans="2:5" x14ac:dyDescent="0.25">
      <c r="B118" s="615"/>
      <c r="C118" s="615"/>
      <c r="D118" s="615"/>
      <c r="E118" s="615"/>
    </row>
    <row r="119" spans="2:5" x14ac:dyDescent="0.25">
      <c r="B119" s="615"/>
      <c r="C119" s="615"/>
      <c r="D119" s="615"/>
      <c r="E119" s="615"/>
    </row>
    <row r="120" spans="2:5" x14ac:dyDescent="0.25">
      <c r="B120" s="615"/>
      <c r="C120" s="615"/>
      <c r="D120" s="615"/>
      <c r="E120" s="615"/>
    </row>
    <row r="121" spans="2:5" x14ac:dyDescent="0.25">
      <c r="B121" s="615"/>
      <c r="C121" s="615"/>
      <c r="D121" s="615"/>
      <c r="E121" s="615"/>
    </row>
    <row r="122" spans="2:5" x14ac:dyDescent="0.25">
      <c r="B122" s="615"/>
      <c r="C122" s="615"/>
      <c r="D122" s="615"/>
      <c r="E122" s="615"/>
    </row>
    <row r="123" spans="2:5" x14ac:dyDescent="0.25">
      <c r="B123" s="615"/>
      <c r="C123" s="615"/>
      <c r="D123" s="615"/>
      <c r="E123" s="615"/>
    </row>
    <row r="124" spans="2:5" x14ac:dyDescent="0.25">
      <c r="B124" s="615"/>
      <c r="C124" s="615"/>
      <c r="D124" s="615"/>
      <c r="E124" s="615"/>
    </row>
    <row r="125" spans="2:5" x14ac:dyDescent="0.25">
      <c r="B125" s="615"/>
      <c r="C125" s="615"/>
      <c r="D125" s="615"/>
      <c r="E125" s="615"/>
    </row>
    <row r="126" spans="2:5" x14ac:dyDescent="0.25">
      <c r="B126" s="615"/>
      <c r="C126" s="615"/>
      <c r="D126" s="615"/>
      <c r="E126" s="615"/>
    </row>
    <row r="127" spans="2:5" x14ac:dyDescent="0.25">
      <c r="B127" s="615"/>
      <c r="C127" s="615"/>
      <c r="D127" s="615"/>
      <c r="E127" s="615"/>
    </row>
    <row r="128" spans="2:5" x14ac:dyDescent="0.25">
      <c r="B128" s="615"/>
      <c r="C128" s="615"/>
      <c r="D128" s="615"/>
      <c r="E128" s="615"/>
    </row>
    <row r="129" spans="2:5" x14ac:dyDescent="0.25">
      <c r="B129" s="615"/>
      <c r="C129" s="615"/>
      <c r="D129" s="615"/>
      <c r="E129" s="615"/>
    </row>
    <row r="130" spans="2:5" x14ac:dyDescent="0.25">
      <c r="B130" s="615"/>
      <c r="C130" s="615"/>
      <c r="D130" s="615"/>
      <c r="E130" s="615"/>
    </row>
    <row r="131" spans="2:5" x14ac:dyDescent="0.25">
      <c r="B131" s="615"/>
      <c r="C131" s="615"/>
      <c r="D131" s="615"/>
      <c r="E131" s="615"/>
    </row>
    <row r="132" spans="2:5" x14ac:dyDescent="0.25">
      <c r="B132" s="615"/>
      <c r="C132" s="615"/>
      <c r="D132" s="615"/>
      <c r="E132" s="615"/>
    </row>
    <row r="133" spans="2:5" x14ac:dyDescent="0.25">
      <c r="B133" s="615"/>
      <c r="C133" s="615"/>
      <c r="D133" s="615"/>
      <c r="E133" s="615"/>
    </row>
    <row r="134" spans="2:5" x14ac:dyDescent="0.25">
      <c r="B134" s="615"/>
      <c r="C134" s="615"/>
      <c r="D134" s="615"/>
      <c r="E134" s="615"/>
    </row>
    <row r="135" spans="2:5" x14ac:dyDescent="0.25">
      <c r="B135" s="615"/>
      <c r="C135" s="615"/>
      <c r="D135" s="615"/>
      <c r="E135" s="615"/>
    </row>
    <row r="136" spans="2:5" x14ac:dyDescent="0.25">
      <c r="B136" s="615"/>
      <c r="C136" s="615"/>
      <c r="D136" s="615"/>
      <c r="E136" s="615"/>
    </row>
    <row r="137" spans="2:5" x14ac:dyDescent="0.25">
      <c r="B137" s="615"/>
      <c r="C137" s="615"/>
      <c r="D137" s="615"/>
      <c r="E137" s="615"/>
    </row>
    <row r="138" spans="2:5" x14ac:dyDescent="0.25">
      <c r="B138" s="615"/>
      <c r="C138" s="615"/>
      <c r="D138" s="615"/>
      <c r="E138" s="615"/>
    </row>
    <row r="139" spans="2:5" x14ac:dyDescent="0.25">
      <c r="B139" s="615"/>
      <c r="C139" s="615"/>
      <c r="D139" s="615"/>
      <c r="E139" s="615"/>
    </row>
    <row r="140" spans="2:5" x14ac:dyDescent="0.25">
      <c r="B140" s="615"/>
      <c r="C140" s="615"/>
      <c r="D140" s="615"/>
      <c r="E140" s="615"/>
    </row>
    <row r="141" spans="2:5" x14ac:dyDescent="0.25">
      <c r="B141" s="615"/>
      <c r="C141" s="615"/>
      <c r="D141" s="615"/>
      <c r="E141" s="615"/>
    </row>
    <row r="142" spans="2:5" x14ac:dyDescent="0.25">
      <c r="B142" s="615"/>
      <c r="C142" s="615"/>
      <c r="D142" s="615"/>
      <c r="E142" s="615"/>
    </row>
    <row r="143" spans="2:5" x14ac:dyDescent="0.25">
      <c r="B143" s="615"/>
      <c r="C143" s="615"/>
      <c r="D143" s="615"/>
      <c r="E143" s="615"/>
    </row>
    <row r="144" spans="2:5" x14ac:dyDescent="0.25">
      <c r="B144" s="615"/>
      <c r="C144" s="615"/>
      <c r="D144" s="615"/>
      <c r="E144" s="615"/>
    </row>
    <row r="145" spans="2:5" x14ac:dyDescent="0.25">
      <c r="B145" s="615"/>
      <c r="C145" s="615"/>
      <c r="D145" s="615"/>
      <c r="E145" s="615"/>
    </row>
    <row r="146" spans="2:5" x14ac:dyDescent="0.25">
      <c r="B146" s="615"/>
      <c r="C146" s="615"/>
      <c r="D146" s="615"/>
      <c r="E146" s="615"/>
    </row>
    <row r="147" spans="2:5" x14ac:dyDescent="0.25">
      <c r="B147" s="615"/>
      <c r="C147" s="615"/>
      <c r="D147" s="615"/>
      <c r="E147" s="615"/>
    </row>
    <row r="148" spans="2:5" x14ac:dyDescent="0.25">
      <c r="B148" s="615"/>
      <c r="C148" s="615"/>
      <c r="D148" s="615"/>
      <c r="E148" s="615"/>
    </row>
    <row r="149" spans="2:5" x14ac:dyDescent="0.25">
      <c r="B149" s="615"/>
      <c r="C149" s="615"/>
      <c r="D149" s="615"/>
      <c r="E149" s="615"/>
    </row>
    <row r="150" spans="2:5" x14ac:dyDescent="0.25">
      <c r="B150" s="615"/>
      <c r="C150" s="615"/>
      <c r="D150" s="615"/>
      <c r="E150" s="615"/>
    </row>
    <row r="151" spans="2:5" x14ac:dyDescent="0.25">
      <c r="B151" s="615"/>
      <c r="C151" s="615"/>
      <c r="D151" s="615"/>
      <c r="E151" s="615"/>
    </row>
    <row r="152" spans="2:5" x14ac:dyDescent="0.25">
      <c r="B152" s="615"/>
      <c r="C152" s="615"/>
      <c r="D152" s="615"/>
      <c r="E152" s="615"/>
    </row>
    <row r="153" spans="2:5" x14ac:dyDescent="0.25">
      <c r="B153" s="615"/>
      <c r="C153" s="615"/>
      <c r="D153" s="615"/>
      <c r="E153" s="615"/>
    </row>
    <row r="154" spans="2:5" x14ac:dyDescent="0.25">
      <c r="B154" s="615"/>
      <c r="C154" s="615"/>
      <c r="D154" s="615"/>
      <c r="E154" s="615"/>
    </row>
    <row r="155" spans="2:5" x14ac:dyDescent="0.25">
      <c r="B155" s="615"/>
      <c r="C155" s="615"/>
      <c r="D155" s="615"/>
      <c r="E155" s="615"/>
    </row>
    <row r="156" spans="2:5" x14ac:dyDescent="0.25">
      <c r="B156" s="615"/>
      <c r="C156" s="615"/>
      <c r="D156" s="615"/>
      <c r="E156" s="615"/>
    </row>
    <row r="157" spans="2:5" x14ac:dyDescent="0.25">
      <c r="B157" s="615"/>
      <c r="C157" s="615"/>
      <c r="D157" s="615"/>
      <c r="E157" s="615"/>
    </row>
    <row r="158" spans="2:5" x14ac:dyDescent="0.25">
      <c r="B158" s="615"/>
      <c r="C158" s="615"/>
      <c r="D158" s="615"/>
      <c r="E158" s="615"/>
    </row>
    <row r="159" spans="2:5" x14ac:dyDescent="0.25">
      <c r="B159" s="615"/>
      <c r="C159" s="615"/>
      <c r="D159" s="615"/>
      <c r="E159" s="615"/>
    </row>
    <row r="160" spans="2:5" x14ac:dyDescent="0.25">
      <c r="B160" s="615"/>
      <c r="C160" s="615"/>
      <c r="D160" s="615"/>
      <c r="E160" s="615"/>
    </row>
    <row r="161" spans="2:5" x14ac:dyDescent="0.25">
      <c r="B161" s="615"/>
      <c r="C161" s="615"/>
      <c r="D161" s="615"/>
      <c r="E161" s="615"/>
    </row>
    <row r="162" spans="2:5" x14ac:dyDescent="0.25">
      <c r="B162" s="615"/>
      <c r="C162" s="615"/>
      <c r="D162" s="615"/>
      <c r="E162" s="615"/>
    </row>
    <row r="163" spans="2:5" x14ac:dyDescent="0.25">
      <c r="B163" s="615"/>
      <c r="C163" s="615"/>
      <c r="D163" s="615"/>
      <c r="E163" s="615"/>
    </row>
    <row r="164" spans="2:5" x14ac:dyDescent="0.25">
      <c r="B164" s="615"/>
      <c r="C164" s="615"/>
      <c r="D164" s="615"/>
      <c r="E164" s="615"/>
    </row>
    <row r="165" spans="2:5" x14ac:dyDescent="0.25">
      <c r="B165" s="615"/>
      <c r="C165" s="615"/>
      <c r="D165" s="615"/>
      <c r="E165" s="615"/>
    </row>
    <row r="166" spans="2:5" x14ac:dyDescent="0.25">
      <c r="B166" s="615"/>
      <c r="C166" s="615"/>
      <c r="D166" s="615"/>
      <c r="E166" s="615"/>
    </row>
    <row r="167" spans="2:5" x14ac:dyDescent="0.25">
      <c r="B167" s="615"/>
      <c r="C167" s="615"/>
      <c r="D167" s="615"/>
      <c r="E167" s="615"/>
    </row>
    <row r="168" spans="2:5" x14ac:dyDescent="0.25">
      <c r="B168" s="615"/>
      <c r="C168" s="615"/>
      <c r="D168" s="615"/>
      <c r="E168" s="615"/>
    </row>
    <row r="169" spans="2:5" x14ac:dyDescent="0.25">
      <c r="B169" s="615"/>
      <c r="C169" s="615"/>
      <c r="D169" s="615"/>
      <c r="E169" s="615"/>
    </row>
    <row r="170" spans="2:5" x14ac:dyDescent="0.25">
      <c r="B170" s="615"/>
      <c r="C170" s="615"/>
      <c r="D170" s="615"/>
      <c r="E170" s="615"/>
    </row>
    <row r="171" spans="2:5" x14ac:dyDescent="0.25">
      <c r="B171" s="615"/>
      <c r="C171" s="615"/>
      <c r="D171" s="615"/>
      <c r="E171" s="615"/>
    </row>
    <row r="172" spans="2:5" x14ac:dyDescent="0.25">
      <c r="B172" s="615"/>
      <c r="C172" s="615"/>
      <c r="D172" s="615"/>
      <c r="E172" s="615"/>
    </row>
    <row r="173" spans="2:5" x14ac:dyDescent="0.25">
      <c r="B173" s="615"/>
      <c r="C173" s="615"/>
      <c r="D173" s="615"/>
      <c r="E173" s="615"/>
    </row>
    <row r="174" spans="2:5" x14ac:dyDescent="0.25">
      <c r="B174" s="615"/>
      <c r="C174" s="615"/>
      <c r="D174" s="615"/>
      <c r="E174" s="615"/>
    </row>
    <row r="175" spans="2:5" x14ac:dyDescent="0.25">
      <c r="B175" s="615"/>
      <c r="C175" s="615"/>
      <c r="D175" s="615"/>
      <c r="E175" s="615"/>
    </row>
    <row r="176" spans="2:5" x14ac:dyDescent="0.25">
      <c r="B176" s="615"/>
      <c r="C176" s="615"/>
      <c r="D176" s="615"/>
      <c r="E176" s="615"/>
    </row>
    <row r="177" spans="2:5" x14ac:dyDescent="0.25">
      <c r="B177" s="615"/>
      <c r="C177" s="615"/>
      <c r="D177" s="615"/>
      <c r="E177" s="615"/>
    </row>
    <row r="178" spans="2:5" x14ac:dyDescent="0.25">
      <c r="B178" s="615"/>
      <c r="C178" s="615"/>
      <c r="D178" s="615"/>
      <c r="E178" s="615"/>
    </row>
    <row r="179" spans="2:5" x14ac:dyDescent="0.25">
      <c r="B179" s="615"/>
      <c r="C179" s="615"/>
      <c r="D179" s="615"/>
      <c r="E179" s="615"/>
    </row>
    <row r="180" spans="2:5" x14ac:dyDescent="0.25">
      <c r="B180" s="615"/>
      <c r="C180" s="615"/>
      <c r="D180" s="615"/>
      <c r="E180" s="615"/>
    </row>
    <row r="181" spans="2:5" x14ac:dyDescent="0.25">
      <c r="B181" s="615"/>
      <c r="C181" s="615"/>
      <c r="D181" s="615"/>
      <c r="E181" s="615"/>
    </row>
    <row r="182" spans="2:5" x14ac:dyDescent="0.25">
      <c r="B182" s="615"/>
      <c r="C182" s="615"/>
      <c r="D182" s="615"/>
      <c r="E182" s="615"/>
    </row>
    <row r="183" spans="2:5" x14ac:dyDescent="0.25">
      <c r="B183" s="615"/>
      <c r="C183" s="615"/>
      <c r="D183" s="615"/>
      <c r="E183" s="615"/>
    </row>
    <row r="184" spans="2:5" x14ac:dyDescent="0.25">
      <c r="B184" s="615"/>
      <c r="C184" s="615"/>
      <c r="D184" s="615"/>
      <c r="E184" s="615"/>
    </row>
    <row r="185" spans="2:5" x14ac:dyDescent="0.25">
      <c r="B185" s="615"/>
      <c r="C185" s="615"/>
      <c r="D185" s="615"/>
      <c r="E185" s="615"/>
    </row>
    <row r="186" spans="2:5" x14ac:dyDescent="0.25">
      <c r="B186" s="615"/>
      <c r="C186" s="615"/>
      <c r="D186" s="615"/>
      <c r="E186" s="615"/>
    </row>
    <row r="187" spans="2:5" x14ac:dyDescent="0.25">
      <c r="B187" s="615"/>
      <c r="C187" s="615"/>
      <c r="D187" s="615"/>
      <c r="E187" s="615"/>
    </row>
    <row r="188" spans="2:5" x14ac:dyDescent="0.25">
      <c r="B188" s="615"/>
      <c r="C188" s="615"/>
      <c r="D188" s="615"/>
      <c r="E188" s="615"/>
    </row>
    <row r="189" spans="2:5" x14ac:dyDescent="0.25">
      <c r="B189" s="615"/>
      <c r="C189" s="615"/>
      <c r="D189" s="615"/>
      <c r="E189" s="615"/>
    </row>
    <row r="190" spans="2:5" x14ac:dyDescent="0.25">
      <c r="B190" s="615"/>
      <c r="C190" s="615"/>
      <c r="D190" s="615"/>
      <c r="E190" s="615"/>
    </row>
    <row r="191" spans="2:5" x14ac:dyDescent="0.25">
      <c r="B191" s="615"/>
      <c r="C191" s="615"/>
      <c r="D191" s="615"/>
      <c r="E191" s="615"/>
    </row>
    <row r="192" spans="2:5" x14ac:dyDescent="0.25">
      <c r="B192" s="615"/>
      <c r="C192" s="615"/>
      <c r="D192" s="615"/>
      <c r="E192" s="615"/>
    </row>
    <row r="193" spans="2:5" x14ac:dyDescent="0.25">
      <c r="B193" s="615"/>
      <c r="C193" s="615"/>
      <c r="D193" s="615"/>
      <c r="E193" s="615"/>
    </row>
    <row r="194" spans="2:5" x14ac:dyDescent="0.25">
      <c r="B194" s="615"/>
      <c r="C194" s="615"/>
      <c r="D194" s="615"/>
      <c r="E194" s="615"/>
    </row>
    <row r="195" spans="2:5" x14ac:dyDescent="0.25">
      <c r="B195" s="615"/>
      <c r="C195" s="615"/>
      <c r="D195" s="615"/>
      <c r="E195" s="615"/>
    </row>
    <row r="196" spans="2:5" x14ac:dyDescent="0.25">
      <c r="B196" s="615"/>
      <c r="C196" s="615"/>
      <c r="D196" s="615"/>
      <c r="E196" s="615"/>
    </row>
    <row r="197" spans="2:5" x14ac:dyDescent="0.25">
      <c r="B197" s="615"/>
      <c r="C197" s="615"/>
      <c r="D197" s="615"/>
      <c r="E197" s="615"/>
    </row>
    <row r="198" spans="2:5" x14ac:dyDescent="0.25">
      <c r="B198" s="615"/>
      <c r="C198" s="615"/>
      <c r="D198" s="615"/>
      <c r="E198" s="615"/>
    </row>
    <row r="199" spans="2:5" x14ac:dyDescent="0.25">
      <c r="B199" s="615"/>
      <c r="C199" s="615"/>
      <c r="D199" s="615"/>
      <c r="E199" s="615"/>
    </row>
    <row r="200" spans="2:5" x14ac:dyDescent="0.25">
      <c r="B200" s="615"/>
      <c r="C200" s="615"/>
      <c r="D200" s="615"/>
      <c r="E200" s="615"/>
    </row>
    <row r="201" spans="2:5" x14ac:dyDescent="0.25">
      <c r="B201" s="615"/>
      <c r="C201" s="615"/>
      <c r="D201" s="615"/>
      <c r="E201" s="615"/>
    </row>
    <row r="202" spans="2:5" x14ac:dyDescent="0.25">
      <c r="B202" s="615"/>
      <c r="C202" s="615"/>
      <c r="D202" s="615"/>
      <c r="E202" s="615"/>
    </row>
    <row r="203" spans="2:5" x14ac:dyDescent="0.25">
      <c r="B203" s="615"/>
      <c r="C203" s="615"/>
      <c r="D203" s="615"/>
      <c r="E203" s="615"/>
    </row>
    <row r="204" spans="2:5" x14ac:dyDescent="0.25">
      <c r="B204" s="615"/>
      <c r="C204" s="615"/>
      <c r="D204" s="615"/>
      <c r="E204" s="615"/>
    </row>
    <row r="205" spans="2:5" x14ac:dyDescent="0.25">
      <c r="B205" s="615"/>
      <c r="C205" s="615"/>
      <c r="D205" s="615"/>
      <c r="E205" s="615"/>
    </row>
    <row r="206" spans="2:5" x14ac:dyDescent="0.25">
      <c r="B206" s="615"/>
      <c r="C206" s="615"/>
      <c r="D206" s="615"/>
      <c r="E206" s="615"/>
    </row>
    <row r="207" spans="2:5" x14ac:dyDescent="0.25">
      <c r="B207" s="615"/>
      <c r="C207" s="615"/>
      <c r="D207" s="615"/>
      <c r="E207" s="615"/>
    </row>
    <row r="208" spans="2:5" x14ac:dyDescent="0.25">
      <c r="B208" s="615"/>
      <c r="C208" s="615"/>
      <c r="D208" s="615"/>
      <c r="E208" s="615"/>
    </row>
    <row r="209" spans="2:5" x14ac:dyDescent="0.25">
      <c r="B209" s="615"/>
      <c r="C209" s="615"/>
      <c r="D209" s="615"/>
      <c r="E209" s="615"/>
    </row>
    <row r="210" spans="2:5" x14ac:dyDescent="0.25">
      <c r="B210" s="615"/>
      <c r="C210" s="615"/>
      <c r="D210" s="615"/>
      <c r="E210" s="615"/>
    </row>
    <row r="211" spans="2:5" x14ac:dyDescent="0.25">
      <c r="B211" s="615"/>
      <c r="C211" s="615"/>
      <c r="D211" s="615"/>
      <c r="E211" s="615"/>
    </row>
    <row r="212" spans="2:5" x14ac:dyDescent="0.25">
      <c r="B212" s="615"/>
      <c r="C212" s="615"/>
      <c r="D212" s="615"/>
      <c r="E212" s="615"/>
    </row>
    <row r="213" spans="2:5" x14ac:dyDescent="0.25">
      <c r="B213" s="615"/>
      <c r="C213" s="615"/>
      <c r="D213" s="615"/>
      <c r="E213" s="615"/>
    </row>
    <row r="214" spans="2:5" x14ac:dyDescent="0.25">
      <c r="B214" s="615"/>
      <c r="C214" s="615"/>
      <c r="D214" s="615"/>
      <c r="E214" s="615"/>
    </row>
    <row r="215" spans="2:5" x14ac:dyDescent="0.25">
      <c r="B215" s="615"/>
      <c r="C215" s="615"/>
      <c r="D215" s="615"/>
      <c r="E215" s="615"/>
    </row>
    <row r="216" spans="2:5" x14ac:dyDescent="0.25">
      <c r="B216" s="615"/>
      <c r="C216" s="615"/>
      <c r="D216" s="615"/>
      <c r="E216" s="615"/>
    </row>
    <row r="217" spans="2:5" x14ac:dyDescent="0.25">
      <c r="B217" s="615"/>
      <c r="C217" s="615"/>
      <c r="D217" s="615"/>
      <c r="E217" s="615"/>
    </row>
    <row r="218" spans="2:5" x14ac:dyDescent="0.25">
      <c r="B218" s="615"/>
      <c r="C218" s="615"/>
      <c r="D218" s="615"/>
      <c r="E218" s="615"/>
    </row>
    <row r="219" spans="2:5" x14ac:dyDescent="0.25">
      <c r="B219" s="615"/>
      <c r="C219" s="615"/>
      <c r="D219" s="615"/>
      <c r="E219" s="615"/>
    </row>
    <row r="220" spans="2:5" x14ac:dyDescent="0.25">
      <c r="B220" s="615"/>
      <c r="C220" s="615"/>
      <c r="D220" s="615"/>
      <c r="E220" s="615"/>
    </row>
    <row r="221" spans="2:5" x14ac:dyDescent="0.25">
      <c r="B221" s="615"/>
      <c r="C221" s="615"/>
      <c r="D221" s="615"/>
      <c r="E221" s="615"/>
    </row>
    <row r="222" spans="2:5" x14ac:dyDescent="0.25">
      <c r="B222" s="615"/>
      <c r="C222" s="615"/>
      <c r="D222" s="615"/>
      <c r="E222" s="615"/>
    </row>
    <row r="223" spans="2:5" x14ac:dyDescent="0.25">
      <c r="B223" s="615"/>
      <c r="C223" s="615"/>
      <c r="D223" s="615"/>
      <c r="E223" s="615"/>
    </row>
    <row r="224" spans="2:5" x14ac:dyDescent="0.25">
      <c r="B224" s="615"/>
      <c r="C224" s="615"/>
      <c r="D224" s="615"/>
      <c r="E224" s="615"/>
    </row>
    <row r="225" spans="2:5" x14ac:dyDescent="0.25">
      <c r="B225" s="615"/>
      <c r="C225" s="615"/>
      <c r="D225" s="615"/>
      <c r="E225" s="615"/>
    </row>
    <row r="226" spans="2:5" x14ac:dyDescent="0.25">
      <c r="B226" s="615"/>
      <c r="C226" s="615"/>
      <c r="D226" s="615"/>
      <c r="E226" s="615"/>
    </row>
    <row r="227" spans="2:5" x14ac:dyDescent="0.25">
      <c r="B227" s="615"/>
      <c r="C227" s="615"/>
      <c r="D227" s="615"/>
      <c r="E227" s="615"/>
    </row>
    <row r="228" spans="2:5" x14ac:dyDescent="0.25">
      <c r="B228" s="615"/>
      <c r="C228" s="615"/>
      <c r="D228" s="615"/>
      <c r="E228" s="615"/>
    </row>
    <row r="229" spans="2:5" x14ac:dyDescent="0.25">
      <c r="B229" s="615"/>
      <c r="C229" s="615"/>
      <c r="D229" s="615"/>
      <c r="E229" s="615"/>
    </row>
    <row r="230" spans="2:5" x14ac:dyDescent="0.25">
      <c r="B230" s="615"/>
      <c r="C230" s="615"/>
      <c r="D230" s="615"/>
      <c r="E230" s="615"/>
    </row>
    <row r="231" spans="2:5" x14ac:dyDescent="0.25">
      <c r="B231" s="615"/>
      <c r="C231" s="615"/>
      <c r="D231" s="615"/>
      <c r="E231" s="615"/>
    </row>
    <row r="232" spans="2:5" x14ac:dyDescent="0.25">
      <c r="B232" s="615"/>
      <c r="C232" s="615"/>
      <c r="D232" s="615"/>
      <c r="E232" s="615"/>
    </row>
    <row r="233" spans="2:5" x14ac:dyDescent="0.25">
      <c r="B233" s="615"/>
      <c r="C233" s="615"/>
      <c r="D233" s="615"/>
      <c r="E233" s="615"/>
    </row>
    <row r="234" spans="2:5" x14ac:dyDescent="0.25">
      <c r="B234" s="615"/>
      <c r="C234" s="615"/>
      <c r="D234" s="615"/>
      <c r="E234" s="615"/>
    </row>
    <row r="235" spans="2:5" x14ac:dyDescent="0.25">
      <c r="B235" s="615"/>
      <c r="C235" s="615"/>
      <c r="D235" s="615"/>
      <c r="E235" s="615"/>
    </row>
    <row r="236" spans="2:5" x14ac:dyDescent="0.25">
      <c r="B236" s="615"/>
      <c r="C236" s="615"/>
      <c r="D236" s="615"/>
      <c r="E236" s="615"/>
    </row>
    <row r="237" spans="2:5" x14ac:dyDescent="0.25">
      <c r="B237" s="615"/>
      <c r="C237" s="615"/>
      <c r="D237" s="615"/>
      <c r="E237" s="615"/>
    </row>
    <row r="238" spans="2:5" x14ac:dyDescent="0.25">
      <c r="B238" s="615"/>
      <c r="C238" s="615"/>
      <c r="D238" s="615"/>
      <c r="E238" s="615"/>
    </row>
    <row r="239" spans="2:5" x14ac:dyDescent="0.25">
      <c r="B239" s="615"/>
      <c r="C239" s="615"/>
      <c r="D239" s="615"/>
      <c r="E239" s="615"/>
    </row>
    <row r="240" spans="2:5" x14ac:dyDescent="0.25">
      <c r="B240" s="615"/>
      <c r="C240" s="615"/>
      <c r="D240" s="615"/>
      <c r="E240" s="615"/>
    </row>
    <row r="241" spans="2:5" x14ac:dyDescent="0.25">
      <c r="B241" s="615"/>
      <c r="C241" s="615"/>
      <c r="D241" s="615"/>
      <c r="E241" s="615"/>
    </row>
    <row r="242" spans="2:5" x14ac:dyDescent="0.25">
      <c r="B242" s="615"/>
      <c r="C242" s="615"/>
      <c r="D242" s="615"/>
      <c r="E242" s="615"/>
    </row>
    <row r="243" spans="2:5" x14ac:dyDescent="0.25">
      <c r="B243" s="615"/>
      <c r="C243" s="615"/>
      <c r="D243" s="615"/>
      <c r="E243" s="615"/>
    </row>
    <row r="244" spans="2:5" x14ac:dyDescent="0.25">
      <c r="B244" s="615"/>
      <c r="C244" s="615"/>
      <c r="D244" s="615"/>
      <c r="E244" s="615"/>
    </row>
    <row r="245" spans="2:5" x14ac:dyDescent="0.25">
      <c r="B245" s="615"/>
      <c r="C245" s="615"/>
      <c r="D245" s="615"/>
      <c r="E245" s="615"/>
    </row>
    <row r="246" spans="2:5" x14ac:dyDescent="0.25">
      <c r="B246" s="615"/>
      <c r="C246" s="615"/>
      <c r="D246" s="615"/>
      <c r="E246" s="615"/>
    </row>
    <row r="247" spans="2:5" x14ac:dyDescent="0.25">
      <c r="B247" s="615"/>
      <c r="C247" s="615"/>
      <c r="D247" s="615"/>
      <c r="E247" s="615"/>
    </row>
    <row r="248" spans="2:5" x14ac:dyDescent="0.25">
      <c r="B248" s="615"/>
      <c r="C248" s="615"/>
      <c r="D248" s="615"/>
      <c r="E248" s="615"/>
    </row>
    <row r="249" spans="2:5" x14ac:dyDescent="0.25">
      <c r="B249" s="615"/>
      <c r="C249" s="615"/>
      <c r="D249" s="615"/>
      <c r="E249" s="615"/>
    </row>
    <row r="250" spans="2:5" x14ac:dyDescent="0.25">
      <c r="B250" s="615"/>
      <c r="C250" s="615"/>
      <c r="D250" s="615"/>
      <c r="E250" s="615"/>
    </row>
    <row r="251" spans="2:5" x14ac:dyDescent="0.25">
      <c r="B251" s="615"/>
      <c r="C251" s="615"/>
      <c r="D251" s="615"/>
      <c r="E251" s="615"/>
    </row>
    <row r="252" spans="2:5" x14ac:dyDescent="0.25">
      <c r="B252" s="615"/>
      <c r="C252" s="615"/>
      <c r="D252" s="615"/>
      <c r="E252" s="615"/>
    </row>
    <row r="253" spans="2:5" x14ac:dyDescent="0.25">
      <c r="B253" s="615"/>
      <c r="C253" s="615"/>
      <c r="D253" s="615"/>
      <c r="E253" s="615"/>
    </row>
  </sheetData>
  <mergeCells count="11">
    <mergeCell ref="Z7:Z8"/>
    <mergeCell ref="Z5:Z6"/>
    <mergeCell ref="M5:U6"/>
    <mergeCell ref="M7:U8"/>
    <mergeCell ref="X4:Z4"/>
    <mergeCell ref="B3:D3"/>
    <mergeCell ref="M4:N4"/>
    <mergeCell ref="B52:E53"/>
    <mergeCell ref="B65:E66"/>
    <mergeCell ref="O4:T4"/>
    <mergeCell ref="M9:U9"/>
  </mergeCells>
  <dataValidations count="1">
    <dataValidation type="list" allowBlank="1" showInputMessage="1" showErrorMessage="1" sqref="O4">
      <formula1>"All,Kachin,Shan_North"</formula1>
    </dataValidation>
  </dataValidations>
  <printOptions horizontalCentered="1"/>
  <pageMargins left="0" right="0" top="0" bottom="0" header="0.3" footer="0.3"/>
  <pageSetup paperSize="9" scale="76" fitToWidth="0"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2062" r:id="rId12" name="Drop Down 14">
              <controlPr defaultSize="0" autoLine="0" autoPict="0" macro="[0]!DropDown14_Change">
                <anchor moveWithCells="1">
                  <from>
                    <xdr:col>20</xdr:col>
                    <xdr:colOff>76200</xdr:colOff>
                    <xdr:row>3</xdr:row>
                    <xdr:rowOff>238125</xdr:rowOff>
                  </from>
                  <to>
                    <xdr:col>20</xdr:col>
                    <xdr:colOff>238125</xdr:colOff>
                    <xdr:row>3</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CB100"/>
  <sheetViews>
    <sheetView showZeros="0" view="pageBreakPreview" zoomScaleNormal="90" zoomScaleSheetLayoutView="100" workbookViewId="0">
      <selection activeCell="B5" sqref="B5:I5"/>
    </sheetView>
  </sheetViews>
  <sheetFormatPr defaultColWidth="9.140625" defaultRowHeight="15" x14ac:dyDescent="0.25"/>
  <cols>
    <col min="1" max="1" width="1.140625" style="181" customWidth="1"/>
    <col min="2" max="2" width="21.140625" style="181" customWidth="1"/>
    <col min="3" max="3" width="10" style="181" customWidth="1"/>
    <col min="4" max="4" width="9.85546875" style="181" customWidth="1"/>
    <col min="5" max="5" width="9.7109375" style="181" customWidth="1"/>
    <col min="6" max="6" width="10.85546875" style="181" customWidth="1"/>
    <col min="7" max="7" width="11.140625" style="181" customWidth="1"/>
    <col min="8" max="8" width="11.5703125" style="181" customWidth="1"/>
    <col min="9" max="9" width="13.7109375" style="181" customWidth="1"/>
    <col min="10" max="10" width="8.28515625" style="181" customWidth="1"/>
    <col min="11" max="11" width="7.7109375" style="181" customWidth="1"/>
    <col min="12" max="12" width="9.7109375" style="181" customWidth="1"/>
    <col min="13" max="13" width="5.140625" style="181" customWidth="1"/>
    <col min="14" max="15" width="9.7109375" style="181" customWidth="1"/>
    <col min="16" max="16" width="9" style="181" customWidth="1"/>
    <col min="17" max="17" width="0.7109375" style="181" customWidth="1"/>
    <col min="18" max="18" width="26.42578125" style="181" customWidth="1"/>
    <col min="19" max="19" width="1" style="181" customWidth="1"/>
    <col min="20" max="20" width="2.85546875" style="181" customWidth="1"/>
    <col min="21" max="21" width="7.140625" style="270" customWidth="1"/>
    <col min="22" max="22" width="16.7109375" style="270" customWidth="1"/>
    <col min="23" max="25" width="7.140625" style="270" customWidth="1"/>
    <col min="26" max="26" width="13" style="270" customWidth="1"/>
    <col min="27" max="27" width="12" style="270" customWidth="1"/>
    <col min="28" max="28" width="14.140625" style="270" customWidth="1"/>
    <col min="29" max="33" width="7.140625" style="270" customWidth="1"/>
    <col min="34" max="34" width="3.85546875" style="183" customWidth="1"/>
    <col min="35" max="35" width="14.5703125" style="183" bestFit="1" customWidth="1"/>
    <col min="36" max="36" width="31.42578125" style="183" bestFit="1" customWidth="1"/>
    <col min="37" max="39" width="8" style="183" bestFit="1" customWidth="1"/>
    <col min="40" max="40" width="9.7109375" style="183" bestFit="1" customWidth="1"/>
    <col min="41" max="46" width="9.140625" style="183"/>
    <col min="47" max="80" width="9.140625" style="270"/>
    <col min="81" max="16384" width="9.140625" style="181"/>
  </cols>
  <sheetData>
    <row r="1" spans="1:80" ht="4.5" customHeight="1" thickBot="1" x14ac:dyDescent="0.3"/>
    <row r="2" spans="1:80" ht="6" customHeight="1" x14ac:dyDescent="0.25">
      <c r="A2" s="392"/>
      <c r="B2" s="393"/>
      <c r="C2" s="393"/>
      <c r="D2" s="393"/>
      <c r="E2" s="393"/>
      <c r="F2" s="393"/>
      <c r="G2" s="393"/>
      <c r="H2" s="393"/>
      <c r="I2" s="393"/>
      <c r="J2" s="393"/>
      <c r="K2" s="393"/>
      <c r="L2" s="393"/>
      <c r="M2" s="393"/>
      <c r="N2" s="393"/>
      <c r="O2" s="393"/>
      <c r="P2" s="393"/>
      <c r="Q2" s="393"/>
      <c r="R2" s="393"/>
      <c r="S2" s="394"/>
    </row>
    <row r="3" spans="1:80" s="177" customFormat="1" ht="4.5" customHeight="1" x14ac:dyDescent="0.25">
      <c r="A3" s="395"/>
      <c r="B3" s="399"/>
      <c r="C3" s="399"/>
      <c r="D3" s="399"/>
      <c r="E3" s="399"/>
      <c r="F3" s="399"/>
      <c r="G3" s="399"/>
      <c r="H3" s="399"/>
      <c r="I3" s="399"/>
      <c r="J3" s="399"/>
      <c r="K3" s="399"/>
      <c r="L3" s="399"/>
      <c r="M3" s="399"/>
      <c r="N3" s="399"/>
      <c r="O3" s="399"/>
      <c r="P3" s="399"/>
      <c r="Q3" s="396"/>
      <c r="R3" s="396"/>
      <c r="S3" s="397"/>
      <c r="U3" s="271"/>
      <c r="V3" s="271"/>
      <c r="W3" s="271"/>
      <c r="X3" s="271"/>
      <c r="Y3" s="271"/>
      <c r="Z3" s="271"/>
      <c r="AA3" s="271"/>
      <c r="AB3" s="271"/>
      <c r="AC3" s="271"/>
      <c r="AD3" s="271"/>
      <c r="AE3" s="271"/>
      <c r="AF3" s="271"/>
      <c r="AG3" s="271"/>
      <c r="AH3" s="183"/>
      <c r="AI3" s="183"/>
      <c r="AJ3" s="183"/>
      <c r="AK3" s="183"/>
      <c r="AL3" s="183"/>
      <c r="AM3" s="183"/>
      <c r="AN3" s="183"/>
      <c r="AO3" s="183"/>
      <c r="AP3" s="183"/>
      <c r="AQ3" s="183"/>
      <c r="AR3" s="183"/>
      <c r="AS3" s="183"/>
      <c r="AT3" s="183"/>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row>
    <row r="4" spans="1:80" s="177" customFormat="1" ht="26.25" customHeight="1" x14ac:dyDescent="0.25">
      <c r="A4" s="395"/>
      <c r="B4" s="766" t="s">
        <v>1408</v>
      </c>
      <c r="C4" s="766"/>
      <c r="D4" s="766"/>
      <c r="E4" s="766"/>
      <c r="F4" s="766"/>
      <c r="G4" s="766"/>
      <c r="H4" s="766"/>
      <c r="I4" s="766"/>
      <c r="J4" s="85"/>
      <c r="K4" s="85"/>
      <c r="L4" s="85"/>
      <c r="M4" s="85"/>
      <c r="N4" s="85"/>
      <c r="O4" s="85"/>
      <c r="P4" s="85"/>
      <c r="Q4" s="396"/>
      <c r="R4" s="396"/>
      <c r="S4" s="397"/>
      <c r="U4" s="271"/>
      <c r="V4" s="270"/>
      <c r="W4" s="270"/>
      <c r="X4" s="270"/>
      <c r="Y4" s="270"/>
      <c r="Z4" s="270"/>
      <c r="AA4" s="270"/>
      <c r="AB4" s="270"/>
      <c r="AC4" s="270"/>
      <c r="AD4" s="270"/>
      <c r="AE4" s="270"/>
      <c r="AF4" s="270"/>
      <c r="AG4" s="270"/>
      <c r="AH4" s="183"/>
      <c r="AI4" s="183"/>
      <c r="AJ4" s="183"/>
      <c r="AK4" s="183"/>
      <c r="AL4" s="183"/>
      <c r="AM4" s="183"/>
      <c r="AN4" s="183"/>
      <c r="AO4" s="183"/>
      <c r="AP4" s="183"/>
      <c r="AQ4" s="183"/>
      <c r="AR4" s="183"/>
      <c r="AS4" s="183"/>
      <c r="AT4" s="183"/>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row>
    <row r="5" spans="1:80" s="306" customFormat="1" ht="23.25" customHeight="1" x14ac:dyDescent="0.25">
      <c r="A5" s="395"/>
      <c r="B5" s="767">
        <f>Definition!B23</f>
        <v>43404</v>
      </c>
      <c r="C5" s="767"/>
      <c r="D5" s="767"/>
      <c r="E5" s="767"/>
      <c r="F5" s="767"/>
      <c r="G5" s="767"/>
      <c r="H5" s="767"/>
      <c r="I5" s="767"/>
      <c r="J5" s="85"/>
      <c r="K5" s="85"/>
      <c r="L5" s="85"/>
      <c r="M5" s="85"/>
      <c r="N5" s="85"/>
      <c r="O5" s="85"/>
      <c r="P5" s="85"/>
      <c r="Q5" s="396"/>
      <c r="R5" s="396"/>
      <c r="S5" s="397"/>
      <c r="U5" s="183"/>
      <c r="V5" s="183"/>
      <c r="W5" s="270"/>
      <c r="X5" s="270"/>
      <c r="Y5" s="270"/>
      <c r="Z5" s="270"/>
      <c r="AA5" s="270"/>
      <c r="AB5" s="270"/>
      <c r="AC5" s="270"/>
      <c r="AD5" s="270"/>
      <c r="AE5" s="270"/>
      <c r="AF5" s="270"/>
      <c r="AG5" s="270"/>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row>
    <row r="6" spans="1:80" ht="12" customHeight="1" x14ac:dyDescent="0.25">
      <c r="A6" s="400"/>
      <c r="B6" s="401"/>
      <c r="C6" s="401"/>
      <c r="D6" s="401"/>
      <c r="E6" s="401"/>
      <c r="F6" s="401"/>
      <c r="G6" s="401"/>
      <c r="H6" s="401"/>
      <c r="I6" s="401"/>
      <c r="J6" s="401"/>
      <c r="K6" s="401"/>
      <c r="L6" s="401"/>
      <c r="M6" s="190"/>
      <c r="N6" s="190"/>
      <c r="O6" s="190"/>
      <c r="P6" s="190"/>
      <c r="Q6" s="190"/>
      <c r="R6" s="190"/>
      <c r="S6" s="402"/>
      <c r="T6" s="403"/>
      <c r="U6" s="403"/>
      <c r="V6" s="403"/>
      <c r="W6" s="403"/>
      <c r="X6" s="403"/>
      <c r="Y6" s="403"/>
      <c r="Z6" s="403"/>
      <c r="AA6" s="403"/>
      <c r="AB6" s="403"/>
      <c r="AC6" s="403"/>
      <c r="AD6" s="403"/>
      <c r="AE6" s="403"/>
      <c r="AF6" s="403"/>
      <c r="AI6" s="183" t="s">
        <v>0</v>
      </c>
      <c r="AJ6" s="183" t="s">
        <v>1409</v>
      </c>
      <c r="AK6" s="183" t="s">
        <v>1410</v>
      </c>
      <c r="AL6" s="183" t="s">
        <v>1411</v>
      </c>
      <c r="AM6" s="183" t="s">
        <v>1412</v>
      </c>
    </row>
    <row r="7" spans="1:80" ht="12" customHeight="1" x14ac:dyDescent="0.25">
      <c r="A7" s="400"/>
      <c r="B7" s="401"/>
      <c r="C7" s="401"/>
      <c r="D7" s="401"/>
      <c r="E7" s="401"/>
      <c r="F7" s="401"/>
      <c r="G7" s="401"/>
      <c r="H7" s="401"/>
      <c r="I7" s="401"/>
      <c r="J7" s="401"/>
      <c r="K7" s="401"/>
      <c r="L7" s="401"/>
      <c r="M7" s="190"/>
      <c r="N7" s="190"/>
      <c r="O7" s="190"/>
      <c r="P7" s="190"/>
      <c r="Q7" s="190"/>
      <c r="R7" s="190"/>
      <c r="S7" s="404"/>
      <c r="AI7" s="183" t="s">
        <v>5</v>
      </c>
      <c r="AJ7" s="707" t="e">
        <v>#REF!</v>
      </c>
      <c r="AK7" s="707" t="e">
        <v>#REF!</v>
      </c>
      <c r="AL7" s="707" t="e">
        <v>#REF!</v>
      </c>
      <c r="AM7" s="707" t="e">
        <v>#REF!</v>
      </c>
    </row>
    <row r="8" spans="1:80" ht="12" customHeight="1" x14ac:dyDescent="0.25">
      <c r="A8" s="400"/>
      <c r="B8" s="401"/>
      <c r="C8" s="401"/>
      <c r="D8" s="401"/>
      <c r="E8" s="401"/>
      <c r="F8" s="401"/>
      <c r="G8" s="401"/>
      <c r="H8" s="401"/>
      <c r="I8" s="401"/>
      <c r="J8" s="401"/>
      <c r="K8" s="401"/>
      <c r="L8" s="401"/>
      <c r="M8" s="190"/>
      <c r="N8" s="190"/>
      <c r="O8" s="190"/>
      <c r="P8" s="190"/>
      <c r="Q8" s="190"/>
      <c r="R8" s="190"/>
      <c r="S8" s="404"/>
      <c r="AI8" s="183" t="s">
        <v>27</v>
      </c>
      <c r="AJ8" s="707" t="e">
        <v>#REF!</v>
      </c>
      <c r="AK8" s="707" t="e">
        <v>#REF!</v>
      </c>
      <c r="AL8" s="707" t="e">
        <v>#REF!</v>
      </c>
      <c r="AM8" s="707" t="e">
        <v>#REF!</v>
      </c>
    </row>
    <row r="9" spans="1:80" ht="12" customHeight="1" x14ac:dyDescent="0.25">
      <c r="A9" s="400"/>
      <c r="B9" s="401"/>
      <c r="C9" s="401"/>
      <c r="D9" s="401"/>
      <c r="E9" s="401"/>
      <c r="F9" s="401"/>
      <c r="G9" s="401"/>
      <c r="H9" s="401"/>
      <c r="I9" s="401"/>
      <c r="J9" s="401"/>
      <c r="K9" s="401"/>
      <c r="L9" s="401"/>
      <c r="M9" s="190"/>
      <c r="N9" s="190"/>
      <c r="O9" s="190"/>
      <c r="P9" s="190"/>
      <c r="Q9" s="190"/>
      <c r="R9" s="190"/>
      <c r="S9" s="404"/>
      <c r="AJ9" s="707" t="e">
        <v>#REF!</v>
      </c>
      <c r="AK9" s="707" t="e">
        <v>#REF!</v>
      </c>
      <c r="AL9" s="707" t="e">
        <v>#REF!</v>
      </c>
      <c r="AM9" s="707" t="e">
        <v>#REF!</v>
      </c>
    </row>
    <row r="10" spans="1:80" ht="12" customHeight="1" x14ac:dyDescent="0.25">
      <c r="A10" s="400"/>
      <c r="B10" s="401"/>
      <c r="C10" s="401"/>
      <c r="D10" s="401"/>
      <c r="E10" s="401"/>
      <c r="F10" s="401"/>
      <c r="G10" s="401"/>
      <c r="H10" s="401"/>
      <c r="I10" s="401"/>
      <c r="J10" s="401"/>
      <c r="K10" s="401"/>
      <c r="L10" s="401"/>
      <c r="M10" s="190"/>
      <c r="N10" s="190"/>
      <c r="O10" s="190"/>
      <c r="P10" s="190"/>
      <c r="Q10" s="190"/>
      <c r="R10" s="190"/>
      <c r="S10" s="404"/>
      <c r="AJ10" s="707" t="e">
        <v>#REF!</v>
      </c>
      <c r="AK10" s="707" t="e">
        <v>#REF!</v>
      </c>
      <c r="AL10" s="707" t="e">
        <v>#REF!</v>
      </c>
      <c r="AM10" s="707" t="e">
        <v>#REF!</v>
      </c>
    </row>
    <row r="11" spans="1:80" ht="8.25" customHeight="1" x14ac:dyDescent="0.25">
      <c r="A11" s="400"/>
      <c r="B11" s="401"/>
      <c r="C11" s="401"/>
      <c r="D11" s="401"/>
      <c r="E11" s="401"/>
      <c r="F11" s="401"/>
      <c r="G11" s="401"/>
      <c r="H11" s="401"/>
      <c r="I11" s="401"/>
      <c r="J11" s="401"/>
      <c r="K11" s="401"/>
      <c r="L11" s="401"/>
      <c r="M11" s="190"/>
      <c r="N11" s="190"/>
      <c r="O11" s="190"/>
      <c r="P11" s="190"/>
      <c r="Q11" s="190"/>
      <c r="R11" s="190"/>
      <c r="S11" s="404"/>
      <c r="AI11" s="183" t="s">
        <v>480</v>
      </c>
      <c r="AJ11" s="707" t="e">
        <v>#REF!</v>
      </c>
      <c r="AK11" s="707" t="e">
        <v>#REF!</v>
      </c>
      <c r="AL11" s="707" t="e">
        <v>#REF!</v>
      </c>
      <c r="AM11" s="707" t="e">
        <v>#REF!</v>
      </c>
    </row>
    <row r="12" spans="1:80" ht="8.25" customHeight="1" x14ac:dyDescent="0.25">
      <c r="A12" s="400"/>
      <c r="B12" s="401"/>
      <c r="C12" s="401"/>
      <c r="D12" s="401"/>
      <c r="E12" s="401"/>
      <c r="F12" s="401"/>
      <c r="G12" s="401"/>
      <c r="H12" s="401"/>
      <c r="I12" s="401"/>
      <c r="J12" s="401"/>
      <c r="K12" s="401"/>
      <c r="L12" s="401"/>
      <c r="M12" s="190"/>
      <c r="N12" s="190"/>
      <c r="O12" s="190"/>
      <c r="P12" s="190"/>
      <c r="Q12" s="190"/>
      <c r="R12" s="190"/>
      <c r="S12" s="404"/>
      <c r="AI12" s="183" t="s">
        <v>719</v>
      </c>
      <c r="AJ12" s="707" t="e">
        <v>#REF!</v>
      </c>
      <c r="AK12" s="707" t="e">
        <v>#REF!</v>
      </c>
      <c r="AL12" s="707" t="e">
        <v>#REF!</v>
      </c>
      <c r="AM12" s="707" t="e">
        <v>#REF!</v>
      </c>
    </row>
    <row r="13" spans="1:80" ht="18.75" customHeight="1" x14ac:dyDescent="0.25">
      <c r="A13" s="400"/>
      <c r="B13" s="259" t="s">
        <v>1148</v>
      </c>
      <c r="C13" s="260" t="s">
        <v>1413</v>
      </c>
      <c r="D13" s="260" t="s">
        <v>1414</v>
      </c>
      <c r="E13" s="260" t="s">
        <v>1028</v>
      </c>
      <c r="F13" s="401"/>
      <c r="G13" s="401"/>
      <c r="H13" s="401"/>
      <c r="I13" s="401"/>
      <c r="J13" s="401"/>
      <c r="K13" s="401"/>
      <c r="L13" s="401"/>
      <c r="M13" s="190"/>
      <c r="N13" s="190"/>
      <c r="O13" s="190"/>
      <c r="P13" s="190"/>
      <c r="Q13" s="190"/>
      <c r="R13" s="190"/>
      <c r="S13" s="404"/>
      <c r="AJ13" s="707" t="e">
        <v>#REF!</v>
      </c>
      <c r="AK13" s="707" t="e">
        <v>#REF!</v>
      </c>
      <c r="AL13" s="707" t="e">
        <v>#REF!</v>
      </c>
      <c r="AM13" s="707" t="e">
        <v>#REF!</v>
      </c>
    </row>
    <row r="14" spans="1:80" ht="18.75" customHeight="1" x14ac:dyDescent="0.25">
      <c r="A14" s="400"/>
      <c r="B14" s="261" t="s">
        <v>378</v>
      </c>
      <c r="C14" s="262"/>
      <c r="D14" s="262"/>
      <c r="E14" s="262"/>
      <c r="F14" s="190"/>
      <c r="G14" s="190"/>
      <c r="H14" s="190"/>
      <c r="I14" s="190"/>
      <c r="J14" s="190"/>
      <c r="K14" s="190"/>
      <c r="L14" s="190"/>
      <c r="M14" s="190"/>
      <c r="N14" s="190"/>
      <c r="O14" s="190"/>
      <c r="P14" s="190"/>
      <c r="Q14" s="405"/>
      <c r="R14" s="190"/>
      <c r="S14" s="404"/>
      <c r="AI14" s="708" t="s">
        <v>361</v>
      </c>
      <c r="AJ14" s="707" t="e">
        <v>#REF!</v>
      </c>
      <c r="AK14" s="707" t="e">
        <v>#REF!</v>
      </c>
      <c r="AL14" s="707" t="e">
        <v>#REF!</v>
      </c>
      <c r="AM14" s="707" t="e">
        <v>#REF!</v>
      </c>
    </row>
    <row r="15" spans="1:80" ht="12.95" customHeight="1" x14ac:dyDescent="0.25">
      <c r="A15" s="400"/>
      <c r="B15" s="263" t="s">
        <v>5</v>
      </c>
      <c r="C15" s="406">
        <f>SUMIFS(CampList[HH],CampList[Township],$B15,CampList[Status],Definition!X$3,CampList[Affected Population],Definition!Y$3,CampList[State],Definition!J$2)</f>
        <v>1442</v>
      </c>
      <c r="D15" s="406">
        <f>SUMIFS(CampList[Total],CampList[Township],$B15,CampList[Status],Definition!X$3,CampList[Affected Population],Definition!Y$3,CampList[State],Definition!J$2)</f>
        <v>8124</v>
      </c>
      <c r="E15" s="264">
        <f>COUNTIFS(CampList[Township],$B15,CampList[Status],Definition!X$3,CampList[Affected Population],Definition!Y$3,CampList[State],Definition!J$2)</f>
        <v>10</v>
      </c>
      <c r="F15" s="190"/>
      <c r="G15" s="407"/>
      <c r="H15" s="190"/>
      <c r="I15" s="190"/>
      <c r="J15" s="190"/>
      <c r="K15" s="190"/>
      <c r="L15" s="190"/>
      <c r="M15" s="190"/>
      <c r="N15" s="190"/>
      <c r="O15" s="190"/>
      <c r="P15" s="190"/>
      <c r="Q15" s="405"/>
      <c r="R15" s="190"/>
      <c r="S15" s="404"/>
      <c r="AI15" s="183" t="s">
        <v>144</v>
      </c>
      <c r="AJ15" s="707" t="e">
        <v>#REF!</v>
      </c>
      <c r="AK15" s="707" t="e">
        <v>#REF!</v>
      </c>
      <c r="AL15" s="707" t="e">
        <v>#REF!</v>
      </c>
      <c r="AM15" s="707" t="e">
        <v>#REF!</v>
      </c>
    </row>
    <row r="16" spans="1:80" ht="12.95" customHeight="1" x14ac:dyDescent="0.25">
      <c r="A16" s="400"/>
      <c r="B16" s="263" t="s">
        <v>27</v>
      </c>
      <c r="C16" s="406">
        <f>SUMIFS(CampList[HH],CampList[Township],$B16,CampList[Status],Definition!X$3,CampList[Affected Population],Definition!Y$3,CampList[State],Definition!J$2)</f>
        <v>614</v>
      </c>
      <c r="D16" s="406">
        <f>SUMIFS(CampList[Total],CampList[Township],$B16,CampList[Status],Definition!X$3,CampList[Affected Population],Definition!Y$3,CampList[State],Definition!J$2)</f>
        <v>3051</v>
      </c>
      <c r="E16" s="264">
        <f>COUNTIFS(CampList[Township],$B16,CampList[Status],Definition!X$3,CampList[Affected Population],Definition!Y$3,CampList[State],Definition!J$2)</f>
        <v>5</v>
      </c>
      <c r="F16" s="190"/>
      <c r="G16" s="407"/>
      <c r="H16" s="190"/>
      <c r="I16" s="190"/>
      <c r="J16" s="190"/>
      <c r="K16" s="190"/>
      <c r="L16" s="190"/>
      <c r="M16" s="190"/>
      <c r="N16" s="190"/>
      <c r="O16" s="190"/>
      <c r="P16" s="190"/>
      <c r="Q16" s="190"/>
      <c r="R16" s="190"/>
      <c r="S16" s="404"/>
      <c r="AI16" s="183" t="s">
        <v>146</v>
      </c>
      <c r="AJ16" s="707" t="e">
        <v>#REF!</v>
      </c>
      <c r="AK16" s="707" t="e">
        <v>#REF!</v>
      </c>
      <c r="AL16" s="707" t="e">
        <v>#REF!</v>
      </c>
      <c r="AM16" s="707" t="e">
        <v>#REF!</v>
      </c>
    </row>
    <row r="17" spans="1:40" ht="12.95" customHeight="1" x14ac:dyDescent="0.25">
      <c r="A17" s="400"/>
      <c r="B17" s="263" t="s">
        <v>480</v>
      </c>
      <c r="C17" s="406">
        <f>SUMIFS(CampList[HH],CampList[Township],$B17,CampList[Status],Definition!X$3,CampList[Affected Population],Definition!Y$3,CampList[State],Definition!J$2)</f>
        <v>791</v>
      </c>
      <c r="D17" s="406">
        <f>SUMIFS(CampList[Total],CampList[Township],$B17,CampList[Status],Definition!X$3,CampList[Affected Population],Definition!Y$3,CampList[State],Definition!J$2)</f>
        <v>3978</v>
      </c>
      <c r="E17" s="264">
        <f>COUNTIFS(CampList[Township],$B17,CampList[Status],Definition!X$3,CampList[Affected Population],Definition!Y$3,CampList[State],Definition!J$2)</f>
        <v>23</v>
      </c>
      <c r="F17" s="190"/>
      <c r="G17" s="407"/>
      <c r="H17" s="190"/>
      <c r="I17" s="190"/>
      <c r="J17" s="190"/>
      <c r="K17" s="190"/>
      <c r="L17" s="190"/>
      <c r="M17" s="190"/>
      <c r="N17" s="190"/>
      <c r="O17" s="190"/>
      <c r="P17" s="190"/>
      <c r="Q17" s="190"/>
      <c r="R17" s="190"/>
      <c r="S17" s="404"/>
      <c r="AI17" s="183" t="s">
        <v>817</v>
      </c>
      <c r="AJ17" s="707" t="e">
        <v>#REF!</v>
      </c>
      <c r="AK17" s="707" t="e">
        <v>#REF!</v>
      </c>
      <c r="AL17" s="707" t="e">
        <v>#REF!</v>
      </c>
      <c r="AM17" s="707" t="e">
        <v>#REF!</v>
      </c>
    </row>
    <row r="18" spans="1:40" ht="12.95" customHeight="1" x14ac:dyDescent="0.25">
      <c r="A18" s="400"/>
      <c r="B18" s="263" t="s">
        <v>361</v>
      </c>
      <c r="C18" s="406">
        <f>SUMIFS(CampList[HH],CampList[Township],$B18,CampList[Status],Definition!X$3,CampList[Affected Population],Definition!Y$3,CampList[State],Definition!J$2)</f>
        <v>0</v>
      </c>
      <c r="D18" s="406">
        <f>SUMIFS(CampList[Total],CampList[Township],$B18,CampList[Status],Definition!X$3,CampList[Affected Population],Definition!Y$3,CampList[State],Definition!J$2)</f>
        <v>0</v>
      </c>
      <c r="E18" s="264">
        <f>COUNTIFS(CampList[Township],$B18,CampList[Status],Definition!X$3,CampList[Affected Population],Definition!Y$3,CampList[State],Definition!J$2)</f>
        <v>0</v>
      </c>
      <c r="F18" s="190"/>
      <c r="G18" s="190"/>
      <c r="H18" s="190"/>
      <c r="I18" s="190"/>
      <c r="J18" s="190"/>
      <c r="K18" s="190"/>
      <c r="L18" s="190"/>
      <c r="M18" s="190"/>
      <c r="N18" s="190"/>
      <c r="O18" s="190"/>
      <c r="P18" s="190"/>
      <c r="Q18" s="190"/>
      <c r="R18" s="190"/>
      <c r="S18" s="404"/>
      <c r="AI18" s="183" t="s">
        <v>151</v>
      </c>
      <c r="AJ18" s="707" t="e">
        <v>#REF!</v>
      </c>
      <c r="AK18" s="707" t="e">
        <v>#REF!</v>
      </c>
      <c r="AL18" s="707" t="e">
        <v>#REF!</v>
      </c>
      <c r="AM18" s="707" t="e">
        <v>#REF!</v>
      </c>
    </row>
    <row r="19" spans="1:40" ht="12.95" customHeight="1" x14ac:dyDescent="0.25">
      <c r="A19" s="400"/>
      <c r="B19" s="263" t="s">
        <v>144</v>
      </c>
      <c r="C19" s="406">
        <f>SUMIFS(CampList[HH],CampList[Township],$B19,CampList[Status],Definition!X$3,CampList[Affected Population],Definition!Y$3,CampList[State],Definition!J$2)</f>
        <v>0</v>
      </c>
      <c r="D19" s="406">
        <f>SUMIFS(CampList[Total],CampList[Township],$B19,CampList[Status],Definition!X$3,CampList[Affected Population],Definition!Y$3,CampList[State],Definition!J$2)</f>
        <v>0</v>
      </c>
      <c r="E19" s="264">
        <f>COUNTIFS(CampList[Township],$B19,CampList[Status],Definition!X$3,CampList[Affected Population],Definition!Y$3,CampList[State],Definition!J$2)</f>
        <v>0</v>
      </c>
      <c r="F19" s="190"/>
      <c r="G19" s="190"/>
      <c r="H19" s="190"/>
      <c r="I19" s="190"/>
      <c r="J19" s="190"/>
      <c r="K19" s="190"/>
      <c r="L19" s="190"/>
      <c r="M19" s="190"/>
      <c r="N19" s="190"/>
      <c r="O19" s="190"/>
      <c r="P19" s="190"/>
      <c r="Q19" s="190"/>
      <c r="R19" s="190"/>
      <c r="S19" s="404"/>
      <c r="T19" s="181">
        <f>V25</f>
        <v>0</v>
      </c>
      <c r="AI19" s="183" t="s">
        <v>166</v>
      </c>
      <c r="AJ19" s="707" t="e">
        <v>#REF!</v>
      </c>
      <c r="AK19" s="707" t="e">
        <v>#REF!</v>
      </c>
      <c r="AL19" s="707" t="e">
        <v>#REF!</v>
      </c>
      <c r="AM19" s="707" t="e">
        <v>#REF!</v>
      </c>
    </row>
    <row r="20" spans="1:40" ht="12.95" customHeight="1" x14ac:dyDescent="0.25">
      <c r="A20" s="400"/>
      <c r="B20" s="263" t="s">
        <v>817</v>
      </c>
      <c r="C20" s="406">
        <f>SUMIFS(CampList[HH],CampList[Township],$B20,CampList[Status],Definition!X$3,CampList[Affected Population],Definition!Y$3,CampList[State],Definition!J$2)</f>
        <v>0</v>
      </c>
      <c r="D20" s="406">
        <f>SUMIFS(CampList[Total],CampList[Township],$B20,CampList[Status],Definition!X$3,CampList[Affected Population],Definition!Y$3,CampList[State],Definition!J$2)</f>
        <v>0</v>
      </c>
      <c r="E20" s="264">
        <f>COUNTIFS(CampList[Township],$B20,CampList[Status],Definition!X$3,CampList[Affected Population],Definition!Y$3,CampList[State],Definition!J$2)</f>
        <v>0</v>
      </c>
      <c r="F20" s="190"/>
      <c r="G20" s="190"/>
      <c r="H20" s="190"/>
      <c r="I20" s="190"/>
      <c r="J20" s="190"/>
      <c r="K20" s="190"/>
      <c r="L20" s="190"/>
      <c r="M20" s="190"/>
      <c r="N20" s="190"/>
      <c r="O20" s="190"/>
      <c r="P20" s="190"/>
      <c r="Q20" s="190"/>
      <c r="R20" s="190"/>
      <c r="S20" s="404"/>
      <c r="U20" s="408"/>
      <c r="AI20" s="183" t="s">
        <v>173</v>
      </c>
      <c r="AJ20" s="707" t="e">
        <v>#REF!</v>
      </c>
      <c r="AK20" s="707" t="e">
        <v>#REF!</v>
      </c>
      <c r="AL20" s="707" t="e">
        <v>#REF!</v>
      </c>
      <c r="AM20" s="707" t="e">
        <v>#REF!</v>
      </c>
    </row>
    <row r="21" spans="1:40" ht="12.95" customHeight="1" x14ac:dyDescent="0.25">
      <c r="A21" s="400"/>
      <c r="B21" s="263" t="s">
        <v>151</v>
      </c>
      <c r="C21" s="406">
        <f>SUMIFS(CampList[HH],CampList[Township],$B21,CampList[Status],Definition!X$3,CampList[Affected Population],Definition!Y$3,CampList[State],Definition!J$2)</f>
        <v>2812</v>
      </c>
      <c r="D21" s="406">
        <f>SUMIFS(CampList[Total],CampList[Township],$B21,CampList[Status],Definition!X$3,CampList[Affected Population],Definition!Y$3,CampList[State],Definition!J$2)</f>
        <v>13435</v>
      </c>
      <c r="E21" s="264">
        <f>COUNTIFS(CampList[Township],$B21,CampList[Status],Definition!X$3,CampList[Affected Population],Definition!Y$3,CampList[State],Definition!J$2)</f>
        <v>11</v>
      </c>
      <c r="F21" s="190"/>
      <c r="G21" s="190"/>
      <c r="H21" s="190"/>
      <c r="I21" s="190"/>
      <c r="J21" s="190"/>
      <c r="K21" s="190"/>
      <c r="L21" s="190"/>
      <c r="M21" s="190"/>
      <c r="N21" s="190"/>
      <c r="O21" s="190"/>
      <c r="P21" s="190"/>
      <c r="Q21" s="190"/>
      <c r="R21" s="190"/>
      <c r="S21" s="404"/>
      <c r="AI21" s="183" t="s">
        <v>180</v>
      </c>
      <c r="AJ21" s="707" t="e">
        <v>#REF!</v>
      </c>
      <c r="AK21" s="707" t="e">
        <v>#REF!</v>
      </c>
      <c r="AL21" s="707" t="e">
        <v>#REF!</v>
      </c>
      <c r="AM21" s="707" t="e">
        <v>#REF!</v>
      </c>
    </row>
    <row r="22" spans="1:40" ht="12.95" customHeight="1" x14ac:dyDescent="0.25">
      <c r="A22" s="400"/>
      <c r="B22" s="263" t="s">
        <v>173</v>
      </c>
      <c r="C22" s="406">
        <f>SUMIFS(CampList[HH],CampList[Township],$B22,CampList[Status],Definition!X$3,CampList[Affected Population],Definition!Y$3,CampList[State],Definition!J$2)</f>
        <v>307</v>
      </c>
      <c r="D22" s="406">
        <f>SUMIFS(CampList[Total],CampList[Township],$B22,CampList[Status],Definition!X$3,CampList[Affected Population],Definition!Y$3,CampList[State],Definition!J$2)</f>
        <v>1481</v>
      </c>
      <c r="E22" s="264">
        <f>COUNTIFS(CampList[Township],$B22,CampList[Status],Definition!X$3,CampList[Affected Population],Definition!Y$3,CampList[State],Definition!J$2)</f>
        <v>8</v>
      </c>
      <c r="F22" s="190"/>
      <c r="G22" s="190"/>
      <c r="H22" s="190"/>
      <c r="I22" s="190"/>
      <c r="J22" s="190"/>
      <c r="K22" s="190"/>
      <c r="L22" s="190"/>
      <c r="M22" s="190"/>
      <c r="N22" s="190"/>
      <c r="O22" s="190"/>
      <c r="P22" s="190"/>
      <c r="Q22" s="190"/>
      <c r="R22" s="190"/>
      <c r="S22" s="404"/>
      <c r="AI22" s="183" t="s">
        <v>185</v>
      </c>
      <c r="AJ22" s="707" t="e">
        <v>#REF!</v>
      </c>
      <c r="AK22" s="707" t="e">
        <v>#REF!</v>
      </c>
      <c r="AL22" s="707" t="e">
        <v>#REF!</v>
      </c>
      <c r="AM22" s="707" t="e">
        <v>#REF!</v>
      </c>
    </row>
    <row r="23" spans="1:40" ht="12.95" customHeight="1" x14ac:dyDescent="0.25">
      <c r="A23" s="400"/>
      <c r="B23" s="263" t="s">
        <v>180</v>
      </c>
      <c r="C23" s="406">
        <f>SUMIFS(CampList[HH],CampList[Township],$B23,CampList[Status],Definition!X$3,CampList[Affected Population],Definition!Y$3,CampList[State],Definition!J$2)</f>
        <v>77</v>
      </c>
      <c r="D23" s="406">
        <f>SUMIFS(CampList[Total],CampList[Township],$B23,CampList[Status],Definition!X$3,CampList[Affected Population],Definition!Y$3,CampList[State],Definition!J$2)</f>
        <v>339</v>
      </c>
      <c r="E23" s="264">
        <f>COUNTIFS(CampList[Township],$B23,CampList[Status],Definition!X$3,CampList[Affected Population],Definition!Y$3,CampList[State],Definition!J$2)</f>
        <v>4</v>
      </c>
      <c r="F23" s="190"/>
      <c r="G23" s="190"/>
      <c r="H23" s="190"/>
      <c r="I23" s="190"/>
      <c r="J23" s="190"/>
      <c r="K23" s="190"/>
      <c r="L23" s="190"/>
      <c r="M23" s="190"/>
      <c r="N23" s="190"/>
      <c r="O23" s="190"/>
      <c r="P23" s="190"/>
      <c r="Q23" s="190"/>
      <c r="R23" s="190"/>
      <c r="S23" s="404"/>
      <c r="AI23" s="183" t="s">
        <v>230</v>
      </c>
      <c r="AJ23" s="707" t="e">
        <v>#REF!</v>
      </c>
      <c r="AK23" s="707" t="e">
        <v>#REF!</v>
      </c>
      <c r="AL23" s="707" t="e">
        <v>#REF!</v>
      </c>
      <c r="AM23" s="707" t="e">
        <v>#REF!</v>
      </c>
    </row>
    <row r="24" spans="1:40" ht="12.95" customHeight="1" x14ac:dyDescent="0.25">
      <c r="A24" s="400"/>
      <c r="B24" s="263" t="s">
        <v>185</v>
      </c>
      <c r="C24" s="406">
        <f>SUMIFS(CampList[HH],CampList[Township],$B24,CampList[Status],Definition!X$3,CampList[Affected Population],Definition!Y$3,CampList[State],Definition!J$2)</f>
        <v>4754</v>
      </c>
      <c r="D24" s="406">
        <f>SUMIFS(CampList[Total],CampList[Township],$B24,CampList[Status],Definition!X$3,CampList[Affected Population],Definition!Y$3,CampList[State],Definition!J$2)</f>
        <v>24865</v>
      </c>
      <c r="E24" s="264">
        <f>COUNTIFS(CampList[Township],$B24,CampList[Status],Definition!X$3,CampList[Affected Population],Definition!Y$3,CampList[State],Definition!J$2)</f>
        <v>15</v>
      </c>
      <c r="F24" s="190"/>
      <c r="G24" s="177"/>
      <c r="H24" s="177"/>
      <c r="I24" s="177"/>
      <c r="J24" s="177"/>
      <c r="K24" s="177"/>
      <c r="L24" s="177"/>
      <c r="M24" s="190"/>
      <c r="N24" s="190"/>
      <c r="O24" s="190"/>
      <c r="P24" s="190"/>
      <c r="Q24" s="190"/>
      <c r="R24" s="190"/>
      <c r="S24" s="404"/>
      <c r="AI24" s="183" t="s">
        <v>237</v>
      </c>
      <c r="AJ24" s="707" t="e">
        <v>#REF!</v>
      </c>
      <c r="AK24" s="707" t="e">
        <v>#REF!</v>
      </c>
      <c r="AL24" s="707" t="e">
        <v>#REF!</v>
      </c>
      <c r="AM24" s="707" t="e">
        <v>#REF!</v>
      </c>
    </row>
    <row r="25" spans="1:40" ht="12.95" customHeight="1" x14ac:dyDescent="0.25">
      <c r="A25" s="400"/>
      <c r="B25" s="263" t="s">
        <v>237</v>
      </c>
      <c r="C25" s="406">
        <f>SUMIFS(CampList[HH],CampList[Township],$B25,CampList[Status],Definition!X$3,CampList[Affected Population],Definition!Y$3,CampList[State],Definition!J$2)</f>
        <v>2558</v>
      </c>
      <c r="D25" s="406">
        <f>SUMIFS(CampList[Total],CampList[Township],$B25,CampList[Status],Definition!X$3,CampList[Affected Population],Definition!Y$3,CampList[State],Definition!J$2)</f>
        <v>12884</v>
      </c>
      <c r="E25" s="264">
        <f>COUNTIFS(CampList[Township],$B25,CampList[Status],Definition!X$3,CampList[Affected Population],Definition!Y$3,CampList[State],Definition!J$2)</f>
        <v>28</v>
      </c>
      <c r="F25" s="190"/>
      <c r="G25" s="177"/>
      <c r="H25" s="177"/>
      <c r="I25" s="177"/>
      <c r="J25" s="177"/>
      <c r="K25" s="177"/>
      <c r="L25" s="177"/>
      <c r="M25" s="190"/>
      <c r="N25" s="190"/>
      <c r="O25" s="190"/>
      <c r="P25" s="190"/>
      <c r="Q25" s="190"/>
      <c r="R25" s="190"/>
      <c r="S25" s="404"/>
      <c r="AI25" s="183" t="s">
        <v>288</v>
      </c>
      <c r="AJ25" s="707" t="e">
        <v>#REF!</v>
      </c>
      <c r="AK25" s="707" t="e">
        <v>#REF!</v>
      </c>
      <c r="AL25" s="707" t="e">
        <v>#REF!</v>
      </c>
      <c r="AM25" s="707" t="e">
        <v>#REF!</v>
      </c>
    </row>
    <row r="26" spans="1:40" ht="12.95" customHeight="1" x14ac:dyDescent="0.25">
      <c r="A26" s="400"/>
      <c r="B26" s="263" t="s">
        <v>299</v>
      </c>
      <c r="C26" s="406">
        <f>SUMIFS(CampList[HH],CampList[Township],$B26,CampList[Status],Definition!X$3,CampList[Affected Population],Definition!Y$3,CampList[State],Definition!J$2)</f>
        <v>85</v>
      </c>
      <c r="D26" s="406">
        <f>SUMIFS(CampList[Total],CampList[Township],$B26,CampList[Status],Definition!X$3,CampList[Affected Population],Definition!Y$3,CampList[State],Definition!J$2)</f>
        <v>412</v>
      </c>
      <c r="E26" s="264">
        <f>COUNTIFS(CampList[Township],$B26,CampList[Status],Definition!X$3,CampList[Affected Population],Definition!Y$3,CampList[State],Definition!J$2)</f>
        <v>3</v>
      </c>
      <c r="F26" s="190"/>
      <c r="G26" s="177"/>
      <c r="H26" s="177"/>
      <c r="I26" s="177"/>
      <c r="J26" s="177"/>
      <c r="K26" s="177"/>
      <c r="L26" s="177"/>
      <c r="M26" s="190"/>
      <c r="N26" s="190"/>
      <c r="O26" s="190"/>
      <c r="P26" s="190"/>
      <c r="Q26" s="190"/>
      <c r="R26" s="190"/>
      <c r="S26" s="404"/>
      <c r="AI26" s="183" t="s">
        <v>297</v>
      </c>
      <c r="AJ26" s="707" t="e">
        <v>#REF!</v>
      </c>
      <c r="AK26" s="707" t="e">
        <v>#REF!</v>
      </c>
      <c r="AL26" s="707" t="e">
        <v>#REF!</v>
      </c>
      <c r="AM26" s="707" t="e">
        <v>#REF!</v>
      </c>
    </row>
    <row r="27" spans="1:40" ht="12.95" customHeight="1" x14ac:dyDescent="0.25">
      <c r="A27" s="400"/>
      <c r="B27" s="263" t="s">
        <v>301</v>
      </c>
      <c r="C27" s="406">
        <f>SUMIFS(CampList[HH],CampList[Township],$B27,CampList[Status],Definition!X$3,CampList[Affected Population],Definition!Y$3,CampList[State],Definition!J$2)</f>
        <v>94</v>
      </c>
      <c r="D27" s="406">
        <f>SUMIFS(CampList[Total],CampList[Township],$B27,CampList[Status],Definition!X$3,CampList[Affected Population],Definition!Y$3,CampList[State],Definition!J$2)</f>
        <v>542</v>
      </c>
      <c r="E27" s="264">
        <f>COUNTIFS(CampList[Township],$B27,CampList[Status],Definition!X$3,CampList[Affected Population],Definition!Y$3,CampList[State],Definition!J$2)</f>
        <v>2</v>
      </c>
      <c r="F27" s="190"/>
      <c r="G27" s="177"/>
      <c r="H27" s="177"/>
      <c r="I27" s="177"/>
      <c r="J27" s="177"/>
      <c r="K27" s="177"/>
      <c r="L27" s="177"/>
      <c r="M27" s="190"/>
      <c r="N27" s="190"/>
      <c r="O27" s="190"/>
      <c r="P27" s="190"/>
      <c r="Q27" s="190"/>
      <c r="R27" s="190"/>
      <c r="S27" s="404"/>
      <c r="AI27" s="183" t="s">
        <v>299</v>
      </c>
      <c r="AJ27" s="707" t="e">
        <v>#REF!</v>
      </c>
      <c r="AK27" s="707" t="e">
        <v>#REF!</v>
      </c>
      <c r="AL27" s="707" t="e">
        <v>#REF!</v>
      </c>
      <c r="AM27" s="707" t="e">
        <v>#REF!</v>
      </c>
    </row>
    <row r="28" spans="1:40" ht="12.95" customHeight="1" x14ac:dyDescent="0.25">
      <c r="A28" s="400"/>
      <c r="B28" s="263" t="s">
        <v>746</v>
      </c>
      <c r="C28" s="406">
        <f>SUMIFS(CampList[HH],CampList[Township],$B28,CampList[Status],Definition!X$3,CampList[Affected Population],Definition!Y$3,CampList[State],Definition!J$2)</f>
        <v>180</v>
      </c>
      <c r="D28" s="406">
        <f>SUMIFS(CampList[Total],CampList[Township],$B28,CampList[Status],Definition!X$3,CampList[Affected Population],Definition!Y$3,CampList[State],Definition!J$2)</f>
        <v>977</v>
      </c>
      <c r="E28" s="264">
        <f>COUNTIFS(CampList[Township],$B28,CampList[Status],Definition!X$3,CampList[Affected Population],Definition!Y$3,CampList[State],Definition!J$2)</f>
        <v>3</v>
      </c>
      <c r="F28" s="177"/>
      <c r="G28" s="177"/>
      <c r="H28" s="177"/>
      <c r="I28" s="177"/>
      <c r="J28" s="177"/>
      <c r="K28" s="177"/>
      <c r="L28" s="177"/>
      <c r="M28" s="190"/>
      <c r="N28" s="190"/>
      <c r="O28" s="190"/>
      <c r="P28" s="190"/>
      <c r="Q28" s="190"/>
      <c r="R28" s="190"/>
      <c r="S28" s="404"/>
      <c r="AI28" s="183" t="s">
        <v>301</v>
      </c>
      <c r="AJ28" s="707" t="e">
        <v>#REF!</v>
      </c>
      <c r="AK28" s="707" t="e">
        <v>#REF!</v>
      </c>
      <c r="AL28" s="707" t="e">
        <v>#REF!</v>
      </c>
      <c r="AM28" s="707" t="e">
        <v>#REF!</v>
      </c>
    </row>
    <row r="29" spans="1:40" ht="12.95" customHeight="1" x14ac:dyDescent="0.25">
      <c r="A29" s="400"/>
      <c r="B29" s="263" t="s">
        <v>1135</v>
      </c>
      <c r="C29" s="406">
        <f>SUMIFS(CampList[HH],CampList[Township],$B29,CampList[Status],Definition!X$3,CampList[Affected Population],Definition!Y$3,CampList[State],Definition!J$2)</f>
        <v>274</v>
      </c>
      <c r="D29" s="406">
        <f>SUMIFS(CampList[Total],CampList[Township],$B29,CampList[Status],Definition!X$3,CampList[Affected Population],Definition!Y$3,CampList[State],Definition!J$2)</f>
        <v>1110</v>
      </c>
      <c r="E29" s="264">
        <f>COUNTIFS(CampList[Township],$B29,CampList[Status],Definition!X$3,CampList[Affected Population],Definition!Y$3,CampList[State],Definition!J$2)</f>
        <v>3</v>
      </c>
      <c r="F29" s="177"/>
      <c r="G29" s="177"/>
      <c r="H29" s="177"/>
      <c r="I29" s="177"/>
      <c r="J29" s="177"/>
      <c r="K29" s="177"/>
      <c r="L29" s="177"/>
      <c r="M29" s="190"/>
      <c r="N29" s="190"/>
      <c r="O29" s="190"/>
      <c r="P29" s="190"/>
      <c r="Q29" s="190"/>
      <c r="R29" s="190"/>
      <c r="S29" s="404"/>
      <c r="AI29" s="183" t="s">
        <v>1199</v>
      </c>
      <c r="AJ29" s="707" t="e">
        <v>#REF!</v>
      </c>
      <c r="AK29" s="707" t="e">
        <v>#REF!</v>
      </c>
      <c r="AL29" s="707" t="e">
        <v>#REF!</v>
      </c>
      <c r="AM29" s="707" t="e">
        <v>#REF!</v>
      </c>
    </row>
    <row r="30" spans="1:40" ht="12.95" customHeight="1" x14ac:dyDescent="0.25">
      <c r="A30" s="400"/>
      <c r="B30" s="263" t="s">
        <v>309</v>
      </c>
      <c r="C30" s="406">
        <f>SUMIFS(CampList[HH],CampList[Township],$B30,CampList[Status],Definition!X$3,CampList[Affected Population],Definition!Y$3,CampList[State],Definition!J$2)</f>
        <v>4867</v>
      </c>
      <c r="D30" s="406">
        <f>SUMIFS(CampList[Total],CampList[Township],$B30,CampList[Status],Definition!X$3,CampList[Affected Population],Definition!Y$3,CampList[State],Definition!J$2)</f>
        <v>25409</v>
      </c>
      <c r="E30" s="264">
        <f>COUNTIFS(CampList[Township],$B30,CampList[Status],Definition!X$3,CampList[Affected Population],Definition!Y$3,CampList[State],Definition!J$2)</f>
        <v>24</v>
      </c>
      <c r="F30" s="177"/>
      <c r="G30" s="177"/>
      <c r="H30" s="177"/>
      <c r="I30" s="177"/>
      <c r="J30" s="177"/>
      <c r="K30" s="177"/>
      <c r="L30" s="177"/>
      <c r="M30" s="190"/>
      <c r="N30" s="190"/>
      <c r="O30" s="190"/>
      <c r="P30" s="190"/>
      <c r="Q30" s="190"/>
      <c r="R30" s="190"/>
      <c r="S30" s="404"/>
      <c r="AI30" s="183" t="s">
        <v>746</v>
      </c>
      <c r="AJ30" s="707" t="e">
        <v>#REF!</v>
      </c>
      <c r="AK30" s="707" t="e">
        <v>#REF!</v>
      </c>
      <c r="AL30" s="707" t="e">
        <v>#REF!</v>
      </c>
      <c r="AM30" s="707" t="e">
        <v>#REF!</v>
      </c>
      <c r="AN30" s="709" t="e">
        <f>AM40+AJ40+AK40+AL40</f>
        <v>#REF!</v>
      </c>
    </row>
    <row r="31" spans="1:40" ht="15.75" customHeight="1" x14ac:dyDescent="0.25">
      <c r="A31" s="420" t="s">
        <v>378</v>
      </c>
      <c r="B31" s="265" t="s">
        <v>779</v>
      </c>
      <c r="C31" s="409">
        <f>SUM(C15:C30)</f>
        <v>18855</v>
      </c>
      <c r="D31" s="409">
        <f>SUM(D15:D30)</f>
        <v>96607</v>
      </c>
      <c r="E31" s="266">
        <f>SUM(E15:E30)</f>
        <v>139</v>
      </c>
      <c r="F31" s="177"/>
      <c r="G31" s="177"/>
      <c r="H31" s="177"/>
      <c r="I31" s="177"/>
      <c r="J31" s="177"/>
      <c r="K31" s="177"/>
      <c r="L31" s="177"/>
      <c r="M31" s="190"/>
      <c r="N31" s="190"/>
      <c r="O31" s="190"/>
      <c r="P31" s="190"/>
      <c r="Q31" s="190"/>
      <c r="R31" s="190"/>
      <c r="S31" s="404"/>
      <c r="AI31" s="183" t="s">
        <v>1135</v>
      </c>
      <c r="AJ31" s="707" t="e">
        <v>#REF!</v>
      </c>
      <c r="AK31" s="707" t="e">
        <v>#REF!</v>
      </c>
      <c r="AL31" s="707" t="e">
        <v>#REF!</v>
      </c>
      <c r="AM31" s="707" t="e">
        <v>#REF!</v>
      </c>
      <c r="AN31" s="709"/>
    </row>
    <row r="32" spans="1:40" ht="15.75" customHeight="1" x14ac:dyDescent="0.25">
      <c r="A32" s="400"/>
      <c r="B32" s="261" t="s">
        <v>1149</v>
      </c>
      <c r="C32" s="262"/>
      <c r="D32" s="262"/>
      <c r="E32" s="262"/>
      <c r="F32" s="177"/>
      <c r="G32" s="177"/>
      <c r="H32" s="177"/>
      <c r="I32" s="177"/>
      <c r="J32" s="177"/>
      <c r="K32" s="177"/>
      <c r="L32" s="177"/>
      <c r="M32" s="190"/>
      <c r="N32" s="190"/>
      <c r="O32" s="190"/>
      <c r="P32" s="190"/>
      <c r="Q32" s="190"/>
      <c r="R32" s="190"/>
      <c r="S32" s="404"/>
      <c r="AJ32" s="707" t="e">
        <v>#REF!</v>
      </c>
      <c r="AK32" s="707" t="e">
        <v>#REF!</v>
      </c>
      <c r="AL32" s="707" t="e">
        <v>#REF!</v>
      </c>
      <c r="AM32" s="707" t="e">
        <v>#REF!</v>
      </c>
      <c r="AN32" s="709"/>
    </row>
    <row r="33" spans="1:80" ht="14.1" customHeight="1" x14ac:dyDescent="0.25">
      <c r="A33" s="400"/>
      <c r="B33" s="267" t="s">
        <v>719</v>
      </c>
      <c r="C33" s="406">
        <f>SUMIFS(CampList[HH],CampList[Township],$B33,CampList[Status],Definition!X$3,CampList[Affected Population],Definition!Y$3,CampList[State],Definition!J$4)</f>
        <v>32</v>
      </c>
      <c r="D33" s="406">
        <f>SUMIFS(CampList[Total],CampList[Township],$B33,CampList[Status],Definition!X$3,CampList[Affected Population],Definition!Y$3,CampList[State],Definition!J$4)</f>
        <v>172</v>
      </c>
      <c r="E33" s="264">
        <f>COUNTIFS(CampList[Township],$B33,CampList[Status],Definition!X$3,CampList[Affected Population],Definition!Y$3,CampList[State],Definition!J$4)</f>
        <v>1</v>
      </c>
      <c r="F33" s="177"/>
      <c r="G33" s="177"/>
      <c r="H33" s="177"/>
      <c r="I33" s="177"/>
      <c r="J33" s="177"/>
      <c r="K33" s="177"/>
      <c r="L33" s="177"/>
      <c r="M33" s="190"/>
      <c r="N33" s="190"/>
      <c r="O33" s="190"/>
      <c r="P33" s="190"/>
      <c r="Q33" s="190"/>
      <c r="R33" s="190"/>
      <c r="S33" s="404"/>
      <c r="AJ33" s="707" t="e">
        <v>#REF!</v>
      </c>
      <c r="AK33" s="707" t="e">
        <v>#REF!</v>
      </c>
      <c r="AL33" s="707" t="e">
        <v>#REF!</v>
      </c>
      <c r="AM33" s="707" t="e">
        <v>#REF!</v>
      </c>
      <c r="AN33" s="709"/>
    </row>
    <row r="34" spans="1:80" ht="14.1" customHeight="1" x14ac:dyDescent="0.25">
      <c r="A34" s="400"/>
      <c r="B34" s="267" t="s">
        <v>146</v>
      </c>
      <c r="C34" s="406">
        <f>SUMIFS(CampList[HH],CampList[Township],$B34,CampList[Status],Definition!X$3,CampList[Affected Population],Definition!Y$3,CampList[State],Definition!J$4)</f>
        <v>949</v>
      </c>
      <c r="D34" s="406">
        <f>SUMIFS(CampList[Total],CampList[Township],$B34,CampList[Status],Definition!X$3,CampList[Affected Population],Definition!Y$3,CampList[State],Definition!J$4)</f>
        <v>4793</v>
      </c>
      <c r="E34" s="264">
        <f>COUNTIFS(CampList[Township],$B34,CampList[Status],Definition!X$3,CampList[Affected Population],Definition!Y$3,CampList[State],Definition!J$4)</f>
        <v>16</v>
      </c>
      <c r="F34" s="177"/>
      <c r="G34" s="177"/>
      <c r="H34" s="177"/>
      <c r="I34" s="177"/>
      <c r="J34" s="177"/>
      <c r="K34" s="177"/>
      <c r="L34" s="177"/>
      <c r="M34" s="190"/>
      <c r="N34" s="190"/>
      <c r="O34" s="190"/>
      <c r="P34" s="190"/>
      <c r="Q34" s="190"/>
      <c r="R34" s="190"/>
      <c r="S34" s="404"/>
      <c r="AJ34" s="707" t="e">
        <v>#REF!</v>
      </c>
      <c r="AK34" s="707" t="e">
        <v>#REF!</v>
      </c>
      <c r="AL34" s="707" t="e">
        <v>#REF!</v>
      </c>
      <c r="AM34" s="707" t="e">
        <v>#REF!</v>
      </c>
      <c r="AN34" s="709"/>
    </row>
    <row r="35" spans="1:80" ht="14.1" customHeight="1" x14ac:dyDescent="0.25">
      <c r="A35" s="400"/>
      <c r="B35" s="267" t="s">
        <v>166</v>
      </c>
      <c r="C35" s="406">
        <f>SUMIFS(CampList[HH],CampList[Township],$B35,CampList[Status],Definition!X$3,CampList[Affected Population],Definition!Y$3,CampList[State],Definition!J$4)</f>
        <v>62</v>
      </c>
      <c r="D35" s="406">
        <f>SUMIFS(CampList[Total],CampList[Township],$B35,CampList[Status],Definition!X$3,CampList[Affected Population],Definition!Y$3,CampList[State],Definition!J$4)</f>
        <v>348</v>
      </c>
      <c r="E35" s="264">
        <f>COUNTIFS(CampList[Township],$B35,CampList[Status],Definition!X$3,CampList[Affected Population],Definition!Y$3,CampList[State],Definition!J$4)</f>
        <v>2</v>
      </c>
      <c r="F35" s="177"/>
      <c r="G35" s="177"/>
      <c r="H35" s="177"/>
      <c r="I35" s="177"/>
      <c r="J35" s="177"/>
      <c r="K35" s="177"/>
      <c r="L35" s="177"/>
      <c r="M35" s="190"/>
      <c r="N35" s="190"/>
      <c r="O35" s="190"/>
      <c r="P35" s="190"/>
      <c r="Q35" s="190"/>
      <c r="R35" s="190"/>
      <c r="S35" s="404"/>
      <c r="AJ35" s="707" t="e">
        <v>#REF!</v>
      </c>
      <c r="AK35" s="707" t="e">
        <v>#REF!</v>
      </c>
      <c r="AL35" s="707" t="e">
        <v>#REF!</v>
      </c>
      <c r="AM35" s="707" t="e">
        <v>#REF!</v>
      </c>
      <c r="AN35" s="709"/>
    </row>
    <row r="36" spans="1:80" ht="14.1" customHeight="1" x14ac:dyDescent="0.25">
      <c r="A36" s="400"/>
      <c r="B36" s="263" t="s">
        <v>230</v>
      </c>
      <c r="C36" s="406">
        <f>SUMIFS(CampList[HH],CampList[Township],$B36,CampList[Status],Definition!X$3,CampList[Affected Population],Definition!Y$3,CampList[State],Definition!J$4)</f>
        <v>212</v>
      </c>
      <c r="D36" s="406">
        <f>SUMIFS(CampList[Total],CampList[Township],$B36,CampList[Status],Definition!X$3,CampList[Affected Population],Definition!Y$3,CampList[State],Definition!J$4)</f>
        <v>1052</v>
      </c>
      <c r="E36" s="264">
        <f>COUNTIFS(CampList[Township],$B36,CampList[Status],Definition!X$3,CampList[Affected Population],Definition!Y$3,CampList[State],Definition!J$4)</f>
        <v>3</v>
      </c>
      <c r="F36" s="177"/>
      <c r="G36" s="177"/>
      <c r="H36" s="177"/>
      <c r="I36" s="177"/>
      <c r="J36" s="177"/>
      <c r="K36" s="177"/>
      <c r="L36" s="177"/>
      <c r="M36" s="190"/>
      <c r="N36" s="190"/>
      <c r="O36" s="190"/>
      <c r="P36" s="190"/>
      <c r="Q36" s="190"/>
      <c r="R36" s="190"/>
      <c r="S36" s="404"/>
      <c r="AJ36" s="707" t="e">
        <v>#REF!</v>
      </c>
      <c r="AK36" s="707" t="e">
        <v>#REF!</v>
      </c>
      <c r="AL36" s="707" t="e">
        <v>#REF!</v>
      </c>
      <c r="AM36" s="707" t="e">
        <v>#REF!</v>
      </c>
      <c r="AN36" s="709"/>
    </row>
    <row r="37" spans="1:80" ht="14.1" customHeight="1" x14ac:dyDescent="0.25">
      <c r="A37" s="400"/>
      <c r="B37" s="263" t="s">
        <v>288</v>
      </c>
      <c r="C37" s="406">
        <f>SUMIFS(CampList[HH],CampList[Township],$B37,CampList[Status],Definition!X$3,CampList[Affected Population],Definition!Y$3,CampList[State],Definition!J$4)</f>
        <v>401</v>
      </c>
      <c r="D37" s="406">
        <f>SUMIFS(CampList[Total],CampList[Township],$B37,CampList[Status],Definition!X$3,CampList[Affected Population],Definition!Y$3,CampList[State],Definition!J$4)</f>
        <v>2009</v>
      </c>
      <c r="E37" s="264">
        <f>COUNTIFS(CampList[Township],$B37,CampList[Status],Definition!X$3,CampList[Affected Population],Definition!Y$3,CampList[State],Definition!J$4)</f>
        <v>6</v>
      </c>
      <c r="F37" s="177"/>
      <c r="G37" s="177"/>
      <c r="H37" s="177"/>
      <c r="I37" s="177"/>
      <c r="J37" s="177"/>
      <c r="K37" s="177"/>
      <c r="L37" s="177"/>
      <c r="M37" s="190"/>
      <c r="N37" s="190"/>
      <c r="O37" s="190"/>
      <c r="P37" s="190"/>
      <c r="Q37" s="190"/>
      <c r="R37" s="190"/>
      <c r="S37" s="404"/>
      <c r="AJ37" s="707" t="e">
        <v>#REF!</v>
      </c>
      <c r="AK37" s="707" t="e">
        <v>#REF!</v>
      </c>
      <c r="AL37" s="707" t="e">
        <v>#REF!</v>
      </c>
      <c r="AM37" s="707" t="e">
        <v>#REF!</v>
      </c>
      <c r="AN37" s="709"/>
    </row>
    <row r="38" spans="1:80" ht="14.1" customHeight="1" x14ac:dyDescent="0.25">
      <c r="A38" s="400"/>
      <c r="B38" s="263" t="s">
        <v>1199</v>
      </c>
      <c r="C38" s="406">
        <f>SUMIFS(CampList[HH],CampList[Township],$B38,CampList[Status],Definition!X$3,CampList[Affected Population],Definition!Y$3,CampList[State],Definition!J$4)</f>
        <v>37</v>
      </c>
      <c r="D38" s="406">
        <f>SUMIFS(CampList[Total],CampList[Township],$B38,CampList[Status],Definition!X$3,CampList[Affected Population],Definition!Y$3,CampList[State],Definition!J$4)</f>
        <v>120</v>
      </c>
      <c r="E38" s="264">
        <f>COUNTIFS(CampList[Township],$B38,CampList[Status],Definition!X$3,CampList[Affected Population],Definition!Y$3,CampList[State],Definition!J$4)</f>
        <v>1</v>
      </c>
      <c r="F38" s="177"/>
      <c r="G38" s="177"/>
      <c r="H38" s="177"/>
      <c r="I38" s="177"/>
      <c r="J38" s="177"/>
      <c r="K38" s="177"/>
      <c r="L38" s="177"/>
      <c r="M38" s="190"/>
      <c r="N38" s="190"/>
      <c r="O38" s="190"/>
      <c r="P38" s="190"/>
      <c r="Q38" s="190"/>
      <c r="R38" s="190"/>
      <c r="S38" s="404"/>
      <c r="AJ38" s="707"/>
      <c r="AK38" s="707"/>
      <c r="AL38" s="707"/>
      <c r="AM38" s="707"/>
      <c r="AN38" s="709"/>
    </row>
    <row r="39" spans="1:80" ht="14.1" customHeight="1" x14ac:dyDescent="0.25">
      <c r="A39" s="400"/>
      <c r="B39" s="263" t="s">
        <v>297</v>
      </c>
      <c r="C39" s="406">
        <f>SUMIFS(CampList[HH],CampList[Township],$B39,CampList[Status],Definition!X$3,CampList[Affected Population],Definition!Y$3,CampList[State],Definition!J$4)</f>
        <v>159</v>
      </c>
      <c r="D39" s="406">
        <f>SUMIFS(CampList[Total],CampList[Township],$B39,CampList[Status],Definition!X$3,CampList[Affected Population],Definition!Y$3,CampList[State],Definition!J$4)</f>
        <v>753</v>
      </c>
      <c r="E39" s="264">
        <f>COUNTIFS(CampList[Township],$B39,CampList[Status],Definition!X$3,CampList[Affected Population],Definition!Y$3,CampList[State],Definition!J$4)</f>
        <v>4</v>
      </c>
      <c r="F39" s="177"/>
      <c r="G39" s="177"/>
      <c r="H39" s="177"/>
      <c r="I39" s="177"/>
      <c r="J39" s="177"/>
      <c r="K39" s="177"/>
      <c r="L39" s="177"/>
      <c r="M39" s="177"/>
      <c r="N39" s="177"/>
      <c r="O39" s="177"/>
      <c r="P39" s="177"/>
      <c r="Q39" s="177"/>
      <c r="R39" s="177"/>
      <c r="S39" s="404"/>
      <c r="AI39" s="183" t="s">
        <v>309</v>
      </c>
      <c r="AJ39" s="707" t="e">
        <v>#REF!</v>
      </c>
      <c r="AK39" s="707" t="e">
        <v>#REF!</v>
      </c>
      <c r="AL39" s="707" t="e">
        <v>#REF!</v>
      </c>
      <c r="AM39" s="707" t="e">
        <v>#REF!</v>
      </c>
      <c r="AN39" s="710"/>
    </row>
    <row r="40" spans="1:80" ht="15" customHeight="1" x14ac:dyDescent="0.25">
      <c r="A40" s="420" t="s">
        <v>1149</v>
      </c>
      <c r="B40" s="268" t="s">
        <v>1150</v>
      </c>
      <c r="C40" s="406">
        <f>SUM(C33:C39)</f>
        <v>1852</v>
      </c>
      <c r="D40" s="409">
        <f>SUM(D33:D39)</f>
        <v>9247</v>
      </c>
      <c r="E40" s="266">
        <f>SUM(E33:E39)</f>
        <v>33</v>
      </c>
      <c r="F40" s="177"/>
      <c r="G40" s="177"/>
      <c r="H40" s="177"/>
      <c r="I40" s="177"/>
      <c r="J40" s="177"/>
      <c r="K40" s="177"/>
      <c r="L40" s="177"/>
      <c r="M40" s="177"/>
      <c r="N40" s="177"/>
      <c r="O40" s="177"/>
      <c r="P40" s="177"/>
      <c r="Q40" s="177"/>
      <c r="R40" s="177"/>
      <c r="S40" s="404"/>
      <c r="AI40" s="183" t="s">
        <v>3</v>
      </c>
      <c r="AJ40" s="212" t="e">
        <f>SUM(AJ7:AJ39)</f>
        <v>#REF!</v>
      </c>
      <c r="AK40" s="212" t="e">
        <f>SUM(AK7:AK39)</f>
        <v>#REF!</v>
      </c>
      <c r="AL40" s="212" t="e">
        <f>SUM(AL7:AL39)</f>
        <v>#REF!</v>
      </c>
      <c r="AM40" s="212" t="e">
        <f>SUM(AM7:AM39)</f>
        <v>#REF!</v>
      </c>
      <c r="AN40" s="711"/>
      <c r="AO40" s="710"/>
    </row>
    <row r="41" spans="1:80" ht="15.75" customHeight="1" x14ac:dyDescent="0.25">
      <c r="A41" s="410"/>
      <c r="B41" s="259" t="s">
        <v>411</v>
      </c>
      <c r="C41" s="626">
        <f>C31+C40</f>
        <v>20707</v>
      </c>
      <c r="D41" s="626">
        <f>D31+D40</f>
        <v>105854</v>
      </c>
      <c r="E41" s="626">
        <f>E31+E40</f>
        <v>172</v>
      </c>
      <c r="F41" s="177"/>
      <c r="G41" s="177"/>
      <c r="H41" s="177"/>
      <c r="I41" s="177"/>
      <c r="J41" s="177"/>
      <c r="K41" s="177"/>
      <c r="L41" s="177"/>
      <c r="M41" s="190"/>
      <c r="N41" s="190"/>
      <c r="O41" s="190"/>
      <c r="P41" s="190"/>
      <c r="Q41" s="190"/>
      <c r="R41" s="190"/>
      <c r="S41" s="404"/>
      <c r="AO41" s="710"/>
    </row>
    <row r="42" spans="1:80" ht="9" customHeight="1" x14ac:dyDescent="0.25">
      <c r="A42" s="400"/>
      <c r="B42" s="177"/>
      <c r="C42" s="177"/>
      <c r="D42" s="177"/>
      <c r="E42" s="177"/>
      <c r="F42" s="177"/>
      <c r="G42" s="177"/>
      <c r="H42" s="177"/>
      <c r="I42" s="177"/>
      <c r="J42" s="177"/>
      <c r="K42" s="177"/>
      <c r="L42" s="177"/>
      <c r="M42" s="190"/>
      <c r="N42" s="190"/>
      <c r="O42" s="190"/>
      <c r="P42" s="190"/>
      <c r="Q42" s="190"/>
      <c r="R42" s="190"/>
      <c r="S42" s="404"/>
      <c r="AJ42" s="604" t="s">
        <v>1416</v>
      </c>
      <c r="AK42" s="604"/>
      <c r="AL42" s="604"/>
      <c r="AN42" s="183" t="s">
        <v>1415</v>
      </c>
      <c r="AO42" s="710">
        <f>SUM(AK42:AN42)</f>
        <v>0</v>
      </c>
    </row>
    <row r="43" spans="1:80" ht="14.1" customHeight="1" x14ac:dyDescent="0.25">
      <c r="A43" s="400"/>
      <c r="B43" s="768" t="s">
        <v>1439</v>
      </c>
      <c r="C43" s="769" t="s">
        <v>464</v>
      </c>
      <c r="D43" s="770"/>
      <c r="E43" s="771" t="s">
        <v>466</v>
      </c>
      <c r="F43" s="770"/>
      <c r="G43" s="771" t="s">
        <v>3</v>
      </c>
      <c r="H43" s="769"/>
      <c r="I43" s="770"/>
      <c r="J43" s="177"/>
      <c r="K43" s="177"/>
      <c r="L43" s="177"/>
      <c r="M43" s="190"/>
      <c r="N43" s="190"/>
      <c r="O43" s="190"/>
      <c r="P43" s="190"/>
      <c r="Q43" s="190"/>
      <c r="R43" s="190"/>
      <c r="S43" s="404"/>
      <c r="AJ43" s="604"/>
      <c r="AK43" s="604"/>
      <c r="AL43" s="604"/>
      <c r="AO43" s="710"/>
    </row>
    <row r="44" spans="1:80" ht="18.75" customHeight="1" x14ac:dyDescent="0.25">
      <c r="A44" s="400"/>
      <c r="B44" s="768"/>
      <c r="C44" s="181" t="s">
        <v>1418</v>
      </c>
      <c r="D44" s="418" t="s">
        <v>788</v>
      </c>
      <c r="E44" s="181" t="s">
        <v>1418</v>
      </c>
      <c r="F44" s="418" t="s">
        <v>788</v>
      </c>
      <c r="G44" s="291" t="s">
        <v>1418</v>
      </c>
      <c r="H44" s="419" t="s">
        <v>788</v>
      </c>
      <c r="I44" s="424" t="s">
        <v>1424</v>
      </c>
      <c r="J44" s="177"/>
      <c r="K44" s="177"/>
      <c r="L44" s="177"/>
      <c r="M44" s="190"/>
      <c r="N44" s="190"/>
      <c r="O44" s="190"/>
      <c r="P44" s="190"/>
      <c r="Q44" s="190"/>
      <c r="R44" s="190"/>
      <c r="S44" s="404"/>
      <c r="AJ44" s="604"/>
      <c r="AK44" s="604"/>
      <c r="AL44" s="604"/>
      <c r="AO44" s="710"/>
    </row>
    <row r="45" spans="1:80" ht="18.75" customHeight="1" x14ac:dyDescent="0.25">
      <c r="A45" s="400"/>
      <c r="B45" s="411" t="s">
        <v>507</v>
      </c>
      <c r="C45" s="406">
        <f>COUNTIFS(CampList[Status],Definition!$X$3,CampList[Type of Accomodation],$B45,CampList[Accessibility],Definition!$AA$2)</f>
        <v>121</v>
      </c>
      <c r="D45" s="418">
        <f>SUMIFS(CampList[Total],CampList[Status],Definition!$X$3,CampList[Type of Accomodation],$B45,CampList[Accessibility],Definition!$AA$2)</f>
        <v>57999</v>
      </c>
      <c r="E45" s="406">
        <f>COUNTIFS(CampList[Status],Definition!$X$3,CampList[Type of Accomodation],$B45,CampList[Accessibility],Definition!$AA$3)</f>
        <v>17</v>
      </c>
      <c r="F45" s="418">
        <f>SUMIFS(CampList[Total],CampList[Status],Definition!$X$3,CampList[Type of Accomodation],$B45,CampList[Accessibility],Definition!$AA$3)</f>
        <v>37037</v>
      </c>
      <c r="G45" s="181">
        <f>C45+E45</f>
        <v>138</v>
      </c>
      <c r="H45" s="418">
        <f>F45+D45</f>
        <v>95036</v>
      </c>
      <c r="I45" s="423">
        <f t="shared" ref="I45:I50" si="0">H45/$H$49</f>
        <v>0.89780263381638858</v>
      </c>
      <c r="J45" s="177"/>
      <c r="K45" s="177"/>
      <c r="L45" s="177"/>
      <c r="M45" s="190"/>
      <c r="N45" s="190"/>
      <c r="O45" s="190"/>
      <c r="P45" s="190"/>
      <c r="Q45" s="190"/>
      <c r="R45" s="190"/>
      <c r="S45" s="404"/>
      <c r="AI45" s="183" t="s">
        <v>0</v>
      </c>
      <c r="AJ45" s="183" t="s">
        <v>1409</v>
      </c>
      <c r="AK45" s="183" t="s">
        <v>1410</v>
      </c>
      <c r="AL45" s="183" t="s">
        <v>1417</v>
      </c>
      <c r="AM45" s="183" t="s">
        <v>1412</v>
      </c>
      <c r="AN45" s="183" t="s">
        <v>1415</v>
      </c>
      <c r="AO45" s="710">
        <f>SUM(AJ45:AN45)</f>
        <v>0</v>
      </c>
    </row>
    <row r="46" spans="1:80" ht="18.75" customHeight="1" x14ac:dyDescent="0.25">
      <c r="A46" s="400"/>
      <c r="B46" s="411" t="s">
        <v>12</v>
      </c>
      <c r="C46" s="406">
        <f>COUNTIFS(CampList[Status],Definition!$X$3,CampList[Type of Accomodation],$B46,CampList[Accessibility],Definition!$AA$2)</f>
        <v>11</v>
      </c>
      <c r="D46" s="418">
        <f>SUMIFS(CampList[Total],CampList[Status],Definition!$X$3,CampList[Type of Accomodation],$B46,CampList[Accessibility],Definition!$AA$2)</f>
        <v>5279</v>
      </c>
      <c r="E46" s="406">
        <f>COUNTIFS(CampList[Status],Definition!$X$3,CampList[Type of Accomodation],$B46,CampList[Accessibility],Definition!$AA$3)</f>
        <v>0</v>
      </c>
      <c r="F46" s="418">
        <f>SUMIFS(CampList[Total],CampList[Status],Definition!$X$3,CampList[Type of Accomodation],$B46,CampList[Accessibility],Definition!$AA$3)</f>
        <v>0</v>
      </c>
      <c r="G46" s="181">
        <f t="shared" ref="G46:G48" si="1">C46+E46</f>
        <v>11</v>
      </c>
      <c r="H46" s="418">
        <f t="shared" ref="H46:H48" si="2">F46+D46</f>
        <v>5279</v>
      </c>
      <c r="I46" s="423">
        <f t="shared" si="0"/>
        <v>4.9870576454361666E-2</v>
      </c>
      <c r="J46" s="177"/>
      <c r="K46" s="177"/>
      <c r="L46" s="177"/>
      <c r="M46" s="190"/>
      <c r="N46" s="190"/>
      <c r="O46" s="190"/>
      <c r="P46" s="190"/>
      <c r="Q46" s="190"/>
      <c r="R46" s="190"/>
      <c r="S46" s="404"/>
      <c r="AI46" s="183" t="s">
        <v>5</v>
      </c>
      <c r="AJ46" s="707" t="e">
        <v>#REF!</v>
      </c>
      <c r="AK46" s="707" t="e">
        <v>#REF!</v>
      </c>
      <c r="AL46" s="707" t="e">
        <v>#REF!</v>
      </c>
      <c r="AM46" s="707" t="e">
        <v>#REF!</v>
      </c>
      <c r="AN46" s="183" t="e">
        <v>#REF!</v>
      </c>
      <c r="AO46" s="712" t="e">
        <f>SUM(AJ46:AN46)</f>
        <v>#REF!</v>
      </c>
    </row>
    <row r="47" spans="1:80" s="391" customFormat="1" ht="18.75" customHeight="1" x14ac:dyDescent="0.25">
      <c r="A47" s="400"/>
      <c r="B47" s="411" t="s">
        <v>848</v>
      </c>
      <c r="C47" s="406">
        <f>COUNTIFS(CampList[Status],Definition!$X$3,CampList[Type of Accomodation],$B47,CampList[Accessibility],Definition!$AA$2)</f>
        <v>0</v>
      </c>
      <c r="D47" s="418">
        <f>SUMIFS(CampList[Total],CampList[Status],Definition!$X$3,CampList[Type of Accomodation],$B47,CampList[Accessibility],Definition!$AA$2)</f>
        <v>0</v>
      </c>
      <c r="E47" s="406">
        <f>COUNTIFS(CampList[Status],Definition!$X$3,CampList[Type of Accomodation],$B47,CampList[Accessibility],Definition!$AA$3)</f>
        <v>1</v>
      </c>
      <c r="F47" s="418">
        <f>SUMIFS(CampList[Total],CampList[Status],Definition!$X$3,CampList[Type of Accomodation],$B47,CampList[Accessibility],Definition!$AA$3)</f>
        <v>872</v>
      </c>
      <c r="G47" s="181">
        <f t="shared" si="1"/>
        <v>1</v>
      </c>
      <c r="H47" s="418">
        <f t="shared" si="2"/>
        <v>872</v>
      </c>
      <c r="I47" s="423">
        <f t="shared" si="0"/>
        <v>8.2377614450091629E-3</v>
      </c>
      <c r="J47" s="177"/>
      <c r="K47" s="177"/>
      <c r="L47" s="177"/>
      <c r="M47" s="190"/>
      <c r="N47" s="190"/>
      <c r="O47" s="190"/>
      <c r="P47" s="190"/>
      <c r="Q47" s="190"/>
      <c r="R47" s="190"/>
      <c r="S47" s="404"/>
      <c r="T47" s="181"/>
      <c r="U47" s="270"/>
      <c r="V47" s="270"/>
      <c r="W47" s="270"/>
      <c r="X47" s="270"/>
      <c r="Y47" s="270"/>
      <c r="Z47" s="270"/>
      <c r="AA47" s="270"/>
      <c r="AB47" s="270"/>
      <c r="AC47" s="270"/>
      <c r="AD47" s="270"/>
      <c r="AE47" s="270"/>
      <c r="AF47" s="270"/>
      <c r="AG47" s="270"/>
      <c r="AH47" s="183"/>
      <c r="AI47" s="183" t="s">
        <v>27</v>
      </c>
      <c r="AJ47" s="707" t="e">
        <v>#REF!</v>
      </c>
      <c r="AK47" s="707" t="e">
        <v>#REF!</v>
      </c>
      <c r="AL47" s="707" t="e">
        <v>#REF!</v>
      </c>
      <c r="AM47" s="707" t="e">
        <v>#REF!</v>
      </c>
      <c r="AN47" s="183" t="e">
        <v>#REF!</v>
      </c>
      <c r="AO47" s="712" t="e">
        <f t="shared" ref="AO47:AO65" si="3">SUM(AJ47:AN47)</f>
        <v>#REF!</v>
      </c>
      <c r="AP47" s="183"/>
      <c r="AQ47" s="183"/>
      <c r="AR47" s="183"/>
      <c r="AS47" s="183"/>
      <c r="AT47" s="183"/>
      <c r="AU47" s="270"/>
      <c r="AV47" s="270"/>
      <c r="AW47" s="270"/>
      <c r="AX47" s="270"/>
      <c r="AY47" s="270"/>
      <c r="AZ47" s="270"/>
      <c r="BA47" s="270"/>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row>
    <row r="48" spans="1:80" s="391" customFormat="1" ht="18.75" customHeight="1" x14ac:dyDescent="0.25">
      <c r="A48" s="400"/>
      <c r="B48" s="411" t="s">
        <v>1381</v>
      </c>
      <c r="C48" s="406">
        <f>COUNTIFS(CampList[Status],Definition!$X$3,CampList[Type of Accomodation],$B48,CampList[Accessibility],Definition!$AA$2)</f>
        <v>22</v>
      </c>
      <c r="D48" s="418">
        <f>SUMIFS(CampList[Total],CampList[Status],Definition!$X$3,CampList[Type of Accomodation],$B48,CampList[Accessibility],Definition!$AA$2)</f>
        <v>4667</v>
      </c>
      <c r="E48" s="406">
        <f>COUNTIFS(CampList[Status],Definition!$X$3,CampList[Type of Accomodation],$B48,CampList[Accessibility],Definition!$AA$3)</f>
        <v>0</v>
      </c>
      <c r="F48" s="418">
        <f>SUMIFS(CampList[Total],CampList[Status],Definition!$X$3,CampList[Type of Accomodation],$B48,CampList[Accessibility],Definition!$AA$3)</f>
        <v>0</v>
      </c>
      <c r="G48" s="181">
        <f t="shared" si="1"/>
        <v>22</v>
      </c>
      <c r="H48" s="418">
        <f t="shared" si="2"/>
        <v>4667</v>
      </c>
      <c r="I48" s="423">
        <f t="shared" si="0"/>
        <v>4.4089028284240557E-2</v>
      </c>
      <c r="J48" s="177"/>
      <c r="K48" s="177"/>
      <c r="L48" s="177"/>
      <c r="M48" s="190"/>
      <c r="N48" s="190"/>
      <c r="O48" s="190"/>
      <c r="P48" s="190"/>
      <c r="Q48" s="190"/>
      <c r="R48" s="190"/>
      <c r="S48" s="404"/>
      <c r="T48" s="181"/>
      <c r="U48" s="270"/>
      <c r="V48" s="270"/>
      <c r="W48" s="270"/>
      <c r="X48" s="270"/>
      <c r="Y48" s="270"/>
      <c r="Z48" s="270"/>
      <c r="AA48" s="270"/>
      <c r="AB48" s="270"/>
      <c r="AC48" s="270"/>
      <c r="AD48" s="270"/>
      <c r="AE48" s="270"/>
      <c r="AF48" s="270"/>
      <c r="AG48" s="270"/>
      <c r="AH48" s="183"/>
      <c r="AI48" s="183"/>
      <c r="AJ48" s="707"/>
      <c r="AK48" s="707"/>
      <c r="AL48" s="707"/>
      <c r="AM48" s="707"/>
      <c r="AN48" s="183"/>
      <c r="AO48" s="712"/>
      <c r="AP48" s="183"/>
      <c r="AQ48" s="183"/>
      <c r="AR48" s="183"/>
      <c r="AS48" s="183"/>
      <c r="AT48" s="183"/>
      <c r="AU48" s="270"/>
      <c r="AV48" s="270"/>
      <c r="AW48" s="270"/>
      <c r="AX48" s="270"/>
      <c r="AY48" s="270"/>
      <c r="AZ48" s="270"/>
      <c r="BA48" s="270"/>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row>
    <row r="49" spans="1:80" s="391" customFormat="1" ht="14.25" customHeight="1" x14ac:dyDescent="0.25">
      <c r="A49" s="400"/>
      <c r="B49" s="412" t="s">
        <v>3</v>
      </c>
      <c r="C49" s="409">
        <f t="shared" ref="C49:H49" si="4">SUM(C45:C48)</f>
        <v>154</v>
      </c>
      <c r="D49" s="419">
        <f t="shared" si="4"/>
        <v>67945</v>
      </c>
      <c r="E49" s="409">
        <f t="shared" si="4"/>
        <v>18</v>
      </c>
      <c r="F49" s="419">
        <f t="shared" si="4"/>
        <v>37909</v>
      </c>
      <c r="G49" s="291">
        <f t="shared" si="4"/>
        <v>172</v>
      </c>
      <c r="H49" s="419">
        <f t="shared" si="4"/>
        <v>105854</v>
      </c>
      <c r="I49" s="447">
        <f t="shared" si="0"/>
        <v>1</v>
      </c>
      <c r="J49" s="177"/>
      <c r="K49" s="177"/>
      <c r="L49" s="177"/>
      <c r="M49" s="190"/>
      <c r="N49" s="190"/>
      <c r="O49" s="190"/>
      <c r="P49" s="190"/>
      <c r="Q49" s="190"/>
      <c r="R49" s="190"/>
      <c r="S49" s="404"/>
      <c r="T49" s="181"/>
      <c r="U49" s="270"/>
      <c r="V49" s="270"/>
      <c r="W49" s="270"/>
      <c r="X49" s="270"/>
      <c r="Y49" s="270"/>
      <c r="Z49" s="270"/>
      <c r="AA49" s="270"/>
      <c r="AB49" s="270"/>
      <c r="AC49" s="270"/>
      <c r="AD49" s="270"/>
      <c r="AE49" s="270"/>
      <c r="AF49" s="270"/>
      <c r="AG49" s="270"/>
      <c r="AH49" s="183"/>
      <c r="AI49" s="183" t="s">
        <v>480</v>
      </c>
      <c r="AJ49" s="707" t="e">
        <v>#REF!</v>
      </c>
      <c r="AK49" s="707" t="e">
        <v>#REF!</v>
      </c>
      <c r="AL49" s="707" t="e">
        <v>#REF!</v>
      </c>
      <c r="AM49" s="707" t="e">
        <v>#REF!</v>
      </c>
      <c r="AN49" s="183" t="e">
        <v>#REF!</v>
      </c>
      <c r="AO49" s="712" t="e">
        <f t="shared" si="3"/>
        <v>#REF!</v>
      </c>
      <c r="AP49" s="183"/>
      <c r="AQ49" s="183"/>
      <c r="AR49" s="183"/>
      <c r="AS49" s="183"/>
      <c r="AT49" s="183"/>
      <c r="AU49" s="270"/>
      <c r="AV49" s="270"/>
      <c r="AW49" s="270"/>
      <c r="AX49" s="270"/>
      <c r="AY49" s="270"/>
      <c r="AZ49" s="270"/>
      <c r="BA49" s="270"/>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row>
    <row r="50" spans="1:80" s="391" customFormat="1" ht="3.75" customHeight="1" x14ac:dyDescent="0.25">
      <c r="A50" s="400"/>
      <c r="B50" s="177"/>
      <c r="C50" s="177"/>
      <c r="D50" s="177"/>
      <c r="E50" s="177"/>
      <c r="F50" s="190"/>
      <c r="G50" s="190"/>
      <c r="H50" s="190"/>
      <c r="I50" s="423">
        <f t="shared" si="0"/>
        <v>0</v>
      </c>
      <c r="J50" s="190"/>
      <c r="K50" s="190"/>
      <c r="L50" s="190"/>
      <c r="M50" s="190"/>
      <c r="N50" s="190"/>
      <c r="O50" s="190"/>
      <c r="P50" s="190"/>
      <c r="Q50" s="190"/>
      <c r="R50" s="190"/>
      <c r="S50" s="404"/>
      <c r="T50" s="181"/>
      <c r="U50" s="270"/>
      <c r="V50" s="270"/>
      <c r="W50" s="270"/>
      <c r="X50" s="270"/>
      <c r="Y50" s="270"/>
      <c r="Z50" s="270"/>
      <c r="AA50" s="270"/>
      <c r="AB50" s="270"/>
      <c r="AC50" s="270"/>
      <c r="AD50" s="270"/>
      <c r="AE50" s="270"/>
      <c r="AF50" s="270"/>
      <c r="AG50" s="270"/>
      <c r="AH50" s="183"/>
      <c r="AI50" s="183" t="s">
        <v>144</v>
      </c>
      <c r="AJ50" s="707" t="e">
        <v>#REF!</v>
      </c>
      <c r="AK50" s="707" t="e">
        <v>#REF!</v>
      </c>
      <c r="AL50" s="707" t="e">
        <v>#REF!</v>
      </c>
      <c r="AM50" s="707" t="e">
        <v>#REF!</v>
      </c>
      <c r="AN50" s="183" t="e">
        <v>#REF!</v>
      </c>
      <c r="AO50" s="712" t="e">
        <f t="shared" si="3"/>
        <v>#REF!</v>
      </c>
      <c r="AP50" s="183"/>
      <c r="AQ50" s="183"/>
      <c r="AR50" s="183"/>
      <c r="AS50" s="183"/>
      <c r="AT50" s="183"/>
      <c r="AU50" s="270"/>
      <c r="AV50" s="270"/>
      <c r="AW50" s="270"/>
      <c r="AX50" s="270"/>
      <c r="AY50" s="270"/>
      <c r="AZ50" s="270"/>
      <c r="BA50" s="270"/>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row>
    <row r="51" spans="1:80" s="391" customFormat="1" ht="48" customHeight="1" x14ac:dyDescent="0.25">
      <c r="A51" s="400"/>
      <c r="B51" s="177"/>
      <c r="C51" s="177"/>
      <c r="D51" s="177"/>
      <c r="E51" s="177"/>
      <c r="F51" s="190"/>
      <c r="G51" s="190"/>
      <c r="H51" s="190"/>
      <c r="I51" s="190"/>
      <c r="J51" s="190"/>
      <c r="K51" s="190"/>
      <c r="L51" s="190"/>
      <c r="M51" s="190"/>
      <c r="N51" s="190"/>
      <c r="O51" s="190"/>
      <c r="P51" s="190"/>
      <c r="Q51" s="190"/>
      <c r="R51" s="190"/>
      <c r="S51" s="404"/>
      <c r="T51" s="181"/>
      <c r="U51" s="270"/>
      <c r="V51" s="270"/>
      <c r="W51" s="270"/>
      <c r="X51" s="270"/>
      <c r="Y51" s="270"/>
      <c r="Z51" s="270"/>
      <c r="AA51" s="270"/>
      <c r="AB51" s="270"/>
      <c r="AC51" s="270"/>
      <c r="AD51" s="270"/>
      <c r="AE51" s="270"/>
      <c r="AF51" s="270"/>
      <c r="AG51" s="270"/>
      <c r="AH51" s="183"/>
      <c r="AI51" s="183" t="s">
        <v>146</v>
      </c>
      <c r="AJ51" s="707" t="e">
        <v>#REF!</v>
      </c>
      <c r="AK51" s="707" t="e">
        <v>#REF!</v>
      </c>
      <c r="AL51" s="707" t="e">
        <v>#REF!</v>
      </c>
      <c r="AM51" s="707" t="e">
        <v>#REF!</v>
      </c>
      <c r="AN51" s="183" t="e">
        <v>#REF!</v>
      </c>
      <c r="AO51" s="712" t="e">
        <f t="shared" si="3"/>
        <v>#REF!</v>
      </c>
      <c r="AP51" s="183"/>
      <c r="AQ51" s="183"/>
      <c r="AR51" s="183"/>
      <c r="AS51" s="183"/>
      <c r="AT51" s="183"/>
      <c r="AU51" s="270"/>
      <c r="AV51" s="270"/>
      <c r="AW51" s="270"/>
      <c r="AX51" s="270"/>
      <c r="AY51" s="270"/>
      <c r="AZ51" s="270"/>
      <c r="BA51" s="270"/>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row>
    <row r="52" spans="1:80" s="391" customFormat="1" ht="1.5" customHeight="1" thickBot="1" x14ac:dyDescent="0.3">
      <c r="A52" s="413"/>
      <c r="B52" s="414"/>
      <c r="C52" s="414"/>
      <c r="D52" s="414"/>
      <c r="E52" s="414"/>
      <c r="F52" s="414"/>
      <c r="G52" s="414"/>
      <c r="H52" s="414"/>
      <c r="I52" s="414"/>
      <c r="J52" s="414"/>
      <c r="K52" s="414"/>
      <c r="L52" s="414"/>
      <c r="M52" s="414"/>
      <c r="N52" s="414"/>
      <c r="O52" s="414"/>
      <c r="P52" s="414"/>
      <c r="Q52" s="415"/>
      <c r="R52" s="415"/>
      <c r="S52" s="416"/>
      <c r="T52" s="181"/>
      <c r="U52" s="270"/>
      <c r="V52" s="270"/>
      <c r="W52" s="270"/>
      <c r="X52" s="270"/>
      <c r="Y52" s="270"/>
      <c r="Z52" s="270"/>
      <c r="AA52" s="270"/>
      <c r="AB52" s="270"/>
      <c r="AC52" s="270"/>
      <c r="AD52" s="270"/>
      <c r="AE52" s="270"/>
      <c r="AF52" s="270"/>
      <c r="AG52" s="270"/>
      <c r="AH52" s="183"/>
      <c r="AI52" s="183" t="s">
        <v>151</v>
      </c>
      <c r="AJ52" s="707" t="e">
        <v>#REF!</v>
      </c>
      <c r="AK52" s="707" t="e">
        <v>#REF!</v>
      </c>
      <c r="AL52" s="707" t="e">
        <v>#REF!</v>
      </c>
      <c r="AM52" s="707" t="e">
        <v>#REF!</v>
      </c>
      <c r="AN52" s="183" t="e">
        <v>#REF!</v>
      </c>
      <c r="AO52" s="712" t="e">
        <f t="shared" si="3"/>
        <v>#REF!</v>
      </c>
      <c r="AP52" s="183"/>
      <c r="AQ52" s="183"/>
      <c r="AR52" s="183"/>
      <c r="AS52" s="183"/>
      <c r="AT52" s="183"/>
      <c r="AU52" s="270"/>
      <c r="AV52" s="270"/>
      <c r="AW52" s="270"/>
      <c r="AX52" s="270"/>
      <c r="AY52" s="270"/>
      <c r="AZ52" s="270"/>
      <c r="BA52" s="270"/>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row>
    <row r="53" spans="1:80" s="391" customFormat="1" ht="18.600000000000001" customHeight="1" x14ac:dyDescent="0.25">
      <c r="A53" s="401"/>
      <c r="B53" s="401"/>
      <c r="C53" s="401"/>
      <c r="D53" s="401"/>
      <c r="E53" s="401"/>
      <c r="F53" s="401"/>
      <c r="G53" s="401"/>
      <c r="H53" s="401"/>
      <c r="I53" s="401"/>
      <c r="J53" s="401"/>
      <c r="K53" s="401"/>
      <c r="L53" s="401"/>
      <c r="M53" s="401"/>
      <c r="N53" s="401"/>
      <c r="O53" s="401"/>
      <c r="P53" s="401"/>
      <c r="Q53" s="190"/>
      <c r="R53" s="190"/>
      <c r="S53" s="401"/>
      <c r="T53" s="181"/>
      <c r="U53" s="270"/>
      <c r="V53" s="270"/>
      <c r="W53" s="270"/>
      <c r="X53" s="270"/>
      <c r="Y53" s="270"/>
      <c r="Z53" s="270"/>
      <c r="AA53" s="270"/>
      <c r="AB53" s="270"/>
      <c r="AC53" s="270"/>
      <c r="AD53" s="270"/>
      <c r="AE53" s="270"/>
      <c r="AF53" s="270"/>
      <c r="AG53" s="270"/>
      <c r="AH53" s="183"/>
      <c r="AI53" s="183" t="s">
        <v>361</v>
      </c>
      <c r="AJ53" s="707" t="e">
        <v>#REF!</v>
      </c>
      <c r="AK53" s="707" t="e">
        <v>#REF!</v>
      </c>
      <c r="AL53" s="707" t="e">
        <v>#REF!</v>
      </c>
      <c r="AM53" s="707" t="e">
        <v>#REF!</v>
      </c>
      <c r="AN53" s="183" t="e">
        <v>#REF!</v>
      </c>
      <c r="AO53" s="712" t="e">
        <f t="shared" si="3"/>
        <v>#REF!</v>
      </c>
      <c r="AP53" s="183"/>
      <c r="AQ53" s="183"/>
      <c r="AR53" s="183"/>
      <c r="AS53" s="183"/>
      <c r="AT53" s="183"/>
      <c r="AU53" s="270"/>
      <c r="AV53" s="270"/>
      <c r="AW53" s="270"/>
      <c r="AX53" s="270"/>
      <c r="AY53" s="270"/>
      <c r="AZ53" s="270"/>
      <c r="BA53" s="270"/>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row>
    <row r="54" spans="1:80" s="391" customFormat="1" x14ac:dyDescent="0.25">
      <c r="A54" s="181"/>
      <c r="B54" s="181"/>
      <c r="C54" s="181"/>
      <c r="D54" s="181"/>
      <c r="E54" s="181"/>
      <c r="F54" s="181"/>
      <c r="G54" s="181"/>
      <c r="H54" s="181"/>
      <c r="I54" s="181"/>
      <c r="J54" s="181"/>
      <c r="K54" s="181"/>
      <c r="L54" s="181"/>
      <c r="M54" s="181"/>
      <c r="N54" s="181"/>
      <c r="O54" s="181"/>
      <c r="P54" s="181"/>
      <c r="Q54" s="181"/>
      <c r="R54" s="181"/>
      <c r="S54" s="181"/>
      <c r="T54" s="181"/>
      <c r="U54" s="270"/>
      <c r="V54" s="270"/>
      <c r="W54" s="270"/>
      <c r="X54" s="270"/>
      <c r="Y54" s="270"/>
      <c r="Z54" s="270"/>
      <c r="AA54" s="270"/>
      <c r="AB54" s="270"/>
      <c r="AC54" s="270"/>
      <c r="AD54" s="270"/>
      <c r="AE54" s="270"/>
      <c r="AF54" s="270"/>
      <c r="AG54" s="270"/>
      <c r="AH54" s="183"/>
      <c r="AI54" s="183" t="s">
        <v>166</v>
      </c>
      <c r="AJ54" s="707" t="e">
        <v>#REF!</v>
      </c>
      <c r="AK54" s="707" t="e">
        <v>#REF!</v>
      </c>
      <c r="AL54" s="707" t="e">
        <v>#REF!</v>
      </c>
      <c r="AM54" s="707" t="e">
        <v>#REF!</v>
      </c>
      <c r="AN54" s="183" t="e">
        <v>#REF!</v>
      </c>
      <c r="AO54" s="712" t="e">
        <f t="shared" si="3"/>
        <v>#REF!</v>
      </c>
      <c r="AP54" s="183"/>
      <c r="AQ54" s="183"/>
      <c r="AR54" s="183"/>
      <c r="AS54" s="183"/>
      <c r="AT54" s="183"/>
      <c r="AU54" s="270"/>
      <c r="AV54" s="270"/>
      <c r="AW54" s="270"/>
      <c r="AX54" s="270"/>
      <c r="AY54" s="270"/>
      <c r="AZ54" s="270"/>
      <c r="BA54" s="270"/>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row>
    <row r="55" spans="1:80" s="391" customFormat="1" x14ac:dyDescent="0.25">
      <c r="A55" s="181"/>
      <c r="B55" s="181"/>
      <c r="C55" s="181"/>
      <c r="D55" s="181"/>
      <c r="E55" s="181"/>
      <c r="F55" s="421"/>
      <c r="G55" s="181"/>
      <c r="H55" s="181"/>
      <c r="I55" s="181"/>
      <c r="J55" s="181"/>
      <c r="K55" s="181"/>
      <c r="L55" s="181"/>
      <c r="M55" s="181"/>
      <c r="N55" s="181"/>
      <c r="O55" s="181"/>
      <c r="P55" s="181"/>
      <c r="Q55" s="181"/>
      <c r="R55" s="181"/>
      <c r="S55" s="181"/>
      <c r="T55" s="181"/>
      <c r="U55" s="270"/>
      <c r="V55" s="270"/>
      <c r="W55" s="270"/>
      <c r="X55" s="270"/>
      <c r="Y55" s="270"/>
      <c r="Z55" s="270"/>
      <c r="AA55" s="270"/>
      <c r="AB55" s="270"/>
      <c r="AC55" s="270"/>
      <c r="AD55" s="270"/>
      <c r="AE55" s="270"/>
      <c r="AF55" s="270"/>
      <c r="AG55" s="270"/>
      <c r="AH55" s="183"/>
      <c r="AI55" s="183" t="s">
        <v>173</v>
      </c>
      <c r="AJ55" s="707" t="e">
        <v>#REF!</v>
      </c>
      <c r="AK55" s="707" t="e">
        <v>#REF!</v>
      </c>
      <c r="AL55" s="707" t="e">
        <v>#REF!</v>
      </c>
      <c r="AM55" s="707" t="e">
        <v>#REF!</v>
      </c>
      <c r="AN55" s="183" t="e">
        <v>#REF!</v>
      </c>
      <c r="AO55" s="712" t="e">
        <f t="shared" si="3"/>
        <v>#REF!</v>
      </c>
      <c r="AP55" s="183"/>
      <c r="AQ55" s="183"/>
      <c r="AR55" s="183"/>
      <c r="AS55" s="183"/>
      <c r="AT55" s="183"/>
      <c r="AU55" s="270"/>
      <c r="AV55" s="270"/>
      <c r="AW55" s="270"/>
      <c r="AX55" s="270"/>
      <c r="AY55" s="270"/>
      <c r="AZ55" s="270"/>
      <c r="BA55" s="270"/>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row>
    <row r="56" spans="1:80" s="391" customFormat="1" x14ac:dyDescent="0.25">
      <c r="A56" s="181"/>
      <c r="B56" s="181"/>
      <c r="C56" s="181"/>
      <c r="D56" s="181"/>
      <c r="E56" s="181"/>
      <c r="F56" s="181"/>
      <c r="G56" s="421"/>
      <c r="H56" s="181"/>
      <c r="I56" s="181"/>
      <c r="J56" s="181"/>
      <c r="K56" s="181"/>
      <c r="L56" s="181"/>
      <c r="M56" s="181"/>
      <c r="N56" s="181"/>
      <c r="O56" s="181"/>
      <c r="P56" s="181"/>
      <c r="Q56" s="181"/>
      <c r="R56" s="181"/>
      <c r="S56" s="181"/>
      <c r="T56" s="181"/>
      <c r="U56" s="270"/>
      <c r="V56" s="270"/>
      <c r="W56" s="270"/>
      <c r="X56" s="270"/>
      <c r="Y56" s="270"/>
      <c r="Z56" s="270"/>
      <c r="AA56" s="270"/>
      <c r="AB56" s="270"/>
      <c r="AC56" s="270"/>
      <c r="AD56" s="270"/>
      <c r="AE56" s="270"/>
      <c r="AF56" s="270"/>
      <c r="AG56" s="270"/>
      <c r="AH56" s="183"/>
      <c r="AI56" s="183" t="s">
        <v>719</v>
      </c>
      <c r="AJ56" s="707" t="e">
        <v>#REF!</v>
      </c>
      <c r="AK56" s="707" t="e">
        <v>#REF!</v>
      </c>
      <c r="AL56" s="707" t="e">
        <v>#REF!</v>
      </c>
      <c r="AM56" s="707" t="e">
        <v>#REF!</v>
      </c>
      <c r="AN56" s="183" t="e">
        <v>#REF!</v>
      </c>
      <c r="AO56" s="712" t="e">
        <f t="shared" si="3"/>
        <v>#REF!</v>
      </c>
      <c r="AP56" s="183"/>
      <c r="AQ56" s="183"/>
      <c r="AR56" s="183"/>
      <c r="AS56" s="183"/>
      <c r="AT56" s="183"/>
      <c r="AU56" s="270"/>
      <c r="AV56" s="270"/>
      <c r="AW56" s="270"/>
      <c r="AX56" s="270"/>
      <c r="AY56" s="270"/>
      <c r="AZ56" s="270"/>
      <c r="BA56" s="270"/>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row>
    <row r="57" spans="1:80" s="391" customFormat="1" x14ac:dyDescent="0.25">
      <c r="A57" s="181"/>
      <c r="B57" s="181"/>
      <c r="C57" s="181"/>
      <c r="D57" s="181"/>
      <c r="E57" s="417"/>
      <c r="F57" s="181"/>
      <c r="G57" s="181"/>
      <c r="H57" s="181"/>
      <c r="I57" s="181"/>
      <c r="J57" s="181"/>
      <c r="K57" s="181"/>
      <c r="L57" s="181"/>
      <c r="M57" s="181"/>
      <c r="N57" s="181"/>
      <c r="O57" s="181"/>
      <c r="P57" s="181"/>
      <c r="Q57" s="181"/>
      <c r="R57" s="181"/>
      <c r="S57" s="181"/>
      <c r="T57" s="181"/>
      <c r="U57" s="270"/>
      <c r="V57" s="270"/>
      <c r="W57" s="270"/>
      <c r="X57" s="270"/>
      <c r="Y57" s="270"/>
      <c r="Z57" s="270"/>
      <c r="AA57" s="270"/>
      <c r="AB57" s="270"/>
      <c r="AC57" s="270"/>
      <c r="AD57" s="270"/>
      <c r="AE57" s="270"/>
      <c r="AF57" s="270"/>
      <c r="AG57" s="270"/>
      <c r="AH57" s="183"/>
      <c r="AI57" s="183" t="s">
        <v>180</v>
      </c>
      <c r="AJ57" s="707" t="e">
        <v>#REF!</v>
      </c>
      <c r="AK57" s="707" t="e">
        <v>#REF!</v>
      </c>
      <c r="AL57" s="707" t="e">
        <v>#REF!</v>
      </c>
      <c r="AM57" s="707" t="e">
        <v>#REF!</v>
      </c>
      <c r="AN57" s="183" t="e">
        <v>#REF!</v>
      </c>
      <c r="AO57" s="712" t="e">
        <f t="shared" si="3"/>
        <v>#REF!</v>
      </c>
      <c r="AP57" s="183"/>
      <c r="AQ57" s="183"/>
      <c r="AR57" s="183"/>
      <c r="AS57" s="183"/>
      <c r="AT57" s="183"/>
      <c r="AU57" s="270"/>
      <c r="AV57" s="270"/>
      <c r="AW57" s="270"/>
      <c r="AX57" s="270"/>
      <c r="AY57" s="270"/>
      <c r="AZ57" s="270"/>
      <c r="BA57" s="270"/>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row>
    <row r="58" spans="1:80" s="391" customFormat="1" x14ac:dyDescent="0.25">
      <c r="A58" s="181"/>
      <c r="B58" s="181"/>
      <c r="C58" s="181"/>
      <c r="D58" s="181"/>
      <c r="E58" s="181"/>
      <c r="F58" s="181"/>
      <c r="G58" s="181"/>
      <c r="H58" s="181"/>
      <c r="I58" s="181"/>
      <c r="J58" s="181"/>
      <c r="K58" s="181"/>
      <c r="L58" s="181"/>
      <c r="M58" s="181"/>
      <c r="N58" s="181"/>
      <c r="O58" s="181"/>
      <c r="P58" s="181"/>
      <c r="Q58" s="181"/>
      <c r="R58" s="181"/>
      <c r="S58" s="181"/>
      <c r="T58" s="181"/>
      <c r="U58" s="270"/>
      <c r="V58" s="270"/>
      <c r="W58" s="270"/>
      <c r="X58" s="270"/>
      <c r="Y58" s="270"/>
      <c r="Z58" s="270"/>
      <c r="AA58" s="270"/>
      <c r="AB58" s="270"/>
      <c r="AC58" s="270"/>
      <c r="AD58" s="270"/>
      <c r="AE58" s="270"/>
      <c r="AF58" s="270"/>
      <c r="AG58" s="270"/>
      <c r="AH58" s="183"/>
      <c r="AI58" s="183" t="s">
        <v>185</v>
      </c>
      <c r="AJ58" s="707" t="e">
        <v>#REF!</v>
      </c>
      <c r="AK58" s="707" t="e">
        <v>#REF!</v>
      </c>
      <c r="AL58" s="707" t="e">
        <v>#REF!</v>
      </c>
      <c r="AM58" s="707" t="e">
        <v>#REF!</v>
      </c>
      <c r="AN58" s="183" t="e">
        <v>#REF!</v>
      </c>
      <c r="AO58" s="712" t="e">
        <f t="shared" si="3"/>
        <v>#REF!</v>
      </c>
      <c r="AP58" s="183"/>
      <c r="AQ58" s="183"/>
      <c r="AR58" s="183"/>
      <c r="AS58" s="183"/>
      <c r="AT58" s="183"/>
      <c r="AU58" s="270"/>
      <c r="AV58" s="270"/>
      <c r="AW58" s="270"/>
      <c r="AX58" s="270"/>
      <c r="AY58" s="270"/>
      <c r="AZ58" s="270"/>
      <c r="BA58" s="270"/>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row>
    <row r="59" spans="1:80" s="391" customFormat="1" x14ac:dyDescent="0.25">
      <c r="A59" s="181"/>
      <c r="B59" s="181"/>
      <c r="C59" s="181"/>
      <c r="D59" s="181"/>
      <c r="E59" s="181"/>
      <c r="F59" s="181"/>
      <c r="G59" s="181"/>
      <c r="H59" s="181"/>
      <c r="I59" s="181"/>
      <c r="J59" s="181"/>
      <c r="K59" s="181"/>
      <c r="L59" s="181"/>
      <c r="M59" s="181"/>
      <c r="N59" s="181"/>
      <c r="O59" s="181"/>
      <c r="P59" s="181"/>
      <c r="Q59" s="181"/>
      <c r="R59" s="181"/>
      <c r="S59" s="181"/>
      <c r="T59" s="181"/>
      <c r="U59" s="270"/>
      <c r="V59" s="270"/>
      <c r="W59" s="270"/>
      <c r="X59" s="270"/>
      <c r="Y59" s="270"/>
      <c r="Z59" s="270"/>
      <c r="AA59" s="270"/>
      <c r="AB59" s="270"/>
      <c r="AC59" s="270"/>
      <c r="AD59" s="270"/>
      <c r="AE59" s="270"/>
      <c r="AF59" s="270"/>
      <c r="AG59" s="270"/>
      <c r="AH59" s="183"/>
      <c r="AI59" s="183" t="s">
        <v>230</v>
      </c>
      <c r="AJ59" s="707" t="e">
        <v>#REF!</v>
      </c>
      <c r="AK59" s="707" t="e">
        <v>#REF!</v>
      </c>
      <c r="AL59" s="707" t="e">
        <v>#REF!</v>
      </c>
      <c r="AM59" s="707" t="e">
        <v>#REF!</v>
      </c>
      <c r="AN59" s="183" t="e">
        <v>#REF!</v>
      </c>
      <c r="AO59" s="712" t="e">
        <f t="shared" si="3"/>
        <v>#REF!</v>
      </c>
      <c r="AP59" s="183"/>
      <c r="AQ59" s="183"/>
      <c r="AR59" s="183"/>
      <c r="AS59" s="183"/>
      <c r="AT59" s="183"/>
      <c r="AU59" s="270"/>
      <c r="AV59" s="270"/>
      <c r="AW59" s="270"/>
      <c r="AX59" s="270"/>
      <c r="AY59" s="270"/>
      <c r="AZ59" s="270"/>
      <c r="BA59" s="270"/>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row>
    <row r="60" spans="1:80" s="391" customFormat="1" x14ac:dyDescent="0.25">
      <c r="A60" s="181"/>
      <c r="B60" s="181"/>
      <c r="C60" s="181"/>
      <c r="D60" s="181"/>
      <c r="E60" s="181"/>
      <c r="F60" s="181"/>
      <c r="G60" s="181"/>
      <c r="H60" s="181"/>
      <c r="I60" s="181"/>
      <c r="J60" s="181"/>
      <c r="K60" s="181"/>
      <c r="L60" s="181"/>
      <c r="M60" s="181"/>
      <c r="N60" s="181"/>
      <c r="O60" s="181"/>
      <c r="P60" s="181"/>
      <c r="Q60" s="181"/>
      <c r="R60" s="181"/>
      <c r="S60" s="181"/>
      <c r="T60" s="181"/>
      <c r="U60" s="270"/>
      <c r="V60" s="270"/>
      <c r="W60" s="270"/>
      <c r="X60" s="270"/>
      <c r="Y60" s="270"/>
      <c r="Z60" s="270"/>
      <c r="AA60" s="270"/>
      <c r="AB60" s="270"/>
      <c r="AC60" s="270"/>
      <c r="AD60" s="270"/>
      <c r="AE60" s="270"/>
      <c r="AF60" s="270"/>
      <c r="AG60" s="270"/>
      <c r="AH60" s="183"/>
      <c r="AI60" s="183" t="s">
        <v>237</v>
      </c>
      <c r="AJ60" s="707" t="e">
        <v>#REF!</v>
      </c>
      <c r="AK60" s="707" t="e">
        <v>#REF!</v>
      </c>
      <c r="AL60" s="707" t="e">
        <v>#REF!</v>
      </c>
      <c r="AM60" s="707" t="e">
        <v>#REF!</v>
      </c>
      <c r="AN60" s="183" t="e">
        <v>#REF!</v>
      </c>
      <c r="AO60" s="712" t="e">
        <f t="shared" si="3"/>
        <v>#REF!</v>
      </c>
      <c r="AP60" s="183"/>
      <c r="AQ60" s="183"/>
      <c r="AR60" s="183"/>
      <c r="AS60" s="183"/>
      <c r="AT60" s="183"/>
      <c r="AU60" s="270"/>
      <c r="AV60" s="270"/>
      <c r="AW60" s="270"/>
      <c r="AX60" s="270"/>
      <c r="AY60" s="270"/>
      <c r="AZ60" s="270"/>
      <c r="BA60" s="270"/>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row>
    <row r="61" spans="1:80" s="391" customFormat="1" x14ac:dyDescent="0.25">
      <c r="A61" s="181"/>
      <c r="B61" s="181"/>
      <c r="C61" s="181"/>
      <c r="D61" s="181"/>
      <c r="E61" s="181"/>
      <c r="F61" s="181"/>
      <c r="G61" s="181"/>
      <c r="H61" s="181"/>
      <c r="I61" s="181"/>
      <c r="J61" s="181"/>
      <c r="K61" s="181"/>
      <c r="L61" s="181"/>
      <c r="M61" s="181"/>
      <c r="N61" s="181"/>
      <c r="O61" s="181"/>
      <c r="P61" s="181"/>
      <c r="Q61" s="181"/>
      <c r="R61" s="181"/>
      <c r="S61" s="181"/>
      <c r="T61" s="181"/>
      <c r="U61" s="270"/>
      <c r="V61" s="270"/>
      <c r="W61" s="270"/>
      <c r="X61" s="270"/>
      <c r="Y61" s="270"/>
      <c r="Z61" s="270"/>
      <c r="AA61" s="270"/>
      <c r="AB61" s="270"/>
      <c r="AC61" s="270"/>
      <c r="AD61" s="270"/>
      <c r="AE61" s="270"/>
      <c r="AF61" s="270"/>
      <c r="AG61" s="270"/>
      <c r="AH61" s="183"/>
      <c r="AI61" s="183" t="s">
        <v>288</v>
      </c>
      <c r="AJ61" s="707" t="e">
        <v>#REF!</v>
      </c>
      <c r="AK61" s="707" t="e">
        <v>#REF!</v>
      </c>
      <c r="AL61" s="707" t="e">
        <v>#REF!</v>
      </c>
      <c r="AM61" s="707" t="e">
        <v>#REF!</v>
      </c>
      <c r="AN61" s="183" t="e">
        <v>#REF!</v>
      </c>
      <c r="AO61" s="712" t="e">
        <f t="shared" si="3"/>
        <v>#REF!</v>
      </c>
      <c r="AP61" s="183"/>
      <c r="AQ61" s="183"/>
      <c r="AR61" s="183"/>
      <c r="AS61" s="183"/>
      <c r="AT61" s="183"/>
      <c r="AU61" s="270"/>
      <c r="AV61" s="270"/>
      <c r="AW61" s="270"/>
      <c r="AX61" s="270"/>
      <c r="AY61" s="270"/>
      <c r="AZ61" s="270"/>
      <c r="BA61" s="270"/>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row>
    <row r="62" spans="1:80" s="391" customFormat="1" x14ac:dyDescent="0.25">
      <c r="A62" s="181"/>
      <c r="B62" s="181"/>
      <c r="C62" s="181"/>
      <c r="D62" s="181"/>
      <c r="E62" s="181"/>
      <c r="F62" s="181"/>
      <c r="G62" s="181"/>
      <c r="H62" s="181"/>
      <c r="I62" s="181"/>
      <c r="J62" s="181"/>
      <c r="K62" s="181"/>
      <c r="L62" s="181"/>
      <c r="M62" s="181"/>
      <c r="N62" s="181"/>
      <c r="O62" s="181"/>
      <c r="P62" s="181"/>
      <c r="Q62" s="181"/>
      <c r="R62" s="181"/>
      <c r="S62" s="181"/>
      <c r="T62" s="181"/>
      <c r="U62" s="270"/>
      <c r="V62" s="270"/>
      <c r="W62" s="270"/>
      <c r="X62" s="270"/>
      <c r="Y62" s="270"/>
      <c r="Z62" s="270"/>
      <c r="AA62" s="270"/>
      <c r="AB62" s="270"/>
      <c r="AC62" s="270"/>
      <c r="AD62" s="270"/>
      <c r="AE62" s="270"/>
      <c r="AF62" s="270"/>
      <c r="AG62" s="270"/>
      <c r="AH62" s="183"/>
      <c r="AI62" s="183" t="s">
        <v>297</v>
      </c>
      <c r="AJ62" s="707" t="e">
        <v>#REF!</v>
      </c>
      <c r="AK62" s="707" t="e">
        <v>#REF!</v>
      </c>
      <c r="AL62" s="707" t="e">
        <v>#REF!</v>
      </c>
      <c r="AM62" s="707" t="e">
        <v>#REF!</v>
      </c>
      <c r="AN62" s="183" t="e">
        <v>#REF!</v>
      </c>
      <c r="AO62" s="712" t="e">
        <f t="shared" si="3"/>
        <v>#REF!</v>
      </c>
      <c r="AP62" s="183"/>
      <c r="AQ62" s="183"/>
      <c r="AR62" s="183"/>
      <c r="AS62" s="183"/>
      <c r="AT62" s="183"/>
      <c r="AU62" s="270"/>
      <c r="AV62" s="270"/>
      <c r="AW62" s="270"/>
      <c r="AX62" s="270"/>
      <c r="AY62" s="270"/>
      <c r="AZ62" s="270"/>
      <c r="BA62" s="270"/>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row>
    <row r="63" spans="1:80" s="391" customFormat="1" x14ac:dyDescent="0.25">
      <c r="A63" s="181"/>
      <c r="B63" s="181"/>
      <c r="C63" s="181"/>
      <c r="D63" s="181"/>
      <c r="E63" s="181"/>
      <c r="F63" s="181"/>
      <c r="G63" s="181"/>
      <c r="H63" s="181"/>
      <c r="I63" s="181"/>
      <c r="J63" s="181"/>
      <c r="K63" s="181"/>
      <c r="L63" s="181"/>
      <c r="M63" s="181"/>
      <c r="N63" s="181"/>
      <c r="O63" s="181"/>
      <c r="P63" s="181"/>
      <c r="Q63" s="181"/>
      <c r="R63" s="181"/>
      <c r="S63" s="181"/>
      <c r="T63" s="181"/>
      <c r="U63" s="270"/>
      <c r="V63" s="270"/>
      <c r="W63" s="270"/>
      <c r="X63" s="270"/>
      <c r="Y63" s="270"/>
      <c r="Z63" s="270"/>
      <c r="AA63" s="270"/>
      <c r="AB63" s="270"/>
      <c r="AC63" s="270"/>
      <c r="AD63" s="270"/>
      <c r="AE63" s="270"/>
      <c r="AF63" s="270"/>
      <c r="AG63" s="270"/>
      <c r="AH63" s="183"/>
      <c r="AI63" s="183" t="s">
        <v>299</v>
      </c>
      <c r="AJ63" s="707" t="e">
        <v>#REF!</v>
      </c>
      <c r="AK63" s="707" t="e">
        <v>#REF!</v>
      </c>
      <c r="AL63" s="707" t="e">
        <v>#REF!</v>
      </c>
      <c r="AM63" s="707" t="e">
        <v>#REF!</v>
      </c>
      <c r="AN63" s="183" t="e">
        <v>#REF!</v>
      </c>
      <c r="AO63" s="712" t="e">
        <f t="shared" si="3"/>
        <v>#REF!</v>
      </c>
      <c r="AP63" s="183"/>
      <c r="AQ63" s="183"/>
      <c r="AR63" s="183"/>
      <c r="AS63" s="183"/>
      <c r="AT63" s="183"/>
      <c r="AU63" s="270"/>
      <c r="AV63" s="270"/>
      <c r="AW63" s="270"/>
      <c r="AX63" s="270"/>
      <c r="AY63" s="270"/>
      <c r="AZ63" s="270"/>
      <c r="BA63" s="270"/>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row>
    <row r="64" spans="1:80" s="391" customFormat="1" x14ac:dyDescent="0.25">
      <c r="A64" s="181"/>
      <c r="B64" s="181"/>
      <c r="C64" s="181"/>
      <c r="D64" s="181"/>
      <c r="E64" s="181"/>
      <c r="F64" s="181"/>
      <c r="G64" s="181"/>
      <c r="H64" s="181"/>
      <c r="I64" s="181"/>
      <c r="J64" s="181"/>
      <c r="K64" s="181"/>
      <c r="L64" s="181"/>
      <c r="M64" s="181"/>
      <c r="N64" s="181"/>
      <c r="O64" s="181"/>
      <c r="P64" s="181"/>
      <c r="Q64" s="181"/>
      <c r="R64" s="181"/>
      <c r="S64" s="181"/>
      <c r="T64" s="181"/>
      <c r="U64" s="270"/>
      <c r="V64" s="270"/>
      <c r="W64" s="270"/>
      <c r="X64" s="270"/>
      <c r="Y64" s="270"/>
      <c r="Z64" s="270"/>
      <c r="AA64" s="270"/>
      <c r="AB64" s="270"/>
      <c r="AC64" s="270"/>
      <c r="AD64" s="270"/>
      <c r="AE64" s="270"/>
      <c r="AF64" s="270"/>
      <c r="AG64" s="270"/>
      <c r="AH64" s="183"/>
      <c r="AI64" s="183" t="s">
        <v>301</v>
      </c>
      <c r="AJ64" s="707" t="e">
        <v>#REF!</v>
      </c>
      <c r="AK64" s="707" t="e">
        <v>#REF!</v>
      </c>
      <c r="AL64" s="707" t="e">
        <v>#REF!</v>
      </c>
      <c r="AM64" s="707" t="e">
        <v>#REF!</v>
      </c>
      <c r="AN64" s="183" t="e">
        <v>#REF!</v>
      </c>
      <c r="AO64" s="712" t="e">
        <f t="shared" si="3"/>
        <v>#REF!</v>
      </c>
      <c r="AP64" s="183"/>
      <c r="AQ64" s="183"/>
      <c r="AR64" s="183"/>
      <c r="AS64" s="183"/>
      <c r="AT64" s="183"/>
      <c r="AU64" s="270"/>
      <c r="AV64" s="270"/>
      <c r="AW64" s="270"/>
      <c r="AX64" s="270"/>
      <c r="AY64" s="270"/>
      <c r="AZ64" s="270"/>
      <c r="BA64" s="270"/>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row>
    <row r="65" spans="1:80" s="390" customFormat="1" x14ac:dyDescent="0.25">
      <c r="A65" s="181"/>
      <c r="B65" s="181"/>
      <c r="C65" s="181"/>
      <c r="D65" s="181"/>
      <c r="E65" s="181"/>
      <c r="F65" s="181"/>
      <c r="G65" s="181"/>
      <c r="H65" s="181"/>
      <c r="I65" s="181"/>
      <c r="J65" s="181"/>
      <c r="K65" s="181"/>
      <c r="L65" s="181"/>
      <c r="M65" s="181"/>
      <c r="N65" s="181"/>
      <c r="O65" s="181"/>
      <c r="P65" s="181"/>
      <c r="Q65" s="181"/>
      <c r="R65" s="181"/>
      <c r="S65" s="181"/>
      <c r="T65" s="181"/>
      <c r="U65" s="270"/>
      <c r="V65" s="270"/>
      <c r="W65" s="270"/>
      <c r="X65" s="270"/>
      <c r="Y65" s="270"/>
      <c r="Z65" s="270"/>
      <c r="AA65" s="270"/>
      <c r="AB65" s="270"/>
      <c r="AC65" s="270"/>
      <c r="AD65" s="270"/>
      <c r="AE65" s="270"/>
      <c r="AF65" s="270"/>
      <c r="AG65" s="270"/>
      <c r="AH65" s="183"/>
      <c r="AI65" s="183" t="s">
        <v>746</v>
      </c>
      <c r="AJ65" s="707" t="e">
        <v>#REF!</v>
      </c>
      <c r="AK65" s="707" t="e">
        <v>#REF!</v>
      </c>
      <c r="AL65" s="707" t="e">
        <v>#REF!</v>
      </c>
      <c r="AM65" s="707" t="e">
        <v>#REF!</v>
      </c>
      <c r="AN65" s="183" t="e">
        <v>#REF!</v>
      </c>
      <c r="AO65" s="712" t="e">
        <f t="shared" si="3"/>
        <v>#REF!</v>
      </c>
      <c r="AP65" s="183"/>
      <c r="AQ65" s="183"/>
      <c r="AR65" s="183"/>
      <c r="AS65" s="183"/>
      <c r="AT65" s="183"/>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row>
    <row r="66" spans="1:80" s="390" customFormat="1" x14ac:dyDescent="0.25">
      <c r="A66" s="181"/>
      <c r="B66" s="181"/>
      <c r="C66" s="181"/>
      <c r="D66" s="181"/>
      <c r="E66" s="181"/>
      <c r="F66" s="181"/>
      <c r="G66" s="181"/>
      <c r="H66" s="181"/>
      <c r="I66" s="181"/>
      <c r="J66" s="181"/>
      <c r="K66" s="181"/>
      <c r="L66" s="181"/>
      <c r="M66" s="181"/>
      <c r="N66" s="181"/>
      <c r="O66" s="181"/>
      <c r="P66" s="181"/>
      <c r="Q66" s="181"/>
      <c r="R66" s="181"/>
      <c r="S66" s="181"/>
      <c r="T66" s="181"/>
      <c r="U66" s="270"/>
      <c r="V66" s="270"/>
      <c r="W66" s="270"/>
      <c r="X66" s="270"/>
      <c r="Y66" s="270"/>
      <c r="Z66" s="270"/>
      <c r="AA66" s="270"/>
      <c r="AB66" s="270"/>
      <c r="AC66" s="270"/>
      <c r="AD66" s="270"/>
      <c r="AE66" s="270"/>
      <c r="AF66" s="270"/>
      <c r="AG66" s="270"/>
      <c r="AH66" s="183"/>
      <c r="AI66" s="183" t="s">
        <v>309</v>
      </c>
      <c r="AJ66" s="707" t="e">
        <v>#REF!</v>
      </c>
      <c r="AK66" s="707" t="e">
        <v>#REF!</v>
      </c>
      <c r="AL66" s="707" t="e">
        <v>#REF!</v>
      </c>
      <c r="AM66" s="707" t="e">
        <v>#REF!</v>
      </c>
      <c r="AN66" s="183" t="e">
        <v>#REF!</v>
      </c>
      <c r="AO66" s="712" t="e">
        <f>SUM(AJ66:AN66)</f>
        <v>#REF!</v>
      </c>
      <c r="AP66" s="183"/>
      <c r="AQ66" s="183"/>
      <c r="AR66" s="183"/>
      <c r="AS66" s="183"/>
      <c r="AT66" s="183"/>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row>
    <row r="67" spans="1:80" s="270" customFormat="1" x14ac:dyDescent="0.25">
      <c r="AH67" s="183"/>
      <c r="AI67" s="270" t="s">
        <v>817</v>
      </c>
      <c r="AJ67" s="707" t="e">
        <v>#REF!</v>
      </c>
      <c r="AK67" s="707" t="e">
        <v>#REF!</v>
      </c>
      <c r="AL67" s="707" t="e">
        <v>#REF!</v>
      </c>
      <c r="AM67" s="707" t="e">
        <v>#REF!</v>
      </c>
      <c r="AN67" s="183" t="e">
        <v>#REF!</v>
      </c>
      <c r="AO67" s="712" t="e">
        <f>SUM(AJ67:AN67)</f>
        <v>#REF!</v>
      </c>
      <c r="AP67" s="183"/>
      <c r="AQ67" s="183"/>
      <c r="AR67" s="183"/>
      <c r="AS67" s="183"/>
      <c r="AT67" s="183"/>
    </row>
    <row r="68" spans="1:80" s="390" customFormat="1" x14ac:dyDescent="0.25">
      <c r="A68" s="181"/>
      <c r="B68" s="181"/>
      <c r="C68" s="181"/>
      <c r="D68" s="181"/>
      <c r="E68" s="181"/>
      <c r="F68" s="181"/>
      <c r="G68" s="181"/>
      <c r="H68" s="181"/>
      <c r="I68" s="181"/>
      <c r="J68" s="181"/>
      <c r="K68" s="181"/>
      <c r="L68" s="181"/>
      <c r="M68" s="181"/>
      <c r="N68" s="181"/>
      <c r="O68" s="181"/>
      <c r="P68" s="181"/>
      <c r="Q68" s="181"/>
      <c r="R68" s="181"/>
      <c r="S68" s="181"/>
      <c r="T68" s="181"/>
      <c r="U68" s="270"/>
      <c r="V68" s="270"/>
      <c r="W68" s="270"/>
      <c r="X68" s="270"/>
      <c r="Y68" s="270"/>
      <c r="Z68" s="270"/>
      <c r="AA68" s="270"/>
      <c r="AB68" s="270"/>
      <c r="AC68" s="270"/>
      <c r="AD68" s="270"/>
      <c r="AE68" s="270"/>
      <c r="AF68" s="270"/>
      <c r="AG68" s="270"/>
      <c r="AH68" s="183"/>
      <c r="AI68" s="183" t="s">
        <v>1135</v>
      </c>
      <c r="AJ68" s="707" t="e">
        <v>#REF!</v>
      </c>
      <c r="AK68" s="707" t="e">
        <v>#REF!</v>
      </c>
      <c r="AL68" s="707" t="e">
        <v>#REF!</v>
      </c>
      <c r="AM68" s="707" t="e">
        <v>#REF!</v>
      </c>
      <c r="AN68" s="183" t="e">
        <v>#REF!</v>
      </c>
      <c r="AO68" s="712" t="e">
        <f>SUM(AJ68:AN68)</f>
        <v>#REF!</v>
      </c>
      <c r="AP68" s="183"/>
      <c r="AQ68" s="183"/>
      <c r="AR68" s="183"/>
      <c r="AS68" s="183"/>
      <c r="AT68" s="183"/>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row>
    <row r="69" spans="1:80" s="390" customFormat="1" x14ac:dyDescent="0.25">
      <c r="A69" s="181"/>
      <c r="B69" s="181"/>
      <c r="C69" s="181"/>
      <c r="D69" s="181"/>
      <c r="E69" s="181"/>
      <c r="F69" s="181"/>
      <c r="G69" s="181"/>
      <c r="H69" s="181"/>
      <c r="I69" s="181"/>
      <c r="J69" s="181"/>
      <c r="K69" s="181"/>
      <c r="L69" s="181"/>
      <c r="M69" s="181"/>
      <c r="N69" s="181"/>
      <c r="O69" s="181"/>
      <c r="P69" s="181"/>
      <c r="Q69" s="181"/>
      <c r="R69" s="181"/>
      <c r="S69" s="181"/>
      <c r="T69" s="181"/>
      <c r="U69" s="270"/>
      <c r="V69" s="270"/>
      <c r="W69" s="270"/>
      <c r="X69" s="270"/>
      <c r="Y69" s="270"/>
      <c r="Z69" s="270"/>
      <c r="AA69" s="270"/>
      <c r="AB69" s="270"/>
      <c r="AC69" s="270"/>
      <c r="AD69" s="270"/>
      <c r="AE69" s="270"/>
      <c r="AF69" s="270"/>
      <c r="AG69" s="270"/>
      <c r="AH69" s="183"/>
      <c r="AI69" s="183" t="s">
        <v>1199</v>
      </c>
      <c r="AJ69" s="707" t="e">
        <v>#REF!</v>
      </c>
      <c r="AK69" s="707" t="e">
        <v>#REF!</v>
      </c>
      <c r="AL69" s="707" t="e">
        <v>#REF!</v>
      </c>
      <c r="AM69" s="707" t="e">
        <v>#REF!</v>
      </c>
      <c r="AN69" s="183" t="e">
        <v>#REF!</v>
      </c>
      <c r="AO69" s="712" t="e">
        <f>SUM(AJ69:AN69)</f>
        <v>#REF!</v>
      </c>
      <c r="AP69" s="183"/>
      <c r="AQ69" s="183"/>
      <c r="AR69" s="183"/>
      <c r="AS69" s="183"/>
      <c r="AT69" s="183"/>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row>
    <row r="70" spans="1:80" s="390" customFormat="1" x14ac:dyDescent="0.25">
      <c r="A70" s="181"/>
      <c r="B70" s="181"/>
      <c r="C70" s="181"/>
      <c r="D70" s="181"/>
      <c r="E70" s="181"/>
      <c r="F70" s="181"/>
      <c r="G70" s="181"/>
      <c r="H70" s="181"/>
      <c r="I70" s="181"/>
      <c r="J70" s="181"/>
      <c r="K70" s="181"/>
      <c r="L70" s="181"/>
      <c r="M70" s="181"/>
      <c r="N70" s="181"/>
      <c r="O70" s="181"/>
      <c r="P70" s="181"/>
      <c r="Q70" s="181"/>
      <c r="R70" s="181"/>
      <c r="S70" s="181"/>
      <c r="T70" s="181"/>
      <c r="U70" s="270"/>
      <c r="V70" s="270"/>
      <c r="W70" s="270"/>
      <c r="X70" s="270"/>
      <c r="Y70" s="270"/>
      <c r="Z70" s="270"/>
      <c r="AA70" s="270"/>
      <c r="AB70" s="270"/>
      <c r="AC70" s="270"/>
      <c r="AD70" s="270"/>
      <c r="AE70" s="270"/>
      <c r="AF70" s="270"/>
      <c r="AG70" s="270"/>
      <c r="AH70" s="183"/>
      <c r="AI70" s="183" t="s">
        <v>3</v>
      </c>
      <c r="AJ70" s="212" t="e">
        <f>SUM(AJ46:AJ69)</f>
        <v>#REF!</v>
      </c>
      <c r="AK70" s="212" t="e">
        <f>SUM(AK46:AK69)</f>
        <v>#REF!</v>
      </c>
      <c r="AL70" s="212" t="e">
        <f>SUM(AL46:AL69)</f>
        <v>#REF!</v>
      </c>
      <c r="AM70" s="212" t="e">
        <f>SUM(AM46:AM69)</f>
        <v>#REF!</v>
      </c>
      <c r="AN70" s="212" t="e">
        <f>SUM(AN46:AN69)</f>
        <v>#REF!</v>
      </c>
      <c r="AO70" s="712" t="e">
        <f>SUM(AJ70:AN70)</f>
        <v>#REF!</v>
      </c>
      <c r="AP70" s="183"/>
      <c r="AQ70" s="183"/>
      <c r="AR70" s="183"/>
      <c r="AS70" s="183"/>
      <c r="AT70" s="183"/>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row>
    <row r="98" spans="1:80" s="390" customFormat="1" x14ac:dyDescent="0.25">
      <c r="A98" s="181"/>
      <c r="B98" s="181"/>
      <c r="C98" s="181"/>
      <c r="D98" s="181"/>
      <c r="E98" s="181"/>
      <c r="F98" s="181"/>
      <c r="G98" s="181"/>
      <c r="H98" s="181"/>
      <c r="I98" s="181"/>
      <c r="J98" s="181"/>
      <c r="K98" s="181"/>
      <c r="L98" s="181"/>
      <c r="M98" s="181"/>
      <c r="N98" s="181"/>
      <c r="O98" s="181"/>
      <c r="P98" s="181"/>
      <c r="Q98" s="181"/>
      <c r="R98" s="181"/>
      <c r="S98" s="181"/>
      <c r="T98" s="181"/>
      <c r="U98" s="270"/>
      <c r="V98" s="270"/>
      <c r="W98" s="270"/>
      <c r="X98" s="270"/>
      <c r="Y98" s="713"/>
      <c r="Z98" s="270"/>
      <c r="AA98" s="713"/>
      <c r="AB98" s="270"/>
      <c r="AC98" s="270"/>
      <c r="AD98" s="270"/>
      <c r="AE98" s="270"/>
      <c r="AF98" s="270"/>
      <c r="AG98" s="270"/>
      <c r="AH98" s="183"/>
      <c r="AI98" s="183"/>
      <c r="AJ98" s="183"/>
      <c r="AK98" s="183"/>
      <c r="AL98" s="183"/>
      <c r="AM98" s="183"/>
      <c r="AN98" s="183"/>
      <c r="AO98" s="183"/>
      <c r="AP98" s="183"/>
      <c r="AQ98" s="183"/>
      <c r="AR98" s="183"/>
      <c r="AS98" s="183"/>
      <c r="AT98" s="183"/>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0"/>
      <c r="BU98" s="270"/>
      <c r="BV98" s="270"/>
      <c r="BW98" s="270"/>
      <c r="BX98" s="270"/>
      <c r="BY98" s="270"/>
      <c r="BZ98" s="270"/>
      <c r="CA98" s="270"/>
      <c r="CB98" s="270"/>
    </row>
    <row r="99" spans="1:80" s="390" customFormat="1" x14ac:dyDescent="0.25">
      <c r="A99" s="181"/>
      <c r="B99" s="181"/>
      <c r="C99" s="181"/>
      <c r="D99" s="181"/>
      <c r="E99" s="181"/>
      <c r="F99" s="181"/>
      <c r="G99" s="181"/>
      <c r="H99" s="181"/>
      <c r="I99" s="181"/>
      <c r="J99" s="181"/>
      <c r="K99" s="181"/>
      <c r="L99" s="181"/>
      <c r="M99" s="181"/>
      <c r="N99" s="181"/>
      <c r="O99" s="181"/>
      <c r="P99" s="181"/>
      <c r="Q99" s="181"/>
      <c r="R99" s="181"/>
      <c r="S99" s="181"/>
      <c r="T99" s="181"/>
      <c r="U99" s="270"/>
      <c r="V99" s="270"/>
      <c r="W99" s="270"/>
      <c r="X99" s="270"/>
      <c r="Y99" s="713"/>
      <c r="Z99" s="270"/>
      <c r="AA99" s="270"/>
      <c r="AB99" s="270"/>
      <c r="AC99" s="270"/>
      <c r="AD99" s="270"/>
      <c r="AE99" s="270"/>
      <c r="AF99" s="270"/>
      <c r="AG99" s="270"/>
      <c r="AH99" s="183"/>
      <c r="AI99" s="183"/>
      <c r="AJ99" s="183"/>
      <c r="AK99" s="183"/>
      <c r="AL99" s="183"/>
      <c r="AM99" s="183"/>
      <c r="AN99" s="183"/>
      <c r="AO99" s="183"/>
      <c r="AP99" s="183"/>
      <c r="AQ99" s="183"/>
      <c r="AR99" s="183"/>
      <c r="AS99" s="183"/>
      <c r="AT99" s="183"/>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c r="BZ99" s="270"/>
      <c r="CA99" s="270"/>
      <c r="CB99" s="270"/>
    </row>
    <row r="100" spans="1:80" s="390" customFormat="1" x14ac:dyDescent="0.25">
      <c r="A100" s="181"/>
      <c r="B100" s="181"/>
      <c r="C100" s="181"/>
      <c r="D100" s="181"/>
      <c r="E100" s="181"/>
      <c r="F100" s="181"/>
      <c r="G100" s="181"/>
      <c r="H100" s="181"/>
      <c r="I100" s="181"/>
      <c r="J100" s="181"/>
      <c r="K100" s="181"/>
      <c r="L100" s="181"/>
      <c r="M100" s="181"/>
      <c r="N100" s="181"/>
      <c r="O100" s="181"/>
      <c r="P100" s="181"/>
      <c r="Q100" s="181"/>
      <c r="R100" s="181"/>
      <c r="S100" s="181"/>
      <c r="T100" s="181"/>
      <c r="U100" s="270"/>
      <c r="V100" s="270"/>
      <c r="W100" s="270"/>
      <c r="X100" s="270"/>
      <c r="Y100" s="713"/>
      <c r="Z100" s="270"/>
      <c r="AA100" s="270"/>
      <c r="AB100" s="270"/>
      <c r="AC100" s="270"/>
      <c r="AD100" s="270"/>
      <c r="AE100" s="270"/>
      <c r="AF100" s="270"/>
      <c r="AG100" s="270"/>
      <c r="AH100" s="183"/>
      <c r="AI100" s="183"/>
      <c r="AJ100" s="183"/>
      <c r="AK100" s="183"/>
      <c r="AL100" s="183"/>
      <c r="AM100" s="183"/>
      <c r="AN100" s="183"/>
      <c r="AO100" s="183"/>
      <c r="AP100" s="183"/>
      <c r="AQ100" s="183"/>
      <c r="AR100" s="183"/>
      <c r="AS100" s="183"/>
      <c r="AT100" s="183"/>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c r="BX100" s="270"/>
      <c r="BY100" s="270"/>
      <c r="BZ100" s="270"/>
      <c r="CA100" s="270"/>
      <c r="CB100" s="270"/>
    </row>
  </sheetData>
  <mergeCells count="6">
    <mergeCell ref="B4:I4"/>
    <mergeCell ref="B5:I5"/>
    <mergeCell ref="B43:B44"/>
    <mergeCell ref="C43:D43"/>
    <mergeCell ref="E43:F43"/>
    <mergeCell ref="G43:I43"/>
  </mergeCells>
  <printOptions horizontalCentered="1"/>
  <pageMargins left="0.15" right="0.15" top="0.48" bottom="0.21" header="0.19" footer="0.17"/>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F54"/>
  <sheetViews>
    <sheetView zoomScale="50" zoomScaleNormal="50" zoomScalePageLayoutView="50" workbookViewId="0">
      <selection activeCell="Q18" sqref="Q18"/>
    </sheetView>
  </sheetViews>
  <sheetFormatPr defaultColWidth="9.140625" defaultRowHeight="12" customHeight="1" x14ac:dyDescent="0.35"/>
  <cols>
    <col min="1" max="1" width="12.7109375" style="3" customWidth="1"/>
    <col min="2" max="2" width="12.28515625" style="3" customWidth="1"/>
    <col min="3" max="4" width="8.5703125" style="3" customWidth="1"/>
    <col min="5" max="5" width="9.42578125" style="3" customWidth="1"/>
    <col min="6" max="6" width="9.85546875" style="3" customWidth="1"/>
    <col min="7" max="7" width="8.140625" style="3" customWidth="1"/>
    <col min="8" max="8" width="8.42578125" style="3" customWidth="1"/>
    <col min="9" max="10" width="7.140625" style="3" customWidth="1"/>
    <col min="11" max="11" width="10.42578125" style="3" bestFit="1" customWidth="1"/>
    <col min="12" max="12" width="5.5703125" style="3" bestFit="1" customWidth="1"/>
    <col min="13" max="18" width="4.28515625" style="3" customWidth="1"/>
    <col min="19" max="19" width="39.28515625" style="3" customWidth="1"/>
    <col min="20" max="20" width="27.5703125" style="50" customWidth="1"/>
    <col min="21" max="21" width="19.28515625" style="50" customWidth="1"/>
    <col min="22" max="23" width="9.28515625" style="50" customWidth="1"/>
    <col min="24" max="24" width="15" style="50" customWidth="1"/>
    <col min="25" max="25" width="15.5703125" style="50" customWidth="1"/>
    <col min="26" max="26" width="17.28515625" style="50" customWidth="1"/>
    <col min="27" max="27" width="24.7109375" style="50" customWidth="1"/>
    <col min="28" max="30" width="9.28515625" style="50" customWidth="1"/>
    <col min="31" max="31" width="11.28515625" style="50" customWidth="1"/>
    <col min="32" max="32" width="12.140625" style="50" customWidth="1"/>
    <col min="33" max="33" width="13" style="50" customWidth="1"/>
    <col min="34" max="34" width="14.42578125" style="3" customWidth="1"/>
    <col min="35" max="35" width="19.28515625" style="3" bestFit="1" customWidth="1"/>
    <col min="36" max="36" width="27.85546875" style="3" bestFit="1" customWidth="1"/>
    <col min="37" max="95" width="14.42578125" style="3" customWidth="1"/>
    <col min="96" max="107" width="14.42578125" style="5" customWidth="1"/>
    <col min="108" max="108" width="12.7109375" style="5" customWidth="1"/>
    <col min="109" max="109" width="9.140625" style="5"/>
    <col min="110" max="110" width="11.42578125" style="5" customWidth="1"/>
    <col min="111" max="111" width="6.140625" style="3" customWidth="1"/>
    <col min="112" max="112" width="5.85546875" style="3" customWidth="1"/>
    <col min="113" max="16384" width="9.140625" style="3"/>
  </cols>
  <sheetData>
    <row r="1" spans="15:110" ht="18.75" customHeight="1" thickBot="1" x14ac:dyDescent="0.4">
      <c r="O1" s="5"/>
      <c r="P1" s="5"/>
      <c r="S1" s="5">
        <v>23.5</v>
      </c>
      <c r="T1" s="46" t="s">
        <v>507</v>
      </c>
      <c r="U1" s="47"/>
      <c r="V1" s="47"/>
      <c r="W1" s="47"/>
      <c r="X1" s="47"/>
      <c r="Y1" s="47"/>
      <c r="Z1" s="47"/>
      <c r="AA1" s="48" t="s">
        <v>418</v>
      </c>
      <c r="AB1" s="46" t="s">
        <v>419</v>
      </c>
      <c r="AC1" s="47"/>
      <c r="AD1" s="49"/>
      <c r="CR1" s="3"/>
      <c r="CS1" s="3"/>
      <c r="CT1" s="3"/>
      <c r="CU1" s="3"/>
      <c r="CV1" s="3"/>
      <c r="CW1" s="3"/>
      <c r="CX1" s="3"/>
      <c r="CY1" s="3"/>
      <c r="CZ1" s="3"/>
      <c r="DA1" s="3"/>
      <c r="DB1" s="3"/>
      <c r="DC1" s="3"/>
      <c r="DD1" s="3"/>
      <c r="DE1" s="3"/>
      <c r="DF1" s="3"/>
    </row>
    <row r="2" spans="15:110" ht="18.75" customHeight="1" x14ac:dyDescent="0.35">
      <c r="O2" s="5"/>
      <c r="P2" s="5"/>
      <c r="S2" s="5">
        <v>96.5</v>
      </c>
      <c r="T2" s="51" t="s">
        <v>511</v>
      </c>
      <c r="U2" s="52" t="s">
        <v>0</v>
      </c>
      <c r="V2" s="52" t="s">
        <v>513</v>
      </c>
      <c r="W2" s="53" t="s">
        <v>512</v>
      </c>
      <c r="X2" s="51" t="s">
        <v>516</v>
      </c>
      <c r="Y2" s="52" t="s">
        <v>517</v>
      </c>
      <c r="Z2" s="54" t="s">
        <v>524</v>
      </c>
      <c r="AA2" s="55" t="s">
        <v>417</v>
      </c>
      <c r="AB2" s="56" t="s">
        <v>508</v>
      </c>
      <c r="AC2" s="52" t="s">
        <v>509</v>
      </c>
      <c r="AD2" s="54" t="s">
        <v>510</v>
      </c>
      <c r="AE2" s="57" t="s">
        <v>514</v>
      </c>
      <c r="AF2" s="58" t="s">
        <v>515</v>
      </c>
      <c r="AG2" s="59" t="s">
        <v>518</v>
      </c>
      <c r="AI2" s="435" t="s">
        <v>412</v>
      </c>
      <c r="AJ2" s="435" t="s">
        <v>1438</v>
      </c>
      <c r="CR2" s="3"/>
      <c r="CS2" s="3"/>
      <c r="CT2" s="3"/>
      <c r="CU2" s="3"/>
      <c r="CV2" s="3"/>
      <c r="CW2" s="3"/>
      <c r="CX2" s="3"/>
      <c r="CY2" s="3"/>
      <c r="CZ2" s="3"/>
      <c r="DA2" s="3"/>
      <c r="DB2" s="3"/>
      <c r="DC2" s="3"/>
      <c r="DD2" s="3"/>
      <c r="DE2" s="3"/>
      <c r="DF2" s="3"/>
    </row>
    <row r="3" spans="15:110" ht="18.75" customHeight="1" x14ac:dyDescent="0.4">
      <c r="O3" s="5"/>
      <c r="P3" s="5"/>
      <c r="S3" s="5">
        <v>600</v>
      </c>
      <c r="T3" s="60" t="s">
        <v>483</v>
      </c>
      <c r="U3" s="61" t="s">
        <v>5</v>
      </c>
      <c r="V3" s="60">
        <v>97.12</v>
      </c>
      <c r="W3" s="61">
        <v>24.3</v>
      </c>
      <c r="X3" s="61">
        <f>'CCCM Dashboard'!C15</f>
        <v>1442</v>
      </c>
      <c r="Y3" s="431">
        <f>'CCCM Dashboard'!$D$15</f>
        <v>8124</v>
      </c>
      <c r="Z3" s="62" t="str">
        <f>CONCATENATE(AG2," cp",IF(AG2&gt;1,"s",""))</f>
        <v>Column1 cps</v>
      </c>
      <c r="AA3" s="188" t="e">
        <f>#REF!</f>
        <v>#REF!</v>
      </c>
      <c r="AB3" s="63">
        <v>0</v>
      </c>
      <c r="AC3" s="63">
        <v>0</v>
      </c>
      <c r="AD3" s="63">
        <v>0</v>
      </c>
      <c r="AE3" s="64">
        <f>$S$3-ROUND((W3-$S$1)*$S$5,0)</f>
        <v>496</v>
      </c>
      <c r="AF3" s="65">
        <f t="shared" ref="AF3:AF25" si="0">ROUND((V3-$S$2)*$S$5,0)+$S$4</f>
        <v>181</v>
      </c>
      <c r="AG3" s="66">
        <f>'CCCM Dashboard'!E15</f>
        <v>10</v>
      </c>
      <c r="AI3" s="431">
        <f>'CCCM Dashboard'!$D$15</f>
        <v>8124</v>
      </c>
      <c r="AJ3" s="457" t="e">
        <f>COUNTIFS('NFI Distributions'!$B$6:$B$279,"&gt;5/1/2017",'NFI Distributions'!$G$6:$G$366,Table58[[#This Row],[Township]])</f>
        <v>#VALUE!</v>
      </c>
      <c r="AK3" s="434"/>
      <c r="CR3" s="3"/>
      <c r="CS3" s="3"/>
      <c r="CT3" s="3"/>
      <c r="CU3" s="3"/>
      <c r="CV3" s="3"/>
      <c r="CW3" s="3"/>
      <c r="CX3" s="3"/>
      <c r="CY3" s="3"/>
      <c r="CZ3" s="3"/>
      <c r="DA3" s="3"/>
      <c r="DB3" s="3"/>
      <c r="DC3" s="3"/>
      <c r="DD3" s="3"/>
      <c r="DE3" s="3"/>
      <c r="DF3" s="3"/>
    </row>
    <row r="4" spans="15:110" ht="18.75" customHeight="1" x14ac:dyDescent="0.4">
      <c r="O4" s="5"/>
      <c r="P4" s="5"/>
      <c r="S4" s="5">
        <v>100</v>
      </c>
      <c r="T4" s="67" t="s">
        <v>487</v>
      </c>
      <c r="U4" s="61" t="s">
        <v>27</v>
      </c>
      <c r="V4" s="67">
        <v>98.322799999999987</v>
      </c>
      <c r="W4" s="61">
        <v>25.917999999999999</v>
      </c>
      <c r="X4" s="61">
        <f>'CCCM Dashboard'!C16</f>
        <v>614</v>
      </c>
      <c r="Y4" s="432">
        <f>'CCCM Dashboard'!$D$16</f>
        <v>3051</v>
      </c>
      <c r="Z4" s="62" t="str">
        <f t="shared" ref="Z4:Z25" si="1">CONCATENATE(AG3," cp",IF(AG3&gt;1,"s",""))</f>
        <v>10 cps</v>
      </c>
      <c r="AA4" s="188" t="e">
        <f>#REF!</f>
        <v>#REF!</v>
      </c>
      <c r="AB4" s="63">
        <v>1</v>
      </c>
      <c r="AC4" s="63">
        <v>0</v>
      </c>
      <c r="AD4" s="63">
        <v>0.95387840670859536</v>
      </c>
      <c r="AE4" s="64">
        <f t="shared" ref="AE4:AE25" si="2">$S$3-ROUND((W4-$S$1)*$S$5,0)</f>
        <v>286</v>
      </c>
      <c r="AF4" s="65">
        <f t="shared" si="0"/>
        <v>337</v>
      </c>
      <c r="AG4" s="66">
        <f>'CCCM Dashboard'!E16</f>
        <v>5</v>
      </c>
      <c r="AI4" s="432">
        <f>'CCCM Dashboard'!$D$16</f>
        <v>3051</v>
      </c>
      <c r="AJ4" s="457" t="e">
        <f>COUNTIFS('NFI Distributions'!$B$6:$B$279,"&gt;5/1/2017",'NFI Distributions'!$G$6:$G$366,Table58[[#This Row],[Township]])</f>
        <v>#VALUE!</v>
      </c>
      <c r="AK4" s="434"/>
      <c r="CR4" s="3"/>
      <c r="CS4" s="3"/>
      <c r="CT4" s="3"/>
      <c r="CU4" s="3"/>
      <c r="CV4" s="3"/>
      <c r="CW4" s="3"/>
      <c r="CX4" s="3"/>
      <c r="CY4" s="3"/>
      <c r="CZ4" s="3"/>
      <c r="DA4" s="3"/>
      <c r="DB4" s="3"/>
      <c r="DC4" s="3"/>
      <c r="DD4" s="3"/>
      <c r="DE4" s="3"/>
      <c r="DF4" s="3"/>
    </row>
    <row r="5" spans="15:110" ht="18.75" customHeight="1" x14ac:dyDescent="0.4">
      <c r="O5" s="5"/>
      <c r="P5" s="5"/>
      <c r="S5" s="5">
        <v>130</v>
      </c>
      <c r="T5" s="60" t="s">
        <v>481</v>
      </c>
      <c r="U5" s="61" t="s">
        <v>480</v>
      </c>
      <c r="V5" s="60">
        <v>96.373750000000001</v>
      </c>
      <c r="W5" s="61">
        <v>25.9</v>
      </c>
      <c r="X5" s="61">
        <f>'CCCM Dashboard'!C17</f>
        <v>791</v>
      </c>
      <c r="Y5" s="431">
        <f>'CCCM Dashboard'!$D$17</f>
        <v>3978</v>
      </c>
      <c r="Z5" s="62" t="str">
        <f t="shared" si="1"/>
        <v>5 cps</v>
      </c>
      <c r="AA5" s="188" t="e">
        <f>#REF!</f>
        <v>#REF!</v>
      </c>
      <c r="AB5" s="63">
        <v>0.69172932330827064</v>
      </c>
      <c r="AC5" s="63">
        <v>0</v>
      </c>
      <c r="AD5" s="63">
        <v>1</v>
      </c>
      <c r="AE5" s="64">
        <f t="shared" si="2"/>
        <v>288</v>
      </c>
      <c r="AF5" s="65">
        <f t="shared" si="0"/>
        <v>84</v>
      </c>
      <c r="AG5" s="66">
        <f>'CCCM Dashboard'!E17</f>
        <v>23</v>
      </c>
      <c r="AI5" s="431">
        <f>'CCCM Dashboard'!$D$17</f>
        <v>3978</v>
      </c>
      <c r="AJ5" s="457" t="e">
        <f>COUNTIFS('NFI Distributions'!$B$6:$B$279,"&gt;5/1/2017",'NFI Distributions'!$G$6:$G$366,Table58[[#This Row],[Township]])</f>
        <v>#VALUE!</v>
      </c>
      <c r="AK5" s="434"/>
      <c r="CR5" s="3"/>
      <c r="CS5" s="3"/>
      <c r="CT5" s="3"/>
      <c r="CU5" s="3"/>
      <c r="CV5" s="3"/>
      <c r="CW5" s="3"/>
      <c r="CX5" s="3"/>
      <c r="CY5" s="3"/>
      <c r="CZ5" s="3"/>
      <c r="DA5" s="3"/>
      <c r="DB5" s="3"/>
      <c r="DC5" s="3"/>
      <c r="DD5" s="3"/>
      <c r="DE5" s="3"/>
      <c r="DF5" s="3"/>
    </row>
    <row r="6" spans="15:110" ht="18.75" customHeight="1" x14ac:dyDescent="0.4">
      <c r="O6" s="5"/>
      <c r="P6" s="5"/>
      <c r="T6" s="67" t="s">
        <v>720</v>
      </c>
      <c r="U6" s="61" t="s">
        <v>719</v>
      </c>
      <c r="V6" s="68">
        <v>98.1</v>
      </c>
      <c r="W6" s="69">
        <v>23.28</v>
      </c>
      <c r="X6" s="61">
        <f>'CCCM Dashboard'!C33</f>
        <v>32</v>
      </c>
      <c r="Y6" s="432">
        <f>'CCCM Dashboard'!$D$33</f>
        <v>172</v>
      </c>
      <c r="Z6" s="62" t="str">
        <f t="shared" si="1"/>
        <v>23 cps</v>
      </c>
      <c r="AA6" s="188" t="e">
        <f>#REF!</f>
        <v>#REF!</v>
      </c>
      <c r="AB6" s="63"/>
      <c r="AC6" s="63"/>
      <c r="AD6" s="63"/>
      <c r="AE6" s="64">
        <f t="shared" si="2"/>
        <v>629</v>
      </c>
      <c r="AF6" s="65">
        <f t="shared" si="0"/>
        <v>308</v>
      </c>
      <c r="AG6" s="66">
        <f>'CCCM Dashboard'!E33</f>
        <v>1</v>
      </c>
      <c r="AI6" s="432">
        <f>'CCCM Dashboard'!$D$33</f>
        <v>172</v>
      </c>
      <c r="AJ6" s="457" t="e">
        <f>COUNTIFS('NFI Distributions'!$B$6:$B$279,"&gt;5/1/2017",'NFI Distributions'!$G$6:$G$366,Table58[[#This Row],[Township]])</f>
        <v>#VALUE!</v>
      </c>
      <c r="AK6" s="434"/>
      <c r="CR6" s="3"/>
      <c r="CS6" s="3"/>
      <c r="CT6" s="3"/>
      <c r="CU6" s="3"/>
      <c r="CV6" s="3"/>
      <c r="CW6" s="3"/>
      <c r="CX6" s="3"/>
      <c r="CY6" s="3"/>
      <c r="CZ6" s="3"/>
      <c r="DA6" s="3"/>
      <c r="DB6" s="3"/>
      <c r="DC6" s="3"/>
      <c r="DD6" s="3"/>
      <c r="DE6" s="3"/>
      <c r="DF6" s="3"/>
    </row>
    <row r="7" spans="15:110" ht="18.75" customHeight="1" x14ac:dyDescent="0.4">
      <c r="O7" s="138"/>
      <c r="P7" s="138"/>
      <c r="T7" s="295" t="s">
        <v>1200</v>
      </c>
      <c r="U7" s="296" t="s">
        <v>1199</v>
      </c>
      <c r="V7" s="297">
        <v>97.298102999999998</v>
      </c>
      <c r="W7" s="298">
        <v>22.618938</v>
      </c>
      <c r="X7" s="61">
        <f>'CCCM Dashboard'!C38</f>
        <v>37</v>
      </c>
      <c r="Y7" s="431">
        <f>'CCCM Dashboard'!$D$38</f>
        <v>120</v>
      </c>
      <c r="Z7" s="62" t="str">
        <f t="shared" si="1"/>
        <v>1 cp</v>
      </c>
      <c r="AA7" s="188" t="e">
        <f>#REF!</f>
        <v>#REF!</v>
      </c>
      <c r="AB7" s="299"/>
      <c r="AC7" s="299"/>
      <c r="AD7" s="299"/>
      <c r="AE7" s="300">
        <f>$S$3-ROUND((W7-$S$1)*$S$5,0)</f>
        <v>715</v>
      </c>
      <c r="AF7" s="301">
        <f t="shared" si="0"/>
        <v>204</v>
      </c>
      <c r="AG7" s="66">
        <f>'CCCM Dashboard'!E38</f>
        <v>1</v>
      </c>
      <c r="AI7" s="431">
        <f>'CCCM Dashboard'!$D$38</f>
        <v>120</v>
      </c>
      <c r="AJ7" s="457" t="e">
        <f>COUNTIFS('NFI Distributions'!$B$6:$B$279,"&gt;5/1/2017",'NFI Distributions'!$G$6:$G$366,Table58[[#This Row],[Township]])</f>
        <v>#VALUE!</v>
      </c>
      <c r="AK7" s="434"/>
      <c r="CR7" s="3"/>
      <c r="CS7" s="3"/>
      <c r="CT7" s="3"/>
      <c r="CU7" s="3"/>
      <c r="CV7" s="3"/>
      <c r="CW7" s="3"/>
      <c r="CX7" s="3"/>
      <c r="CY7" s="3"/>
      <c r="CZ7" s="3"/>
      <c r="DA7" s="3"/>
      <c r="DB7" s="3"/>
      <c r="DC7" s="3"/>
      <c r="DD7" s="3"/>
      <c r="DE7" s="3"/>
      <c r="DF7" s="3"/>
    </row>
    <row r="8" spans="15:110" ht="18.75" customHeight="1" x14ac:dyDescent="0.4">
      <c r="O8" s="5"/>
      <c r="P8" s="5"/>
      <c r="T8" s="67" t="s">
        <v>501</v>
      </c>
      <c r="U8" s="61" t="s">
        <v>361</v>
      </c>
      <c r="V8" s="67">
        <v>97.89587301587305</v>
      </c>
      <c r="W8" s="61">
        <v>26.232698412698419</v>
      </c>
      <c r="X8" s="61">
        <f>'CCCM Dashboard'!C18</f>
        <v>0</v>
      </c>
      <c r="Y8" s="432">
        <f>'CCCM Dashboard'!$D$18</f>
        <v>0</v>
      </c>
      <c r="Z8" s="62" t="str">
        <f t="shared" si="1"/>
        <v>1 cp</v>
      </c>
      <c r="AA8" s="188" t="e">
        <f>#REF!</f>
        <v>#REF!</v>
      </c>
      <c r="AB8" s="63">
        <v>0</v>
      </c>
      <c r="AC8" s="63">
        <v>0</v>
      </c>
      <c r="AD8" s="63">
        <v>0</v>
      </c>
      <c r="AE8" s="64">
        <f>$S$3-ROUND((W8-$S$1)*$S$5,0)</f>
        <v>245</v>
      </c>
      <c r="AF8" s="65">
        <f t="shared" si="0"/>
        <v>281</v>
      </c>
      <c r="AG8" s="66">
        <f>'CCCM Dashboard'!E18</f>
        <v>0</v>
      </c>
      <c r="AI8" s="432">
        <f>'CCCM Dashboard'!$D$18</f>
        <v>0</v>
      </c>
      <c r="AJ8" s="457" t="e">
        <f>COUNTIFS('NFI Distributions'!$B$6:$B$279,"&gt;5/1/2017",'NFI Distributions'!$G$6:$G$366,Table58[[#This Row],[Township]])</f>
        <v>#VALUE!</v>
      </c>
      <c r="AK8" s="434"/>
      <c r="CR8" s="3"/>
      <c r="CS8" s="3"/>
      <c r="CT8" s="3"/>
      <c r="CU8" s="3"/>
      <c r="CV8" s="3"/>
      <c r="CW8" s="3"/>
      <c r="CX8" s="3"/>
      <c r="CY8" s="3"/>
      <c r="CZ8" s="3"/>
      <c r="DA8" s="3"/>
      <c r="DB8" s="3"/>
      <c r="DC8" s="3"/>
      <c r="DD8" s="3"/>
      <c r="DE8" s="3"/>
      <c r="DF8" s="3"/>
    </row>
    <row r="9" spans="15:110" ht="18.75" customHeight="1" x14ac:dyDescent="0.4">
      <c r="O9" s="5"/>
      <c r="P9" s="5"/>
      <c r="T9" s="60" t="s">
        <v>500</v>
      </c>
      <c r="U9" s="61" t="s">
        <v>144</v>
      </c>
      <c r="V9" s="60">
        <v>98.438571428571422</v>
      </c>
      <c r="W9" s="61">
        <v>27.1</v>
      </c>
      <c r="X9" s="61">
        <f>'CCCM Dashboard'!C19</f>
        <v>0</v>
      </c>
      <c r="Y9" s="431">
        <f>'CCCM Dashboard'!$D$19</f>
        <v>0</v>
      </c>
      <c r="Z9" s="62" t="str">
        <f t="shared" si="1"/>
        <v>0 cp</v>
      </c>
      <c r="AA9" s="188" t="e">
        <f>#REF!</f>
        <v>#REF!</v>
      </c>
      <c r="AB9" s="63">
        <v>0</v>
      </c>
      <c r="AC9" s="63">
        <v>0</v>
      </c>
      <c r="AD9" s="63">
        <v>0</v>
      </c>
      <c r="AE9" s="64">
        <f t="shared" si="2"/>
        <v>132</v>
      </c>
      <c r="AF9" s="65">
        <f t="shared" si="0"/>
        <v>352</v>
      </c>
      <c r="AG9" s="66">
        <f>'CCCM Dashboard'!E19</f>
        <v>0</v>
      </c>
      <c r="AI9" s="431">
        <f>'CCCM Dashboard'!$D$19</f>
        <v>0</v>
      </c>
      <c r="AJ9" s="457" t="e">
        <f>COUNTIFS('NFI Distributions'!$B$6:$B$279,"&gt;5/1/2017",'NFI Distributions'!$G$6:$G$366,Table58[[#This Row],[Township]])</f>
        <v>#VALUE!</v>
      </c>
      <c r="AK9" s="434"/>
      <c r="CR9" s="3"/>
      <c r="CS9" s="3"/>
      <c r="CT9" s="3"/>
      <c r="CU9" s="3"/>
      <c r="CV9" s="3"/>
      <c r="CW9" s="3"/>
      <c r="CX9" s="3"/>
      <c r="CY9" s="3"/>
      <c r="CZ9" s="3"/>
      <c r="DA9" s="3"/>
      <c r="DB9" s="3"/>
      <c r="DC9" s="3"/>
      <c r="DD9" s="3"/>
      <c r="DE9" s="3"/>
      <c r="DF9" s="3"/>
    </row>
    <row r="10" spans="15:110" ht="18.75" customHeight="1" x14ac:dyDescent="0.35">
      <c r="O10" s="5"/>
      <c r="P10" s="5"/>
      <c r="T10" s="67" t="s">
        <v>497</v>
      </c>
      <c r="U10" s="61" t="s">
        <v>146</v>
      </c>
      <c r="V10" s="67">
        <v>98.1</v>
      </c>
      <c r="W10" s="61">
        <v>23.553031914893619</v>
      </c>
      <c r="X10" s="61">
        <f>'CCCM Dashboard'!C34</f>
        <v>949</v>
      </c>
      <c r="Y10" s="432">
        <f>'CCCM Dashboard'!$D$34</f>
        <v>4793</v>
      </c>
      <c r="Z10" s="62" t="str">
        <f t="shared" si="1"/>
        <v>0 cp</v>
      </c>
      <c r="AA10" s="188" t="e">
        <f>#REF!</f>
        <v>#REF!</v>
      </c>
      <c r="AB10" s="63">
        <v>0</v>
      </c>
      <c r="AC10" s="63">
        <v>0</v>
      </c>
      <c r="AD10" s="63">
        <v>1</v>
      </c>
      <c r="AE10" s="64">
        <f>$S$3-ROUND((W10-$S$1)*$S$5,0)</f>
        <v>593</v>
      </c>
      <c r="AF10" s="65">
        <f t="shared" si="0"/>
        <v>308</v>
      </c>
      <c r="AG10" s="66">
        <f>'CCCM Dashboard'!E34</f>
        <v>16</v>
      </c>
      <c r="AI10" s="432">
        <f>'CCCM Dashboard'!$D$34</f>
        <v>4793</v>
      </c>
      <c r="AJ10" s="457" t="e">
        <f>COUNTIFS('NFI Distributions'!$B$6:$B$279,"&gt;5/1/2017",'NFI Distributions'!$G$6:$G$366,Table58[[#This Row],[Township]])</f>
        <v>#VALUE!</v>
      </c>
      <c r="CR10" s="3"/>
      <c r="CS10" s="3"/>
      <c r="CT10" s="3"/>
      <c r="CU10" s="3"/>
      <c r="CV10" s="3"/>
      <c r="CW10" s="3"/>
      <c r="CX10" s="3"/>
      <c r="CY10" s="3"/>
      <c r="CZ10" s="3"/>
      <c r="DA10" s="3"/>
      <c r="DB10" s="3"/>
      <c r="DC10" s="3"/>
      <c r="DD10" s="3"/>
      <c r="DE10" s="3"/>
      <c r="DF10" s="3"/>
    </row>
    <row r="11" spans="15:110" ht="18.75" customHeight="1" x14ac:dyDescent="0.35">
      <c r="O11" s="5"/>
      <c r="P11" s="5"/>
      <c r="T11" s="67" t="s">
        <v>818</v>
      </c>
      <c r="U11" s="61" t="s">
        <v>817</v>
      </c>
      <c r="V11" s="68">
        <v>97.88</v>
      </c>
      <c r="W11" s="69">
        <v>27.2</v>
      </c>
      <c r="X11" s="61">
        <f>'CCCM Dashboard'!C20</f>
        <v>0</v>
      </c>
      <c r="Y11" s="431">
        <f>'CCCM Dashboard'!$D$20</f>
        <v>0</v>
      </c>
      <c r="Z11" s="62" t="str">
        <f t="shared" si="1"/>
        <v>16 cps</v>
      </c>
      <c r="AA11" s="188" t="e">
        <f>#REF!</f>
        <v>#REF!</v>
      </c>
      <c r="AB11" s="63"/>
      <c r="AC11" s="63"/>
      <c r="AD11" s="63"/>
      <c r="AE11" s="64">
        <f>$S$3-ROUND((W11-$S$1)*$S$5,0)</f>
        <v>119</v>
      </c>
      <c r="AF11" s="65">
        <f t="shared" si="0"/>
        <v>279</v>
      </c>
      <c r="AG11" s="66">
        <f>'CCCM Dashboard'!E20</f>
        <v>0</v>
      </c>
      <c r="AI11" s="431">
        <f>'CCCM Dashboard'!$D$20</f>
        <v>0</v>
      </c>
      <c r="AJ11" s="457" t="e">
        <f>COUNTIFS('NFI Distributions'!$B$6:$B$279,"&gt;5/1/2017",'NFI Distributions'!$G$6:$G$366,Table58[[#This Row],[Township]])</f>
        <v>#VALUE!</v>
      </c>
      <c r="CR11" s="3"/>
      <c r="CS11" s="3"/>
      <c r="CT11" s="3"/>
      <c r="CU11" s="3"/>
      <c r="CV11" s="3"/>
      <c r="CW11" s="3"/>
      <c r="CX11" s="3"/>
      <c r="CY11" s="3"/>
      <c r="CZ11" s="3"/>
      <c r="DA11" s="3"/>
      <c r="DB11" s="3"/>
      <c r="DC11" s="3"/>
      <c r="DD11" s="3"/>
      <c r="DE11" s="3"/>
      <c r="DF11" s="3"/>
    </row>
    <row r="12" spans="15:110" ht="18.75" customHeight="1" x14ac:dyDescent="0.35">
      <c r="O12" s="5"/>
      <c r="P12" s="5"/>
      <c r="T12" s="60" t="s">
        <v>492</v>
      </c>
      <c r="U12" s="61" t="s">
        <v>151</v>
      </c>
      <c r="V12" s="60">
        <v>97.372845528455244</v>
      </c>
      <c r="W12" s="61">
        <v>24</v>
      </c>
      <c r="X12" s="61">
        <f>'CCCM Dashboard'!C21</f>
        <v>2812</v>
      </c>
      <c r="Y12" s="432">
        <f>'CCCM Dashboard'!$D$21</f>
        <v>13435</v>
      </c>
      <c r="Z12" s="62" t="str">
        <f t="shared" si="1"/>
        <v>0 cp</v>
      </c>
      <c r="AA12" s="188" t="e">
        <f>#REF!</f>
        <v>#REF!</v>
      </c>
      <c r="AB12" s="63">
        <v>0</v>
      </c>
      <c r="AC12" s="63">
        <v>0</v>
      </c>
      <c r="AD12" s="63">
        <v>0</v>
      </c>
      <c r="AE12" s="64">
        <f t="shared" si="2"/>
        <v>535</v>
      </c>
      <c r="AF12" s="65">
        <f t="shared" si="0"/>
        <v>213</v>
      </c>
      <c r="AG12" s="66">
        <f>'CCCM Dashboard'!E21</f>
        <v>11</v>
      </c>
      <c r="AI12" s="432">
        <f>'CCCM Dashboard'!$D$21</f>
        <v>13435</v>
      </c>
      <c r="AJ12" s="457" t="e">
        <f>COUNTIFS('NFI Distributions'!$B$6:$B$279,"&gt;5/1/2017",'NFI Distributions'!$G$6:$G$366,Table58[[#This Row],[Township]])</f>
        <v>#VALUE!</v>
      </c>
      <c r="CR12" s="3"/>
      <c r="CS12" s="3"/>
      <c r="CT12" s="3"/>
      <c r="CU12" s="3"/>
      <c r="CV12" s="3"/>
      <c r="CW12" s="3"/>
      <c r="CX12" s="3"/>
      <c r="CY12" s="3"/>
      <c r="CZ12" s="3"/>
      <c r="DA12" s="3"/>
      <c r="DB12" s="3"/>
      <c r="DC12" s="3"/>
      <c r="DD12" s="3"/>
      <c r="DE12" s="3"/>
      <c r="DF12" s="3"/>
    </row>
    <row r="13" spans="15:110" ht="18.75" customHeight="1" x14ac:dyDescent="0.35">
      <c r="O13" s="5"/>
      <c r="P13" s="5"/>
      <c r="T13" s="67" t="s">
        <v>496</v>
      </c>
      <c r="U13" s="61" t="s">
        <v>166</v>
      </c>
      <c r="V13" s="67">
        <v>97.266347826086943</v>
      </c>
      <c r="W13" s="61">
        <v>23.345826086956535</v>
      </c>
      <c r="X13" s="61">
        <f>'CCCM Dashboard'!C35</f>
        <v>62</v>
      </c>
      <c r="Y13" s="431">
        <f>'CCCM Dashboard'!$D$35</f>
        <v>348</v>
      </c>
      <c r="Z13" s="62" t="str">
        <f t="shared" si="1"/>
        <v>11 cps</v>
      </c>
      <c r="AA13" s="188" t="e">
        <f>#REF!</f>
        <v>#REF!</v>
      </c>
      <c r="AB13" s="63">
        <v>0</v>
      </c>
      <c r="AC13" s="63">
        <v>0</v>
      </c>
      <c r="AD13" s="63">
        <v>0</v>
      </c>
      <c r="AE13" s="64">
        <f>$S$3-ROUND((W13-$S$1)*$S$5,0)</f>
        <v>620</v>
      </c>
      <c r="AF13" s="65">
        <f t="shared" si="0"/>
        <v>200</v>
      </c>
      <c r="AG13" s="66">
        <f>'CCCM Dashboard'!E35</f>
        <v>2</v>
      </c>
      <c r="AI13" s="431">
        <f>'CCCM Dashboard'!$D$35</f>
        <v>348</v>
      </c>
      <c r="AJ13" s="457" t="e">
        <f>COUNTIFS('NFI Distributions'!$B$6:$B$279,"&gt;5/1/2017",'NFI Distributions'!$G$6:$G$366,Table58[[#This Row],[Township]])</f>
        <v>#VALUE!</v>
      </c>
      <c r="CR13" s="3"/>
      <c r="CS13" s="3"/>
      <c r="CT13" s="3"/>
      <c r="CU13" s="3"/>
      <c r="CV13" s="3"/>
      <c r="CW13" s="3"/>
      <c r="CX13" s="3"/>
      <c r="CY13" s="3"/>
      <c r="CZ13" s="3"/>
      <c r="DA13" s="3"/>
      <c r="DB13" s="3"/>
      <c r="DC13" s="3"/>
      <c r="DD13" s="3"/>
      <c r="DE13" s="3"/>
      <c r="DF13" s="3"/>
    </row>
    <row r="14" spans="15:110" ht="18.75" customHeight="1" x14ac:dyDescent="0.35">
      <c r="O14" s="5"/>
      <c r="P14" s="5"/>
      <c r="T14" s="60" t="s">
        <v>498</v>
      </c>
      <c r="U14" s="61" t="s">
        <v>173</v>
      </c>
      <c r="V14" s="60">
        <v>96.9</v>
      </c>
      <c r="W14" s="61">
        <v>25.4</v>
      </c>
      <c r="X14" s="61">
        <f>'CCCM Dashboard'!C22</f>
        <v>307</v>
      </c>
      <c r="Y14" s="432">
        <f>'CCCM Dashboard'!$D$22</f>
        <v>1481</v>
      </c>
      <c r="Z14" s="62" t="str">
        <f t="shared" si="1"/>
        <v>2 cps</v>
      </c>
      <c r="AA14" s="188" t="e">
        <f>#REF!</f>
        <v>#REF!</v>
      </c>
      <c r="AB14" s="63">
        <v>0</v>
      </c>
      <c r="AC14" s="63">
        <v>0</v>
      </c>
      <c r="AD14" s="63">
        <v>0</v>
      </c>
      <c r="AE14" s="64">
        <f t="shared" si="2"/>
        <v>353</v>
      </c>
      <c r="AF14" s="65">
        <f t="shared" si="0"/>
        <v>152</v>
      </c>
      <c r="AG14" s="66">
        <f>'CCCM Dashboard'!E22</f>
        <v>8</v>
      </c>
      <c r="AI14" s="432">
        <f>'CCCM Dashboard'!$D$22</f>
        <v>1481</v>
      </c>
      <c r="AJ14" s="457" t="e">
        <f>COUNTIFS('NFI Distributions'!$B$6:$B$279,"&gt;5/1/2017",'NFI Distributions'!$G$6:$G$366,Table58[[#This Row],[Township]])</f>
        <v>#VALUE!</v>
      </c>
      <c r="CR14" s="3"/>
      <c r="CS14" s="3"/>
      <c r="CT14" s="3"/>
      <c r="CU14" s="3"/>
      <c r="CV14" s="3"/>
      <c r="CW14" s="3"/>
      <c r="CX14" s="3"/>
      <c r="CY14" s="3"/>
      <c r="CZ14" s="3"/>
      <c r="DA14" s="3"/>
      <c r="DB14" s="3"/>
      <c r="DC14" s="3"/>
      <c r="DD14" s="3"/>
      <c r="DE14" s="3"/>
      <c r="DF14" s="3"/>
    </row>
    <row r="15" spans="15:110" ht="18.75" customHeight="1" x14ac:dyDescent="0.35">
      <c r="O15" s="5"/>
      <c r="P15" s="5"/>
      <c r="T15" s="67" t="s">
        <v>504</v>
      </c>
      <c r="U15" s="61" t="s">
        <v>180</v>
      </c>
      <c r="V15" s="67">
        <v>96.376558441558373</v>
      </c>
      <c r="W15" s="61">
        <v>24.957077922077939</v>
      </c>
      <c r="X15" s="61">
        <f>'CCCM Dashboard'!C23</f>
        <v>77</v>
      </c>
      <c r="Y15" s="431">
        <f>'CCCM Dashboard'!$D$23</f>
        <v>339</v>
      </c>
      <c r="Z15" s="62" t="str">
        <f t="shared" si="1"/>
        <v>8 cps</v>
      </c>
      <c r="AA15" s="188" t="e">
        <f>#REF!</f>
        <v>#REF!</v>
      </c>
      <c r="AB15" s="63">
        <v>1</v>
      </c>
      <c r="AC15" s="63">
        <v>0</v>
      </c>
      <c r="AD15" s="63">
        <v>0</v>
      </c>
      <c r="AE15" s="64">
        <f t="shared" si="2"/>
        <v>411</v>
      </c>
      <c r="AF15" s="65">
        <f t="shared" si="0"/>
        <v>84</v>
      </c>
      <c r="AG15" s="66">
        <f>'CCCM Dashboard'!E23</f>
        <v>4</v>
      </c>
      <c r="AI15" s="431">
        <f>'CCCM Dashboard'!$D$23</f>
        <v>339</v>
      </c>
      <c r="AJ15" s="457" t="e">
        <f>COUNTIFS('NFI Distributions'!$B$6:$B$279,"&gt;5/1/2017",'NFI Distributions'!$G$6:$G$366,Table58[[#This Row],[Township]])</f>
        <v>#VALUE!</v>
      </c>
      <c r="CR15" s="3"/>
      <c r="CS15" s="3"/>
      <c r="CT15" s="3"/>
      <c r="CU15" s="3"/>
      <c r="CV15" s="3"/>
      <c r="CW15" s="3"/>
      <c r="CX15" s="3"/>
      <c r="CY15" s="3"/>
      <c r="CZ15" s="3"/>
      <c r="DA15" s="3"/>
      <c r="DB15" s="3"/>
      <c r="DC15" s="3"/>
      <c r="DD15" s="3"/>
      <c r="DE15" s="3"/>
      <c r="DF15" s="3"/>
    </row>
    <row r="16" spans="15:110" ht="18.75" customHeight="1" x14ac:dyDescent="0.35">
      <c r="O16" s="5"/>
      <c r="P16" s="5"/>
      <c r="T16" s="60" t="s">
        <v>486</v>
      </c>
      <c r="U16" s="61" t="s">
        <v>185</v>
      </c>
      <c r="V16" s="60">
        <v>97.449510489510473</v>
      </c>
      <c r="W16" s="61">
        <v>24.6</v>
      </c>
      <c r="X16" s="61">
        <f>'CCCM Dashboard'!C24</f>
        <v>4754</v>
      </c>
      <c r="Y16" s="432">
        <f>'CCCM Dashboard'!$D$24</f>
        <v>24865</v>
      </c>
      <c r="Z16" s="62" t="str">
        <f t="shared" si="1"/>
        <v>4 cps</v>
      </c>
      <c r="AA16" s="188" t="e">
        <f>#REF!</f>
        <v>#REF!</v>
      </c>
      <c r="AB16" s="63">
        <v>0.12549019607843137</v>
      </c>
      <c r="AC16" s="63">
        <v>0</v>
      </c>
      <c r="AD16" s="63">
        <v>0.58263305322128844</v>
      </c>
      <c r="AE16" s="64">
        <f t="shared" si="2"/>
        <v>457</v>
      </c>
      <c r="AF16" s="65">
        <f t="shared" si="0"/>
        <v>223</v>
      </c>
      <c r="AG16" s="66">
        <f>'CCCM Dashboard'!E24</f>
        <v>15</v>
      </c>
      <c r="AI16" s="432">
        <f>'CCCM Dashboard'!$D$24</f>
        <v>24865</v>
      </c>
      <c r="AJ16" s="457" t="e">
        <f>COUNTIFS('NFI Distributions'!$B$6:$B$279,"&gt;5/1/2017",'NFI Distributions'!$G$6:$G$366,Table58[[#This Row],[Township]])</f>
        <v>#VALUE!</v>
      </c>
      <c r="CR16" s="3"/>
      <c r="CS16" s="3"/>
      <c r="CT16" s="3"/>
      <c r="CU16" s="3"/>
      <c r="CV16" s="3"/>
      <c r="CW16" s="3"/>
      <c r="CX16" s="3"/>
      <c r="CY16" s="3"/>
      <c r="CZ16" s="3"/>
      <c r="DA16" s="3"/>
      <c r="DB16" s="3"/>
      <c r="DC16" s="3"/>
      <c r="DD16" s="3"/>
      <c r="DE16" s="3"/>
      <c r="DF16" s="3"/>
    </row>
    <row r="17" spans="1:110" ht="18.75" customHeight="1" x14ac:dyDescent="0.35">
      <c r="O17" s="5"/>
      <c r="P17" s="5"/>
      <c r="T17" s="67" t="s">
        <v>491</v>
      </c>
      <c r="U17" s="61" t="s">
        <v>230</v>
      </c>
      <c r="V17" s="67">
        <v>98.12</v>
      </c>
      <c r="W17" s="61">
        <v>23.972235294117642</v>
      </c>
      <c r="X17" s="61">
        <f>'CCCM Dashboard'!C36</f>
        <v>212</v>
      </c>
      <c r="Y17" s="431">
        <f>'CCCM Dashboard'!$D$36</f>
        <v>1052</v>
      </c>
      <c r="Z17" s="62" t="str">
        <f t="shared" si="1"/>
        <v>15 cps</v>
      </c>
      <c r="AA17" s="188" t="e">
        <f>#REF!</f>
        <v>#REF!</v>
      </c>
      <c r="AB17" s="63">
        <v>0</v>
      </c>
      <c r="AC17" s="63">
        <v>0</v>
      </c>
      <c r="AD17" s="63">
        <v>0</v>
      </c>
      <c r="AE17" s="64">
        <f t="shared" si="2"/>
        <v>539</v>
      </c>
      <c r="AF17" s="65">
        <f t="shared" si="0"/>
        <v>311</v>
      </c>
      <c r="AG17" s="66">
        <f>'CCCM Dashboard'!E36</f>
        <v>3</v>
      </c>
      <c r="AI17" s="431">
        <f>'CCCM Dashboard'!$D$36</f>
        <v>1052</v>
      </c>
      <c r="AJ17" s="457" t="e">
        <f>COUNTIFS('NFI Distributions'!$B$6:$B$279,"&gt;5/1/2017",'NFI Distributions'!$G$6:$G$366,Table58[[#This Row],[Township]])</f>
        <v>#VALUE!</v>
      </c>
      <c r="CR17" s="3"/>
      <c r="CS17" s="3"/>
      <c r="CT17" s="3"/>
      <c r="CU17" s="3"/>
      <c r="CV17" s="3"/>
      <c r="CW17" s="3"/>
      <c r="CX17" s="3"/>
      <c r="CY17" s="3"/>
      <c r="CZ17" s="3"/>
      <c r="DA17" s="3"/>
      <c r="DB17" s="3"/>
      <c r="DC17" s="3"/>
      <c r="DD17" s="3"/>
      <c r="DE17" s="3"/>
      <c r="DF17" s="3"/>
    </row>
    <row r="18" spans="1:110" ht="18.75" customHeight="1" x14ac:dyDescent="0.35">
      <c r="O18" s="5"/>
      <c r="P18" s="5"/>
      <c r="T18" s="60" t="s">
        <v>488</v>
      </c>
      <c r="U18" s="61" t="s">
        <v>237</v>
      </c>
      <c r="V18" s="60">
        <v>97.301176470588288</v>
      </c>
      <c r="W18" s="61">
        <v>25.24</v>
      </c>
      <c r="X18" s="61">
        <f>'CCCM Dashboard'!C25</f>
        <v>2558</v>
      </c>
      <c r="Y18" s="432">
        <f>'CCCM Dashboard'!$D$25</f>
        <v>12884</v>
      </c>
      <c r="Z18" s="62" t="str">
        <f t="shared" si="1"/>
        <v>3 cps</v>
      </c>
      <c r="AA18" s="188" t="e">
        <f>#REF!</f>
        <v>#REF!</v>
      </c>
      <c r="AB18" s="63">
        <v>0.65062761506276146</v>
      </c>
      <c r="AC18" s="63">
        <v>0</v>
      </c>
      <c r="AD18" s="63">
        <v>0.25732217573221761</v>
      </c>
      <c r="AE18" s="64">
        <f t="shared" si="2"/>
        <v>374</v>
      </c>
      <c r="AF18" s="65">
        <f t="shared" si="0"/>
        <v>204</v>
      </c>
      <c r="AG18" s="66">
        <f>'CCCM Dashboard'!E25</f>
        <v>28</v>
      </c>
      <c r="AI18" s="432">
        <f>'CCCM Dashboard'!$D$25</f>
        <v>12884</v>
      </c>
      <c r="AJ18" s="457" t="e">
        <f>COUNTIFS('NFI Distributions'!$B$6:$B$279,"&gt;5/1/2017",'NFI Distributions'!$G$6:$G$366,Table58[[#This Row],[Township]])</f>
        <v>#VALUE!</v>
      </c>
      <c r="CR18" s="3"/>
      <c r="CS18" s="3"/>
      <c r="CT18" s="3"/>
      <c r="CU18" s="3"/>
      <c r="CV18" s="3"/>
      <c r="CW18" s="3"/>
      <c r="CX18" s="3"/>
      <c r="CY18" s="3"/>
      <c r="CZ18" s="3"/>
      <c r="DA18" s="3"/>
      <c r="DB18" s="3"/>
      <c r="DC18" s="3"/>
      <c r="DD18" s="3"/>
      <c r="DE18" s="3"/>
      <c r="DF18" s="3"/>
    </row>
    <row r="19" spans="1:110" ht="18.75" customHeight="1" x14ac:dyDescent="0.35">
      <c r="O19" s="5"/>
      <c r="P19" s="5"/>
      <c r="T19" s="67" t="s">
        <v>502</v>
      </c>
      <c r="U19" s="61" t="s">
        <v>288</v>
      </c>
      <c r="V19" s="67">
        <v>97.619855072463778</v>
      </c>
      <c r="W19" s="61">
        <v>23.7</v>
      </c>
      <c r="X19" s="61">
        <f>'CCCM Dashboard'!C37</f>
        <v>401</v>
      </c>
      <c r="Y19" s="431">
        <f>'CCCM Dashboard'!$D$37</f>
        <v>2009</v>
      </c>
      <c r="Z19" s="62" t="str">
        <f t="shared" si="1"/>
        <v>28 cps</v>
      </c>
      <c r="AA19" s="188" t="e">
        <f>#REF!</f>
        <v>#REF!</v>
      </c>
      <c r="AB19" s="63">
        <v>0</v>
      </c>
      <c r="AC19" s="63">
        <v>0</v>
      </c>
      <c r="AD19" s="63">
        <v>0</v>
      </c>
      <c r="AE19" s="64">
        <f t="shared" si="2"/>
        <v>574</v>
      </c>
      <c r="AF19" s="65">
        <f t="shared" si="0"/>
        <v>246</v>
      </c>
      <c r="AG19" s="66">
        <f>'CCCM Dashboard'!E37</f>
        <v>6</v>
      </c>
      <c r="AI19" s="431">
        <f>'CCCM Dashboard'!$D$37</f>
        <v>2009</v>
      </c>
      <c r="AJ19" s="457" t="e">
        <f>COUNTIFS('NFI Distributions'!$B$6:$B$279,"&gt;5/1/2017",'NFI Distributions'!$G$6:$G$366,Table58[[#This Row],[Township]])</f>
        <v>#VALUE!</v>
      </c>
      <c r="CR19" s="3"/>
      <c r="CS19" s="3"/>
      <c r="CT19" s="3"/>
      <c r="CU19" s="3"/>
      <c r="CV19" s="3"/>
      <c r="CW19" s="3"/>
      <c r="CX19" s="3"/>
      <c r="CY19" s="3"/>
      <c r="CZ19" s="3"/>
      <c r="DA19" s="3"/>
      <c r="DB19" s="3"/>
      <c r="DC19" s="3"/>
      <c r="DD19" s="3"/>
      <c r="DE19" s="3"/>
      <c r="DF19" s="3"/>
    </row>
    <row r="20" spans="1:110" ht="18.75" customHeight="1" x14ac:dyDescent="0.35">
      <c r="O20" s="5"/>
      <c r="P20" s="5"/>
      <c r="T20" s="60" t="s">
        <v>503</v>
      </c>
      <c r="U20" s="61" t="s">
        <v>297</v>
      </c>
      <c r="V20" s="60">
        <v>97.48</v>
      </c>
      <c r="W20" s="61">
        <v>23.01813559322035</v>
      </c>
      <c r="X20" s="61">
        <f>'CCCM Dashboard'!C39</f>
        <v>159</v>
      </c>
      <c r="Y20" s="432">
        <f>'CCCM Dashboard'!$D$39</f>
        <v>753</v>
      </c>
      <c r="Z20" s="62" t="str">
        <f t="shared" si="1"/>
        <v>6 cps</v>
      </c>
      <c r="AA20" s="188" t="e">
        <f>#REF!</f>
        <v>#REF!</v>
      </c>
      <c r="AB20" s="63">
        <v>0</v>
      </c>
      <c r="AC20" s="63">
        <v>0</v>
      </c>
      <c r="AD20" s="63">
        <v>0</v>
      </c>
      <c r="AE20" s="64">
        <f t="shared" si="2"/>
        <v>663</v>
      </c>
      <c r="AF20" s="65">
        <f t="shared" si="0"/>
        <v>227</v>
      </c>
      <c r="AG20" s="66">
        <f>'CCCM Dashboard'!E39</f>
        <v>4</v>
      </c>
      <c r="AI20" s="432">
        <f>'CCCM Dashboard'!$D$39</f>
        <v>753</v>
      </c>
      <c r="AJ20" s="457" t="e">
        <f>COUNTIFS('NFI Distributions'!$B$6:$B$279,"&gt;5/1/2017",'NFI Distributions'!$G$6:$G$366,Table58[[#This Row],[Township]])</f>
        <v>#VALUE!</v>
      </c>
      <c r="CR20" s="3"/>
      <c r="CS20" s="3"/>
      <c r="CT20" s="3"/>
      <c r="CU20" s="3"/>
      <c r="CV20" s="3"/>
      <c r="CW20" s="3"/>
      <c r="CX20" s="3"/>
      <c r="CY20" s="3"/>
      <c r="CZ20" s="3"/>
      <c r="DA20" s="3"/>
      <c r="DB20" s="3"/>
      <c r="DC20" s="3"/>
      <c r="DD20" s="3"/>
      <c r="DE20" s="3"/>
      <c r="DF20" s="3"/>
    </row>
    <row r="21" spans="1:110" ht="18.75" customHeight="1" x14ac:dyDescent="0.35">
      <c r="O21" s="5"/>
      <c r="P21" s="5"/>
      <c r="T21" s="67" t="s">
        <v>505</v>
      </c>
      <c r="U21" s="61" t="s">
        <v>299</v>
      </c>
      <c r="V21" s="67">
        <v>97.435148514851463</v>
      </c>
      <c r="W21" s="61">
        <v>27.327029702970304</v>
      </c>
      <c r="X21" s="61">
        <f>'CCCM Dashboard'!C26</f>
        <v>85</v>
      </c>
      <c r="Y21" s="431">
        <f>'CCCM Dashboard'!$D$26</f>
        <v>412</v>
      </c>
      <c r="Z21" s="62" t="str">
        <f t="shared" si="1"/>
        <v>4 cps</v>
      </c>
      <c r="AA21" s="188" t="e">
        <f>#REF!</f>
        <v>#REF!</v>
      </c>
      <c r="AB21" s="63">
        <v>0</v>
      </c>
      <c r="AC21" s="63">
        <v>0</v>
      </c>
      <c r="AD21" s="63">
        <v>0</v>
      </c>
      <c r="AE21" s="64">
        <f t="shared" si="2"/>
        <v>102</v>
      </c>
      <c r="AF21" s="65">
        <f t="shared" si="0"/>
        <v>222</v>
      </c>
      <c r="AG21" s="66">
        <f>'CCCM Dashboard'!E26</f>
        <v>3</v>
      </c>
      <c r="AI21" s="431">
        <f>'CCCM Dashboard'!$D$26</f>
        <v>412</v>
      </c>
      <c r="AJ21" s="457" t="e">
        <f>COUNTIFS('NFI Distributions'!$B$6:$B$279,"&gt;5/1/2017",'NFI Distributions'!$G$6:$G$366,Table58[[#This Row],[Township]])</f>
        <v>#VALUE!</v>
      </c>
      <c r="CR21" s="3"/>
      <c r="CS21" s="3"/>
      <c r="CT21" s="3"/>
      <c r="CU21" s="3"/>
      <c r="CV21" s="3"/>
      <c r="CW21" s="3"/>
      <c r="CX21" s="3"/>
      <c r="CY21" s="3"/>
      <c r="CZ21" s="3"/>
      <c r="DA21" s="3"/>
      <c r="DB21" s="3"/>
      <c r="DC21" s="3"/>
      <c r="DD21" s="3"/>
      <c r="DE21" s="3"/>
      <c r="DF21" s="3"/>
    </row>
    <row r="22" spans="1:110" ht="18.75" customHeight="1" x14ac:dyDescent="0.35">
      <c r="T22" s="60" t="s">
        <v>493</v>
      </c>
      <c r="U22" s="61" t="s">
        <v>301</v>
      </c>
      <c r="V22" s="60">
        <v>96.752179487179433</v>
      </c>
      <c r="W22" s="61">
        <v>24.4</v>
      </c>
      <c r="X22" s="61">
        <f>'CCCM Dashboard'!C27</f>
        <v>94</v>
      </c>
      <c r="Y22" s="432">
        <f>'CCCM Dashboard'!$D$27</f>
        <v>542</v>
      </c>
      <c r="Z22" s="62" t="str">
        <f t="shared" si="1"/>
        <v>3 cps</v>
      </c>
      <c r="AA22" s="188" t="e">
        <f>#REF!</f>
        <v>#REF!</v>
      </c>
      <c r="AB22" s="63">
        <v>0</v>
      </c>
      <c r="AC22" s="63">
        <v>0</v>
      </c>
      <c r="AD22" s="63">
        <v>0</v>
      </c>
      <c r="AE22" s="64">
        <f t="shared" si="2"/>
        <v>483</v>
      </c>
      <c r="AF22" s="65">
        <f t="shared" si="0"/>
        <v>133</v>
      </c>
      <c r="AG22" s="66">
        <f>'CCCM Dashboard'!E27</f>
        <v>2</v>
      </c>
      <c r="AI22" s="432">
        <f>'CCCM Dashboard'!$D$27</f>
        <v>542</v>
      </c>
      <c r="AJ22" s="457" t="e">
        <f>COUNTIFS('NFI Distributions'!$B$6:$B$279,"&gt;5/1/2017",'NFI Distributions'!$G$6:$G$366,Table58[[#This Row],[Township]])</f>
        <v>#VALUE!</v>
      </c>
      <c r="CY22" s="18"/>
      <c r="CZ22" s="19"/>
      <c r="DA22" s="19"/>
      <c r="DB22" s="19"/>
      <c r="DC22" s="19"/>
    </row>
    <row r="23" spans="1:110" ht="18.75" customHeight="1" x14ac:dyDescent="0.35">
      <c r="A23" s="29"/>
      <c r="B23" s="29"/>
      <c r="C23" s="29"/>
      <c r="D23" s="29"/>
      <c r="E23" s="29"/>
      <c r="F23" s="29"/>
      <c r="G23" s="29"/>
      <c r="H23" s="29"/>
      <c r="I23" s="29"/>
      <c r="J23" s="29"/>
      <c r="K23" s="29"/>
      <c r="L23" s="29"/>
      <c r="M23" s="29"/>
      <c r="N23" s="20"/>
      <c r="T23" s="67" t="s">
        <v>747</v>
      </c>
      <c r="U23" s="61" t="s">
        <v>746</v>
      </c>
      <c r="V23" s="60">
        <v>97.5</v>
      </c>
      <c r="W23" s="69">
        <v>26.5</v>
      </c>
      <c r="X23" s="61">
        <f>'CCCM Dashboard'!C28</f>
        <v>180</v>
      </c>
      <c r="Y23" s="431">
        <f>'CCCM Dashboard'!$D$28</f>
        <v>977</v>
      </c>
      <c r="Z23" s="62" t="str">
        <f t="shared" si="1"/>
        <v>2 cps</v>
      </c>
      <c r="AA23" s="188" t="e">
        <f>#REF!</f>
        <v>#REF!</v>
      </c>
      <c r="AB23" s="63"/>
      <c r="AC23" s="63"/>
      <c r="AD23" s="63"/>
      <c r="AE23" s="64">
        <f t="shared" si="2"/>
        <v>210</v>
      </c>
      <c r="AF23" s="65">
        <f t="shared" si="0"/>
        <v>230</v>
      </c>
      <c r="AG23" s="66">
        <f>'CCCM Dashboard'!E28</f>
        <v>3</v>
      </c>
      <c r="AI23" s="431">
        <f>'CCCM Dashboard'!$D$28</f>
        <v>977</v>
      </c>
      <c r="AJ23" s="457" t="e">
        <f>COUNTIFS('NFI Distributions'!$B$6:$B$279,"&gt;5/1/2017",'NFI Distributions'!$G$6:$G$366,Table58[[#This Row],[Township]])</f>
        <v>#VALUE!</v>
      </c>
      <c r="CY23" s="18"/>
      <c r="CZ23" s="19"/>
      <c r="DA23" s="19"/>
      <c r="DB23" s="19"/>
      <c r="DC23" s="19"/>
    </row>
    <row r="24" spans="1:110" ht="18.75" customHeight="1" x14ac:dyDescent="0.35">
      <c r="A24" s="29"/>
      <c r="B24" s="29"/>
      <c r="C24" s="29"/>
      <c r="D24" s="29"/>
      <c r="E24" s="29"/>
      <c r="F24" s="29"/>
      <c r="G24" s="29"/>
      <c r="H24" s="29"/>
      <c r="I24" s="29"/>
      <c r="J24" s="29"/>
      <c r="K24" s="29"/>
      <c r="L24" s="29"/>
      <c r="M24" s="29"/>
      <c r="N24" s="20"/>
      <c r="T24" s="295" t="s">
        <v>1134</v>
      </c>
      <c r="U24" s="296" t="s">
        <v>1135</v>
      </c>
      <c r="V24" s="297">
        <v>96.716553000000005</v>
      </c>
      <c r="W24" s="298">
        <v>26.357970999999999</v>
      </c>
      <c r="X24" s="61">
        <f>'CCCM Dashboard'!C29</f>
        <v>274</v>
      </c>
      <c r="Y24" s="432">
        <f>'CCCM Dashboard'!$D$29</f>
        <v>1110</v>
      </c>
      <c r="Z24" s="62" t="str">
        <f t="shared" si="1"/>
        <v>3 cps</v>
      </c>
      <c r="AA24" s="188" t="e">
        <f>#REF!</f>
        <v>#REF!</v>
      </c>
      <c r="AB24" s="299"/>
      <c r="AC24" s="299"/>
      <c r="AD24" s="299"/>
      <c r="AE24" s="300">
        <f>$S$3-ROUND((W24-$S$1)*$S$5,0)</f>
        <v>228</v>
      </c>
      <c r="AF24" s="301">
        <f t="shared" si="0"/>
        <v>128</v>
      </c>
      <c r="AG24" s="66">
        <f>'CCCM Dashboard'!E29</f>
        <v>3</v>
      </c>
      <c r="AI24" s="432">
        <f>'CCCM Dashboard'!$D$29</f>
        <v>1110</v>
      </c>
      <c r="AJ24" s="457" t="e">
        <f>COUNTIFS('NFI Distributions'!$B$6:$B$279,"&gt;5/1/2017",'NFI Distributions'!$G$6:$G$366,Table58[[#This Row],[Township]])</f>
        <v>#VALUE!</v>
      </c>
      <c r="CR24" s="138"/>
      <c r="CS24" s="138"/>
      <c r="CT24" s="138"/>
      <c r="CU24" s="138"/>
      <c r="CV24" s="138"/>
      <c r="CW24" s="138"/>
      <c r="CX24" s="138"/>
      <c r="CY24" s="18"/>
      <c r="CZ24" s="19"/>
      <c r="DA24" s="19"/>
      <c r="DB24" s="19"/>
      <c r="DC24" s="19"/>
      <c r="DD24" s="138"/>
      <c r="DE24" s="138"/>
      <c r="DF24" s="138"/>
    </row>
    <row r="25" spans="1:110" ht="18.75" customHeight="1" x14ac:dyDescent="0.35">
      <c r="A25" s="22"/>
      <c r="B25" s="22"/>
      <c r="C25" s="23"/>
      <c r="D25" s="23"/>
      <c r="E25" s="24"/>
      <c r="F25" s="24"/>
      <c r="G25" s="25"/>
      <c r="H25" s="26"/>
      <c r="I25" s="26"/>
      <c r="J25" s="26"/>
      <c r="K25" s="27"/>
      <c r="L25" s="28"/>
      <c r="M25" s="29"/>
      <c r="N25" s="20"/>
      <c r="T25" s="67" t="s">
        <v>485</v>
      </c>
      <c r="U25" s="61" t="s">
        <v>309</v>
      </c>
      <c r="V25" s="67">
        <v>97.8</v>
      </c>
      <c r="W25" s="61">
        <v>25.5</v>
      </c>
      <c r="X25" s="61">
        <f>'CCCM Dashboard'!C30</f>
        <v>4867</v>
      </c>
      <c r="Y25" s="431">
        <f>'CCCM Dashboard'!$D$30</f>
        <v>25409</v>
      </c>
      <c r="Z25" s="62" t="str">
        <f t="shared" si="1"/>
        <v>3 cps</v>
      </c>
      <c r="AA25" s="188" t="e">
        <f>#REF!</f>
        <v>#REF!</v>
      </c>
      <c r="AB25" s="63">
        <v>0.37372161553128791</v>
      </c>
      <c r="AC25" s="63">
        <v>0</v>
      </c>
      <c r="AD25" s="63">
        <v>4.6281851274050934E-2</v>
      </c>
      <c r="AE25" s="64">
        <f t="shared" si="2"/>
        <v>340</v>
      </c>
      <c r="AF25" s="65">
        <f t="shared" si="0"/>
        <v>269</v>
      </c>
      <c r="AG25" s="66">
        <f>'CCCM Dashboard'!E30</f>
        <v>24</v>
      </c>
      <c r="AI25" s="431">
        <f>'CCCM Dashboard'!$D$30</f>
        <v>25409</v>
      </c>
      <c r="AJ25" s="457" t="e">
        <f>COUNTIFS('NFI Distributions'!$B$6:$B$279,"&gt;5/1/2017",'NFI Distributions'!$G$6:$G$366,Table58[[#This Row],[Township]])</f>
        <v>#VALUE!</v>
      </c>
      <c r="CY25" s="18"/>
      <c r="CZ25" s="19"/>
      <c r="DA25" s="19"/>
      <c r="DB25" s="19"/>
      <c r="DC25" s="19"/>
    </row>
    <row r="26" spans="1:110" ht="18.75" customHeight="1" x14ac:dyDescent="0.35">
      <c r="T26" s="61"/>
      <c r="U26" s="61" t="s">
        <v>519</v>
      </c>
      <c r="V26" s="69" t="s">
        <v>521</v>
      </c>
      <c r="W26" s="69" t="s">
        <v>520</v>
      </c>
      <c r="X26" s="436">
        <f>SUBTOTAL(109,Table58[HS])</f>
        <v>20707</v>
      </c>
      <c r="Y26" s="436">
        <f>SUBTOTAL(109,Table58[Pop])</f>
        <v>105854</v>
      </c>
      <c r="Z26" s="62" t="str">
        <f>CONCATENATE(Table58[[#Totals],[Column1]]," camps")</f>
        <v>172 camps</v>
      </c>
      <c r="AA26" s="437" t="e">
        <f>SUMPRODUCT(Table58[Pop]*Table58[Coverage])/Table58[[#Totals],[Pop]]</f>
        <v>#REF!</v>
      </c>
      <c r="AB26" s="438">
        <f>SUMPRODUCT(Table58[Pop]*Table58[Hygiene])/Table58[[#Totals],[Pop]]</f>
        <v>0.25639646773020963</v>
      </c>
      <c r="AC26" s="438">
        <f>SUMPRODUCT(Table58[Pop]*Table58[Core])/Table58[[#Totals],[Pop]]</f>
        <v>0</v>
      </c>
      <c r="AD26" s="438">
        <f>SUMPRODUCT(Table58[Pop]*Table58[Sanitary])/Table58[[#Totals],[Pop]]</f>
        <v>0.2896420386416339</v>
      </c>
      <c r="AE26" s="439">
        <f>1000-ROUND((W26-23.5)*$S$5,0)</f>
        <v>545</v>
      </c>
      <c r="AF26" s="440">
        <f>ROUND((V26-96.5)*$S$5,0)+100</f>
        <v>35</v>
      </c>
      <c r="AG26" s="441">
        <f>SUBTOTAL(109,Table58[Column1])</f>
        <v>172</v>
      </c>
      <c r="CY26" s="18"/>
      <c r="DC26" s="1"/>
      <c r="DD26" s="12"/>
    </row>
    <row r="27" spans="1:110" ht="18.75" customHeight="1" x14ac:dyDescent="0.35">
      <c r="CY27" s="18"/>
      <c r="DC27" s="1"/>
      <c r="DD27" s="12"/>
    </row>
    <row r="28" spans="1:110" ht="18.75" customHeight="1" x14ac:dyDescent="0.35">
      <c r="P28" s="21"/>
      <c r="Q28" s="21"/>
      <c r="CY28" s="18"/>
      <c r="DC28" s="1"/>
      <c r="DD28" s="12"/>
    </row>
    <row r="29" spans="1:110" s="5" customFormat="1" ht="18.75" customHeight="1" x14ac:dyDescent="0.35">
      <c r="A29" s="3"/>
      <c r="B29" s="3"/>
      <c r="C29" s="3"/>
      <c r="D29" s="3"/>
      <c r="E29" s="3"/>
      <c r="F29" s="3"/>
      <c r="G29" s="3"/>
      <c r="H29" s="3"/>
      <c r="I29" s="3"/>
      <c r="J29" s="3"/>
      <c r="K29" s="3"/>
      <c r="L29" s="3"/>
      <c r="M29" s="3"/>
      <c r="N29" s="3"/>
      <c r="O29" s="3"/>
      <c r="P29" s="3"/>
      <c r="Q29" s="3"/>
      <c r="R29" s="3"/>
      <c r="S29" s="3"/>
      <c r="T29" s="50"/>
      <c r="U29" s="50"/>
      <c r="V29" s="50"/>
      <c r="W29" s="50"/>
      <c r="X29" s="50"/>
      <c r="Y29" s="50"/>
      <c r="Z29" s="50"/>
      <c r="AA29" s="50"/>
      <c r="AB29" s="50"/>
      <c r="AC29" s="50"/>
      <c r="AD29" s="50"/>
      <c r="AE29" s="50"/>
      <c r="AF29" s="50"/>
      <c r="AG29" s="50"/>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Y29" s="18"/>
      <c r="DC29" s="1"/>
      <c r="DD29" s="12"/>
    </row>
    <row r="30" spans="1:110" s="5" customFormat="1" ht="18.75" customHeight="1" x14ac:dyDescent="0.35">
      <c r="A30" s="3"/>
      <c r="B30" s="3"/>
      <c r="C30" s="3"/>
      <c r="D30" s="3"/>
      <c r="E30" s="3"/>
      <c r="F30" s="3"/>
      <c r="G30" s="3"/>
      <c r="H30" s="3"/>
      <c r="I30" s="3"/>
      <c r="J30" s="3"/>
      <c r="K30" s="3"/>
      <c r="L30" s="3"/>
      <c r="M30" s="3"/>
      <c r="N30" s="3"/>
      <c r="O30" s="3"/>
      <c r="P30" s="3"/>
      <c r="Q30" s="3"/>
      <c r="R30" s="3"/>
      <c r="S30" s="3"/>
      <c r="T30" s="50"/>
      <c r="U30" s="50"/>
      <c r="V30" s="50"/>
      <c r="W30" s="50"/>
      <c r="X30" s="50"/>
      <c r="Y30" s="50"/>
      <c r="Z30" s="50"/>
      <c r="AA30" s="50"/>
      <c r="AB30" s="50"/>
      <c r="AC30" s="50"/>
      <c r="AD30" s="50"/>
      <c r="AE30" s="50"/>
      <c r="AF30" s="50"/>
      <c r="AG30" s="50"/>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Y30" s="18"/>
      <c r="DC30" s="1"/>
      <c r="DD30" s="12"/>
    </row>
    <row r="31" spans="1:110" s="5" customFormat="1" ht="18.75" customHeight="1" x14ac:dyDescent="0.35">
      <c r="A31" s="3"/>
      <c r="B31" s="3"/>
      <c r="C31" s="3"/>
      <c r="D31" s="3"/>
      <c r="E31" s="3"/>
      <c r="F31" s="3"/>
      <c r="G31" s="3"/>
      <c r="H31" s="3"/>
      <c r="I31" s="3"/>
      <c r="J31" s="3"/>
      <c r="K31" s="3"/>
      <c r="L31" s="3"/>
      <c r="M31" s="3"/>
      <c r="N31" s="3"/>
      <c r="O31" s="3"/>
      <c r="P31" s="3"/>
      <c r="Q31" s="3"/>
      <c r="R31" s="3"/>
      <c r="S31" s="3"/>
      <c r="T31" s="50"/>
      <c r="U31" s="50"/>
      <c r="V31" s="50"/>
      <c r="W31" s="50"/>
      <c r="X31" s="50"/>
      <c r="Y31" s="50"/>
      <c r="Z31" s="50"/>
      <c r="AA31" s="50"/>
      <c r="AB31" s="50"/>
      <c r="AC31" s="50"/>
      <c r="AD31" s="50"/>
      <c r="AE31" s="50"/>
      <c r="AF31" s="50"/>
      <c r="AG31" s="50"/>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Y31" s="18"/>
      <c r="DC31" s="1"/>
      <c r="DD31" s="12"/>
    </row>
    <row r="32" spans="1:110" s="5" customFormat="1" ht="18.75" customHeight="1" x14ac:dyDescent="0.35">
      <c r="A32" s="3"/>
      <c r="B32" s="3"/>
      <c r="C32" s="3"/>
      <c r="D32" s="3"/>
      <c r="E32" s="3"/>
      <c r="F32" s="3"/>
      <c r="G32" s="3"/>
      <c r="H32" s="3"/>
      <c r="I32" s="3"/>
      <c r="J32" s="3"/>
      <c r="K32" s="3"/>
      <c r="L32" s="3"/>
      <c r="M32" s="3"/>
      <c r="N32" s="3"/>
      <c r="O32" s="3"/>
      <c r="P32" s="3"/>
      <c r="Q32" s="3"/>
      <c r="R32" s="3"/>
      <c r="S32" s="3"/>
      <c r="T32" s="50"/>
      <c r="U32" s="50"/>
      <c r="V32" s="50"/>
      <c r="W32" s="50"/>
      <c r="X32" s="50"/>
      <c r="Y32" s="50"/>
      <c r="Z32" s="50"/>
      <c r="AA32" s="50"/>
      <c r="AB32" s="50"/>
      <c r="AC32" s="50"/>
      <c r="AD32" s="50"/>
      <c r="AE32" s="50"/>
      <c r="AF32" s="50"/>
      <c r="AG32" s="50"/>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Y32" s="18"/>
      <c r="DC32" s="1"/>
      <c r="DD32" s="12"/>
    </row>
    <row r="33" spans="1:109" s="5" customFormat="1" ht="18.75" customHeight="1" x14ac:dyDescent="0.35">
      <c r="A33" s="3"/>
      <c r="B33" s="3"/>
      <c r="C33" s="3"/>
      <c r="D33" s="3"/>
      <c r="E33" s="3"/>
      <c r="F33" s="3"/>
      <c r="G33" s="3"/>
      <c r="H33" s="3"/>
      <c r="I33" s="3"/>
      <c r="J33" s="3"/>
      <c r="K33" s="3"/>
      <c r="L33" s="3"/>
      <c r="M33" s="3"/>
      <c r="N33" s="3"/>
      <c r="O33" s="3"/>
      <c r="P33" s="3"/>
      <c r="Q33" s="3"/>
      <c r="R33" s="3"/>
      <c r="S33" s="3"/>
      <c r="T33" s="50"/>
      <c r="U33" s="50"/>
      <c r="V33" s="50"/>
      <c r="W33" s="50"/>
      <c r="X33" s="50"/>
      <c r="Y33" s="50"/>
      <c r="Z33" s="50"/>
      <c r="AA33" s="50"/>
      <c r="AB33" s="50"/>
      <c r="AC33" s="50"/>
      <c r="AD33" s="50"/>
      <c r="AE33" s="50"/>
      <c r="AF33" s="50"/>
      <c r="AG33" s="50"/>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Y33" s="18"/>
      <c r="DC33" s="1"/>
      <c r="DD33" s="12"/>
    </row>
    <row r="34" spans="1:109" s="5" customFormat="1" ht="18.75" customHeight="1" x14ac:dyDescent="0.35">
      <c r="A34" s="3"/>
      <c r="B34" s="3"/>
      <c r="C34" s="3"/>
      <c r="D34" s="3"/>
      <c r="E34" s="3"/>
      <c r="F34" s="3"/>
      <c r="G34" s="3"/>
      <c r="H34" s="3"/>
      <c r="I34" s="3"/>
      <c r="J34" s="3"/>
      <c r="K34" s="3"/>
      <c r="L34" s="3"/>
      <c r="M34" s="3"/>
      <c r="N34" s="3"/>
      <c r="O34" s="3"/>
      <c r="P34" s="3"/>
      <c r="Q34" s="3"/>
      <c r="R34" s="3"/>
      <c r="S34" s="3"/>
      <c r="T34" s="50"/>
      <c r="U34" s="50"/>
      <c r="V34" s="50"/>
      <c r="W34" s="50"/>
      <c r="X34" s="50"/>
      <c r="Y34" s="50"/>
      <c r="Z34" s="50"/>
      <c r="AA34" s="50"/>
      <c r="AB34" s="50"/>
      <c r="AC34" s="50"/>
      <c r="AD34" s="50"/>
      <c r="AE34" s="50"/>
      <c r="AF34" s="50"/>
      <c r="AG34" s="50"/>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DC34" s="1"/>
      <c r="DD34" s="12"/>
    </row>
    <row r="35" spans="1:109" s="5" customFormat="1" ht="18.75" customHeight="1" x14ac:dyDescent="0.35">
      <c r="A35" s="3"/>
      <c r="B35" s="3"/>
      <c r="C35" s="3"/>
      <c r="D35" s="3"/>
      <c r="E35" s="3"/>
      <c r="F35" s="3"/>
      <c r="G35" s="3"/>
      <c r="H35" s="3"/>
      <c r="I35" s="3"/>
      <c r="J35" s="3"/>
      <c r="K35" s="3"/>
      <c r="L35" s="3"/>
      <c r="M35" s="3"/>
      <c r="N35" s="3"/>
      <c r="O35" s="3"/>
      <c r="P35" s="3"/>
      <c r="Q35" s="3"/>
      <c r="R35" s="3"/>
      <c r="S35" s="3"/>
      <c r="T35" s="50"/>
      <c r="U35" s="50"/>
      <c r="V35" s="50"/>
      <c r="W35" s="50"/>
      <c r="X35" s="50"/>
      <c r="Y35" s="50"/>
      <c r="Z35" s="50"/>
      <c r="AA35" s="50"/>
      <c r="AB35" s="50"/>
      <c r="AC35" s="50"/>
      <c r="AD35" s="50"/>
      <c r="AE35" s="50"/>
      <c r="AF35" s="50"/>
      <c r="AG35" s="50"/>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DC35" s="1"/>
      <c r="DD35" s="12"/>
    </row>
    <row r="36" spans="1:109" s="5" customFormat="1" ht="18.75" customHeight="1" x14ac:dyDescent="0.35">
      <c r="A36" s="3"/>
      <c r="B36" s="3"/>
      <c r="C36" s="3"/>
      <c r="D36" s="3"/>
      <c r="E36" s="3"/>
      <c r="F36" s="3"/>
      <c r="G36" s="3"/>
      <c r="H36" s="3"/>
      <c r="I36" s="3"/>
      <c r="J36" s="3"/>
      <c r="K36" s="3"/>
      <c r="L36" s="3"/>
      <c r="M36" s="3"/>
      <c r="N36" s="3"/>
      <c r="O36" s="3"/>
      <c r="P36" s="3"/>
      <c r="Q36" s="3"/>
      <c r="R36" s="3"/>
      <c r="S36" s="3"/>
      <c r="T36" s="50"/>
      <c r="U36" s="50"/>
      <c r="V36" s="50"/>
      <c r="W36" s="50"/>
      <c r="X36" s="50"/>
      <c r="Y36" s="50"/>
      <c r="Z36" s="50"/>
      <c r="AA36" s="50">
        <v>24215</v>
      </c>
      <c r="AB36" s="50"/>
      <c r="AC36" s="50"/>
      <c r="AD36" s="50"/>
      <c r="AE36" s="50"/>
      <c r="AF36" s="50"/>
      <c r="AG36" s="50"/>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DC36" s="1"/>
      <c r="DD36" s="12"/>
    </row>
    <row r="37" spans="1:109" s="5" customFormat="1" ht="18.75" customHeight="1" x14ac:dyDescent="0.35">
      <c r="A37" s="3"/>
      <c r="B37" s="3"/>
      <c r="C37" s="3"/>
      <c r="D37" s="3"/>
      <c r="E37" s="3"/>
      <c r="F37" s="3"/>
      <c r="G37" s="3"/>
      <c r="H37" s="3"/>
      <c r="I37" s="3"/>
      <c r="J37" s="3"/>
      <c r="K37" s="3"/>
      <c r="L37" s="3"/>
      <c r="M37" s="3"/>
      <c r="N37" s="3"/>
      <c r="O37" s="3"/>
      <c r="P37" s="3"/>
      <c r="Q37" s="3"/>
      <c r="R37" s="3"/>
      <c r="S37" s="3"/>
      <c r="T37" s="50"/>
      <c r="U37" s="50"/>
      <c r="V37" s="50"/>
      <c r="W37" s="50"/>
      <c r="X37" s="50"/>
      <c r="Y37" s="50"/>
      <c r="Z37" s="50"/>
      <c r="AA37" s="50"/>
      <c r="AB37" s="50"/>
      <c r="AC37" s="50"/>
      <c r="AD37" s="50"/>
      <c r="AE37" s="50"/>
      <c r="AF37" s="50"/>
      <c r="AG37" s="50"/>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DC37" s="1"/>
      <c r="DD37" s="12"/>
    </row>
    <row r="38" spans="1:109" s="5" customFormat="1" ht="18.75" customHeight="1" x14ac:dyDescent="0.35">
      <c r="A38" s="3"/>
      <c r="B38" s="3"/>
      <c r="C38" s="3"/>
      <c r="D38" s="3"/>
      <c r="E38" s="3"/>
      <c r="F38" s="3"/>
      <c r="G38" s="3"/>
      <c r="H38" s="3"/>
      <c r="I38" s="3"/>
      <c r="J38" s="3"/>
      <c r="K38" s="3"/>
      <c r="L38" s="3"/>
      <c r="M38" s="3"/>
      <c r="N38" s="3"/>
      <c r="O38" s="3"/>
      <c r="P38" s="3"/>
      <c r="Q38" s="3"/>
      <c r="R38" s="3"/>
      <c r="S38" s="3"/>
      <c r="T38" s="50"/>
      <c r="U38" s="50"/>
      <c r="V38" s="50"/>
      <c r="W38" s="50"/>
      <c r="X38" s="50"/>
      <c r="Y38" s="50"/>
      <c r="Z38" s="50"/>
      <c r="AA38" s="50"/>
      <c r="AB38" s="50"/>
      <c r="AC38" s="50"/>
      <c r="AD38" s="50"/>
      <c r="AE38" s="50"/>
      <c r="AF38" s="50"/>
      <c r="AG38" s="50"/>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DC38" s="1"/>
      <c r="DD38" s="12"/>
    </row>
    <row r="39" spans="1:109" s="5" customFormat="1" ht="18.75" customHeight="1" x14ac:dyDescent="0.35">
      <c r="A39" s="3"/>
      <c r="B39" s="3"/>
      <c r="C39" s="3"/>
      <c r="D39" s="3"/>
      <c r="E39" s="3"/>
      <c r="F39" s="3"/>
      <c r="G39" s="3"/>
      <c r="H39" s="3"/>
      <c r="I39" s="3"/>
      <c r="J39" s="3"/>
      <c r="K39" s="3"/>
      <c r="L39" s="3"/>
      <c r="M39" s="3"/>
      <c r="N39" s="3"/>
      <c r="O39" s="3"/>
      <c r="P39" s="3"/>
      <c r="Q39" s="3"/>
      <c r="R39" s="3"/>
      <c r="S39" s="3"/>
      <c r="T39" s="50"/>
      <c r="U39" s="50"/>
      <c r="V39" s="50"/>
      <c r="W39" s="50"/>
      <c r="X39" s="50"/>
      <c r="Y39" s="50"/>
      <c r="Z39" s="50"/>
      <c r="AA39" s="50"/>
      <c r="AB39" s="50"/>
      <c r="AC39" s="50"/>
      <c r="AD39" s="50"/>
      <c r="AE39" s="50"/>
      <c r="AF39" s="50"/>
      <c r="AG39" s="50"/>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DC39" s="1"/>
      <c r="DD39" s="12"/>
    </row>
    <row r="40" spans="1:109" s="5" customFormat="1" ht="18.75" customHeight="1" x14ac:dyDescent="0.35">
      <c r="A40" s="3"/>
      <c r="B40" s="3"/>
      <c r="C40" s="3"/>
      <c r="D40" s="3"/>
      <c r="E40" s="3"/>
      <c r="F40" s="3"/>
      <c r="G40" s="3"/>
      <c r="H40" s="3"/>
      <c r="I40" s="3"/>
      <c r="J40" s="3"/>
      <c r="K40" s="3"/>
      <c r="L40" s="3"/>
      <c r="M40" s="3"/>
      <c r="N40" s="3"/>
      <c r="O40" s="3"/>
      <c r="P40" s="3"/>
      <c r="Q40" s="3"/>
      <c r="R40" s="3"/>
      <c r="S40" s="3"/>
      <c r="T40" s="50"/>
      <c r="U40" s="50"/>
      <c r="V40" s="50"/>
      <c r="W40" s="50"/>
      <c r="X40" s="50"/>
      <c r="Y40" s="50"/>
      <c r="Z40" s="50"/>
      <c r="AA40" s="50"/>
      <c r="AB40" s="50"/>
      <c r="AC40" s="50"/>
      <c r="AD40" s="50"/>
      <c r="AE40" s="50"/>
      <c r="AF40" s="50"/>
      <c r="AG40" s="50"/>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DC40" s="1"/>
      <c r="DD40" s="12"/>
    </row>
    <row r="41" spans="1:109" s="5" customFormat="1" ht="18.75" customHeight="1" x14ac:dyDescent="0.35">
      <c r="A41" s="3"/>
      <c r="B41" s="3"/>
      <c r="C41" s="3"/>
      <c r="D41" s="3"/>
      <c r="E41" s="3"/>
      <c r="F41" s="3"/>
      <c r="G41" s="3"/>
      <c r="H41" s="3"/>
      <c r="I41" s="3"/>
      <c r="J41" s="3"/>
      <c r="K41" s="3"/>
      <c r="L41" s="3"/>
      <c r="M41" s="3"/>
      <c r="N41" s="3"/>
      <c r="O41" s="3"/>
      <c r="P41" s="3"/>
      <c r="Q41" s="3"/>
      <c r="R41" s="3"/>
      <c r="S41" s="3"/>
      <c r="T41" s="50"/>
      <c r="U41" s="50"/>
      <c r="V41" s="50"/>
      <c r="W41" s="50"/>
      <c r="X41" s="50"/>
      <c r="Y41" s="50"/>
      <c r="Z41" s="50"/>
      <c r="AA41" s="50"/>
      <c r="AB41" s="50"/>
      <c r="AC41" s="50"/>
      <c r="AD41" s="50"/>
      <c r="AE41" s="50"/>
      <c r="AF41" s="50"/>
      <c r="AG41" s="50"/>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DC41" s="1"/>
      <c r="DD41" s="12"/>
    </row>
    <row r="42" spans="1:109" s="5" customFormat="1" ht="18.75" customHeight="1" x14ac:dyDescent="0.35">
      <c r="A42" s="3"/>
      <c r="B42" s="3"/>
      <c r="C42" s="3"/>
      <c r="D42" s="3"/>
      <c r="E42" s="3"/>
      <c r="F42" s="3"/>
      <c r="G42" s="3"/>
      <c r="H42" s="3"/>
      <c r="I42" s="3"/>
      <c r="J42" s="3"/>
      <c r="K42" s="3"/>
      <c r="L42" s="3"/>
      <c r="M42" s="3"/>
      <c r="N42" s="3"/>
      <c r="O42" s="3"/>
      <c r="P42" s="3"/>
      <c r="Q42" s="3"/>
      <c r="R42" s="3"/>
      <c r="S42" s="3"/>
      <c r="T42" s="50"/>
      <c r="U42" s="50"/>
      <c r="V42" s="50"/>
      <c r="W42" s="50"/>
      <c r="X42" s="50"/>
      <c r="Y42" s="50"/>
      <c r="Z42" s="50"/>
      <c r="AA42" s="50"/>
      <c r="AB42" s="50"/>
      <c r="AC42" s="50"/>
      <c r="AD42" s="50"/>
      <c r="AE42" s="50"/>
      <c r="AF42" s="50"/>
      <c r="AG42" s="50"/>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DC42" s="1"/>
      <c r="DD42" s="12"/>
    </row>
    <row r="43" spans="1:109" s="5" customFormat="1" ht="18.75" customHeight="1" x14ac:dyDescent="0.35">
      <c r="A43" s="3"/>
      <c r="B43" s="3"/>
      <c r="C43" s="3"/>
      <c r="D43" s="3"/>
      <c r="E43" s="3"/>
      <c r="F43" s="3"/>
      <c r="G43" s="3"/>
      <c r="H43" s="3"/>
      <c r="I43" s="3"/>
      <c r="J43" s="3"/>
      <c r="K43" s="3"/>
      <c r="L43" s="3"/>
      <c r="M43" s="3"/>
      <c r="N43" s="3"/>
      <c r="O43" s="3"/>
      <c r="P43" s="3"/>
      <c r="Q43" s="3"/>
      <c r="R43" s="3"/>
      <c r="S43" s="3"/>
      <c r="T43" s="50"/>
      <c r="U43" s="50"/>
      <c r="V43" s="50"/>
      <c r="W43" s="50"/>
      <c r="X43" s="50"/>
      <c r="Y43" s="50"/>
      <c r="Z43" s="50"/>
      <c r="AA43" s="50"/>
      <c r="AB43" s="50"/>
      <c r="AC43" s="50"/>
      <c r="AD43" s="50"/>
      <c r="AE43" s="50"/>
      <c r="AF43" s="50"/>
      <c r="AG43" s="50"/>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DC43" s="1"/>
      <c r="DD43" s="12"/>
    </row>
    <row r="44" spans="1:109" s="5" customFormat="1" ht="18.75" customHeight="1" x14ac:dyDescent="0.35">
      <c r="A44" s="3"/>
      <c r="B44" s="3"/>
      <c r="C44" s="3"/>
      <c r="D44" s="3"/>
      <c r="E44" s="3"/>
      <c r="F44" s="3"/>
      <c r="G44" s="3"/>
      <c r="H44" s="3"/>
      <c r="I44" s="3"/>
      <c r="J44" s="3"/>
      <c r="K44" s="3"/>
      <c r="L44" s="3"/>
      <c r="M44" s="3"/>
      <c r="N44" s="3"/>
      <c r="O44" s="3"/>
      <c r="P44" s="3"/>
      <c r="Q44" s="3"/>
      <c r="R44" s="3"/>
      <c r="S44" s="3"/>
      <c r="T44" s="50"/>
      <c r="U44" s="50"/>
      <c r="V44" s="50"/>
      <c r="W44" s="50"/>
      <c r="X44" s="50"/>
      <c r="Y44" s="50"/>
      <c r="Z44" s="50"/>
      <c r="AA44" s="50"/>
      <c r="AB44" s="50"/>
      <c r="AC44" s="50"/>
      <c r="AD44" s="50"/>
      <c r="AE44" s="50"/>
      <c r="AF44" s="50"/>
      <c r="AG44" s="50"/>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DC44" s="1"/>
      <c r="DD44" s="12"/>
    </row>
    <row r="45" spans="1:109" s="5" customFormat="1" ht="18.75" customHeight="1" x14ac:dyDescent="0.35">
      <c r="A45" s="3"/>
      <c r="B45" s="3"/>
      <c r="C45" s="3"/>
      <c r="D45" s="3"/>
      <c r="E45" s="3"/>
      <c r="F45" s="3"/>
      <c r="G45" s="3"/>
      <c r="H45" s="3"/>
      <c r="I45" s="3"/>
      <c r="J45" s="3"/>
      <c r="K45" s="3"/>
      <c r="L45" s="3"/>
      <c r="M45" s="3"/>
      <c r="N45" s="3"/>
      <c r="O45" s="3"/>
      <c r="P45" s="3"/>
      <c r="Q45" s="3"/>
      <c r="R45" s="3"/>
      <c r="S45" s="3"/>
      <c r="T45" s="50"/>
      <c r="U45" s="50"/>
      <c r="V45" s="50"/>
      <c r="W45" s="50"/>
      <c r="X45" s="50"/>
      <c r="Y45" s="50"/>
      <c r="Z45" s="50"/>
      <c r="AA45" s="50"/>
      <c r="AB45" s="50"/>
      <c r="AC45" s="50"/>
      <c r="AD45" s="50"/>
      <c r="AE45" s="50"/>
      <c r="AF45" s="50"/>
      <c r="AG45" s="50"/>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DC45" s="1"/>
      <c r="DD45" s="12"/>
    </row>
    <row r="46" spans="1:109" s="5" customFormat="1" ht="18.75" customHeight="1" x14ac:dyDescent="0.35">
      <c r="A46" s="3"/>
      <c r="B46" s="3"/>
      <c r="C46" s="3"/>
      <c r="D46" s="3"/>
      <c r="E46" s="3"/>
      <c r="F46" s="3"/>
      <c r="G46" s="3"/>
      <c r="H46" s="3"/>
      <c r="I46" s="3"/>
      <c r="J46" s="3"/>
      <c r="K46" s="3"/>
      <c r="L46" s="3"/>
      <c r="M46" s="3"/>
      <c r="N46" s="3"/>
      <c r="O46" s="3"/>
      <c r="P46" s="3"/>
      <c r="Q46" s="3"/>
      <c r="R46" s="3"/>
      <c r="S46" s="3"/>
      <c r="T46" s="50"/>
      <c r="U46" s="50"/>
      <c r="V46" s="50"/>
      <c r="W46" s="50"/>
      <c r="X46" s="50"/>
      <c r="Y46" s="50"/>
      <c r="Z46" s="50"/>
      <c r="AA46" s="50"/>
      <c r="AB46" s="50"/>
      <c r="AC46" s="50"/>
      <c r="AD46" s="50"/>
      <c r="AE46" s="50"/>
      <c r="AF46" s="50"/>
      <c r="AG46" s="50"/>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DC46" s="1"/>
      <c r="DD46" s="12"/>
    </row>
    <row r="47" spans="1:109" s="5" customFormat="1" ht="12" customHeight="1" x14ac:dyDescent="0.35">
      <c r="A47" s="3"/>
      <c r="B47" s="3"/>
      <c r="C47" s="3"/>
      <c r="D47" s="3"/>
      <c r="E47" s="3"/>
      <c r="F47" s="3"/>
      <c r="G47" s="3"/>
      <c r="H47" s="3"/>
      <c r="I47" s="3"/>
      <c r="J47" s="3"/>
      <c r="K47" s="3"/>
      <c r="L47" s="3"/>
      <c r="M47" s="3"/>
      <c r="N47" s="3"/>
      <c r="O47" s="3"/>
      <c r="P47" s="3"/>
      <c r="Q47" s="3"/>
      <c r="R47" s="3"/>
      <c r="S47" s="3"/>
      <c r="T47" s="50"/>
      <c r="U47" s="50"/>
      <c r="V47" s="50"/>
      <c r="W47" s="50"/>
      <c r="X47" s="50"/>
      <c r="Y47" s="50"/>
      <c r="Z47" s="50"/>
      <c r="AA47" s="50"/>
      <c r="AB47" s="50"/>
      <c r="AC47" s="50"/>
      <c r="AD47" s="50"/>
      <c r="AE47" s="50"/>
      <c r="AF47" s="50"/>
      <c r="AG47" s="50"/>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DC47" s="1"/>
      <c r="DD47" s="12"/>
    </row>
    <row r="48" spans="1:109" s="5" customFormat="1" ht="12" customHeight="1" x14ac:dyDescent="0.35">
      <c r="A48" s="3"/>
      <c r="B48" s="3"/>
      <c r="C48" s="3"/>
      <c r="D48" s="3"/>
      <c r="E48" s="3"/>
      <c r="F48" s="3"/>
      <c r="G48" s="3"/>
      <c r="H48" s="3"/>
      <c r="I48" s="3"/>
      <c r="J48" s="3"/>
      <c r="K48" s="3"/>
      <c r="L48" s="3"/>
      <c r="M48" s="3"/>
      <c r="N48" s="3"/>
      <c r="O48" s="3"/>
      <c r="P48" s="3"/>
      <c r="Q48" s="3"/>
      <c r="R48" s="3"/>
      <c r="S48" s="3"/>
      <c r="T48" s="50"/>
      <c r="U48" s="50"/>
      <c r="V48" s="50"/>
      <c r="W48" s="50"/>
      <c r="X48" s="50"/>
      <c r="Y48" s="50"/>
      <c r="Z48" s="50"/>
      <c r="AA48" s="50"/>
      <c r="AB48" s="50"/>
      <c r="AC48" s="50"/>
      <c r="AD48" s="50"/>
      <c r="AE48" s="50"/>
      <c r="AF48" s="50"/>
      <c r="AG48" s="50"/>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DC48" s="1"/>
      <c r="DD48" s="12"/>
      <c r="DE48" s="12"/>
    </row>
    <row r="49" spans="1:109" s="5" customFormat="1" ht="12" customHeight="1" x14ac:dyDescent="0.35">
      <c r="A49" s="3"/>
      <c r="B49" s="3"/>
      <c r="C49" s="3"/>
      <c r="D49" s="3"/>
      <c r="E49" s="3"/>
      <c r="F49" s="3"/>
      <c r="G49" s="3"/>
      <c r="H49" s="3"/>
      <c r="I49" s="3"/>
      <c r="J49" s="3"/>
      <c r="K49" s="3"/>
      <c r="L49" s="3"/>
      <c r="M49" s="3"/>
      <c r="N49" s="3"/>
      <c r="O49" s="3"/>
      <c r="P49" s="3"/>
      <c r="Q49" s="3"/>
      <c r="R49" s="3"/>
      <c r="S49" s="3"/>
      <c r="T49" s="50"/>
      <c r="U49" s="50"/>
      <c r="V49" s="50"/>
      <c r="W49" s="50"/>
      <c r="X49" s="50"/>
      <c r="Y49" s="50"/>
      <c r="Z49" s="50"/>
      <c r="AA49" s="50"/>
      <c r="AB49" s="50"/>
      <c r="AC49" s="50"/>
      <c r="AD49" s="50"/>
      <c r="AE49" s="50"/>
      <c r="AF49" s="50"/>
      <c r="AG49" s="50"/>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DC49" s="1"/>
      <c r="DD49" s="12"/>
      <c r="DE49" s="12"/>
    </row>
    <row r="50" spans="1:109" s="5" customFormat="1" ht="12" customHeight="1" x14ac:dyDescent="0.35">
      <c r="A50" s="3"/>
      <c r="B50" s="3"/>
      <c r="C50" s="3"/>
      <c r="D50" s="3"/>
      <c r="E50" s="3"/>
      <c r="F50" s="3"/>
      <c r="G50" s="3"/>
      <c r="H50" s="3"/>
      <c r="I50" s="3"/>
      <c r="J50" s="3"/>
      <c r="K50" s="3"/>
      <c r="L50" s="3"/>
      <c r="M50" s="3"/>
      <c r="N50" s="3"/>
      <c r="O50" s="3"/>
      <c r="P50" s="3"/>
      <c r="Q50" s="3"/>
      <c r="R50" s="3"/>
      <c r="S50" s="3"/>
      <c r="T50" s="50"/>
      <c r="U50" s="50"/>
      <c r="V50" s="50"/>
      <c r="W50" s="50"/>
      <c r="X50" s="50"/>
      <c r="Y50" s="50"/>
      <c r="Z50" s="50"/>
      <c r="AA50" s="50"/>
      <c r="AB50" s="50"/>
      <c r="AC50" s="50"/>
      <c r="AD50" s="50"/>
      <c r="AE50" s="50"/>
      <c r="AF50" s="50"/>
      <c r="AG50" s="50"/>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DC50" s="1"/>
      <c r="DD50" s="12"/>
      <c r="DE50" s="12"/>
    </row>
    <row r="51" spans="1:109" s="5" customFormat="1" ht="12" customHeight="1" x14ac:dyDescent="0.35">
      <c r="A51" s="3"/>
      <c r="B51" s="3"/>
      <c r="C51" s="3"/>
      <c r="D51" s="3"/>
      <c r="E51" s="3"/>
      <c r="F51" s="3"/>
      <c r="G51" s="3"/>
      <c r="H51" s="3"/>
      <c r="I51" s="3"/>
      <c r="J51" s="3"/>
      <c r="K51" s="3"/>
      <c r="L51" s="3"/>
      <c r="M51" s="3"/>
      <c r="N51" s="3"/>
      <c r="O51" s="3"/>
      <c r="P51" s="3"/>
      <c r="Q51" s="3"/>
      <c r="R51" s="3"/>
      <c r="S51" s="3"/>
      <c r="T51" s="50"/>
      <c r="U51" s="50"/>
      <c r="V51" s="50"/>
      <c r="W51" s="50"/>
      <c r="X51" s="50"/>
      <c r="Y51" s="50"/>
      <c r="Z51" s="50"/>
      <c r="AA51" s="50"/>
      <c r="AB51" s="50"/>
      <c r="AC51" s="50"/>
      <c r="AD51" s="50"/>
      <c r="AE51" s="50"/>
      <c r="AF51" s="50"/>
      <c r="AG51" s="50"/>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DC51" s="1"/>
      <c r="DD51" s="12"/>
      <c r="DE51" s="12"/>
    </row>
    <row r="52" spans="1:109" s="5" customFormat="1" ht="12" customHeight="1" x14ac:dyDescent="0.35">
      <c r="A52" s="3"/>
      <c r="B52" s="3"/>
      <c r="C52" s="3"/>
      <c r="D52" s="3"/>
      <c r="E52" s="3"/>
      <c r="F52" s="3"/>
      <c r="G52" s="3"/>
      <c r="H52" s="3"/>
      <c r="I52" s="3"/>
      <c r="J52" s="3"/>
      <c r="K52" s="3"/>
      <c r="L52" s="3"/>
      <c r="M52" s="3"/>
      <c r="N52" s="3"/>
      <c r="O52" s="3"/>
      <c r="P52" s="3"/>
      <c r="Q52" s="3"/>
      <c r="R52" s="3"/>
      <c r="S52" s="3"/>
      <c r="T52" s="50"/>
      <c r="U52" s="50"/>
      <c r="V52" s="50"/>
      <c r="W52" s="50"/>
      <c r="X52" s="50"/>
      <c r="Y52" s="50"/>
      <c r="Z52" s="50"/>
      <c r="AA52" s="50"/>
      <c r="AB52" s="50"/>
      <c r="AC52" s="50"/>
      <c r="AD52" s="50"/>
      <c r="AE52" s="50"/>
      <c r="AF52" s="50"/>
      <c r="AG52" s="50"/>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DC52" s="1"/>
      <c r="DD52" s="12"/>
      <c r="DE52" s="12"/>
    </row>
    <row r="53" spans="1:109" s="5" customFormat="1" ht="12" customHeight="1" x14ac:dyDescent="0.35">
      <c r="A53" s="3"/>
      <c r="B53" s="3"/>
      <c r="C53" s="3"/>
      <c r="D53" s="3"/>
      <c r="E53" s="3"/>
      <c r="F53" s="3"/>
      <c r="G53" s="3"/>
      <c r="H53" s="3"/>
      <c r="I53" s="3"/>
      <c r="J53" s="3"/>
      <c r="K53" s="3"/>
      <c r="L53" s="3"/>
      <c r="M53" s="3"/>
      <c r="N53" s="3"/>
      <c r="O53" s="3"/>
      <c r="P53" s="3"/>
      <c r="Q53" s="3"/>
      <c r="R53" s="3"/>
      <c r="S53" s="3"/>
      <c r="T53" s="50"/>
      <c r="U53" s="50"/>
      <c r="V53" s="50"/>
      <c r="W53" s="50"/>
      <c r="X53" s="50"/>
      <c r="Y53" s="50"/>
      <c r="Z53" s="50"/>
      <c r="AA53" s="50"/>
      <c r="AB53" s="50"/>
      <c r="AC53" s="50"/>
      <c r="AD53" s="50"/>
      <c r="AE53" s="50"/>
      <c r="AF53" s="50"/>
      <c r="AG53" s="50"/>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DC53" s="1"/>
      <c r="DD53" s="12"/>
      <c r="DE53" s="12"/>
    </row>
    <row r="54" spans="1:109" s="5" customFormat="1" ht="12" customHeight="1" x14ac:dyDescent="0.35">
      <c r="A54" s="3"/>
      <c r="B54" s="3"/>
      <c r="C54" s="3"/>
      <c r="D54" s="3"/>
      <c r="E54" s="3"/>
      <c r="F54" s="3"/>
      <c r="G54" s="3"/>
      <c r="H54" s="3"/>
      <c r="I54" s="3"/>
      <c r="J54" s="3"/>
      <c r="K54" s="3"/>
      <c r="L54" s="3"/>
      <c r="M54" s="3"/>
      <c r="N54" s="3"/>
      <c r="O54" s="3"/>
      <c r="P54" s="3"/>
      <c r="Q54" s="3"/>
      <c r="R54" s="3"/>
      <c r="S54" s="3"/>
      <c r="T54" s="50"/>
      <c r="U54" s="50"/>
      <c r="V54" s="50"/>
      <c r="W54" s="50"/>
      <c r="X54" s="50"/>
      <c r="Y54" s="50"/>
      <c r="Z54" s="50"/>
      <c r="AA54" s="50"/>
      <c r="AB54" s="50"/>
      <c r="AC54" s="50"/>
      <c r="AD54" s="50"/>
      <c r="AE54" s="50"/>
      <c r="AF54" s="50"/>
      <c r="AG54" s="50"/>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DC54" s="1"/>
      <c r="DD54" s="12"/>
      <c r="DE54" s="12"/>
    </row>
  </sheetData>
  <dataConsolidate link="1"/>
  <conditionalFormatting sqref="H25:K25 AA3:AD26">
    <cfRule type="cellIs" dxfId="1183" priority="1" operator="between">
      <formula>0.4</formula>
      <formula>0.6</formula>
    </cfRule>
    <cfRule type="cellIs" dxfId="1182" priority="2" operator="greaterThan">
      <formula>0.8</formula>
    </cfRule>
    <cfRule type="cellIs" dxfId="1181" priority="3" operator="between">
      <formula>0.6</formula>
      <formula>0.8</formula>
    </cfRule>
    <cfRule type="cellIs" dxfId="1180" priority="4" operator="between">
      <formula>0.2</formula>
      <formula>0.4</formula>
    </cfRule>
    <cfRule type="cellIs" dxfId="1179"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2"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30</xdr:col>
                <xdr:colOff>238125</xdr:colOff>
                <xdr:row>44</xdr:row>
                <xdr:rowOff>161925</xdr:rowOff>
              </from>
              <to>
                <xdr:col>31</xdr:col>
                <xdr:colOff>0</xdr:colOff>
                <xdr:row>45</xdr:row>
                <xdr:rowOff>152400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31</xdr:col>
                <xdr:colOff>238125</xdr:colOff>
                <xdr:row>44</xdr:row>
                <xdr:rowOff>152400</xdr:rowOff>
              </from>
              <to>
                <xdr:col>31</xdr:col>
                <xdr:colOff>762000</xdr:colOff>
                <xdr:row>45</xdr:row>
                <xdr:rowOff>142875</xdr:rowOff>
              </to>
            </anchor>
          </controlPr>
        </control>
      </mc:Choice>
    </mc:AlternateContent>
    <mc:AlternateContent xmlns:mc="http://schemas.openxmlformats.org/markup-compatibility/2006">
      <mc:Choice Requires="x14">
        <control shapeId="64516" r:id="rId9" name="Label 4">
          <controlPr defaultSize="0" autoFill="0" autoLine="0" autoPict="0" altText="25,000">
            <anchor moveWithCells="1" sizeWithCells="1">
              <from>
                <xdr:col>32</xdr:col>
                <xdr:colOff>495300</xdr:colOff>
                <xdr:row>44</xdr:row>
                <xdr:rowOff>180975</xdr:rowOff>
              </from>
              <to>
                <xdr:col>33</xdr:col>
                <xdr:colOff>142875</xdr:colOff>
                <xdr:row>45</xdr:row>
                <xdr:rowOff>161925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31</xdr:col>
                <xdr:colOff>76200</xdr:colOff>
                <xdr:row>39</xdr:row>
                <xdr:rowOff>200025</xdr:rowOff>
              </from>
              <to>
                <xdr:col>32</xdr:col>
                <xdr:colOff>609600</xdr:colOff>
                <xdr:row>40</xdr:row>
                <xdr:rowOff>190500</xdr:rowOff>
              </to>
            </anchor>
          </controlPr>
        </control>
      </mc:Choice>
    </mc:AlternateContent>
  </controls>
  <tableParts count="1">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G131"/>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20.85546875" bestFit="1" customWidth="1"/>
    <col min="6" max="6" width="10.7109375" bestFit="1" customWidth="1"/>
    <col min="7" max="7" width="9.85546875" bestFit="1" customWidth="1"/>
    <col min="8" max="9" width="9.28515625" bestFit="1" customWidth="1"/>
  </cols>
  <sheetData>
    <row r="1" spans="1:7" x14ac:dyDescent="0.25">
      <c r="A1" s="139" t="s">
        <v>458</v>
      </c>
      <c r="B1" s="305" t="s">
        <v>775</v>
      </c>
    </row>
    <row r="3" spans="1:7" x14ac:dyDescent="0.25">
      <c r="A3" s="139" t="s">
        <v>507</v>
      </c>
      <c r="B3" s="139" t="s">
        <v>943</v>
      </c>
      <c r="C3" s="139" t="s">
        <v>1</v>
      </c>
      <c r="D3" s="139" t="s">
        <v>457</v>
      </c>
      <c r="E3" s="139" t="s">
        <v>944</v>
      </c>
      <c r="F3" s="305" t="s">
        <v>945</v>
      </c>
      <c r="G3" s="305" t="s">
        <v>788</v>
      </c>
    </row>
    <row r="4" spans="1:7" x14ac:dyDescent="0.25">
      <c r="A4" s="305" t="s">
        <v>128</v>
      </c>
      <c r="B4" s="305" t="s">
        <v>127</v>
      </c>
      <c r="C4" s="305">
        <v>96.359549999999999</v>
      </c>
      <c r="D4" s="305" t="s">
        <v>464</v>
      </c>
      <c r="E4" s="305" t="s">
        <v>787</v>
      </c>
      <c r="F4" s="133">
        <v>0</v>
      </c>
      <c r="G4" s="133">
        <v>0</v>
      </c>
    </row>
    <row r="5" spans="1:7" x14ac:dyDescent="0.25">
      <c r="A5" s="305" t="s">
        <v>62</v>
      </c>
      <c r="B5" s="305" t="s">
        <v>61</v>
      </c>
      <c r="C5" s="305">
        <v>96.355270000000004</v>
      </c>
      <c r="D5" s="305" t="s">
        <v>464</v>
      </c>
      <c r="E5" s="305" t="s">
        <v>424</v>
      </c>
      <c r="F5" s="133"/>
      <c r="G5" s="133"/>
    </row>
    <row r="6" spans="1:7" x14ac:dyDescent="0.25">
      <c r="A6" s="305" t="s">
        <v>39</v>
      </c>
      <c r="B6" s="305" t="s">
        <v>38</v>
      </c>
      <c r="C6" s="305" t="s">
        <v>787</v>
      </c>
      <c r="D6" s="305" t="s">
        <v>464</v>
      </c>
      <c r="E6" s="305" t="s">
        <v>787</v>
      </c>
      <c r="F6" s="133"/>
      <c r="G6" s="133"/>
    </row>
    <row r="7" spans="1:7" x14ac:dyDescent="0.25">
      <c r="A7" s="305" t="s">
        <v>48</v>
      </c>
      <c r="B7" s="305" t="s">
        <v>47</v>
      </c>
      <c r="C7" s="305">
        <v>96.339870000000005</v>
      </c>
      <c r="D7" s="305" t="s">
        <v>464</v>
      </c>
      <c r="E7" s="305" t="s">
        <v>787</v>
      </c>
      <c r="F7" s="133"/>
      <c r="G7" s="133"/>
    </row>
    <row r="8" spans="1:7" x14ac:dyDescent="0.25">
      <c r="A8" s="305" t="s">
        <v>50</v>
      </c>
      <c r="B8" s="305" t="s">
        <v>49</v>
      </c>
      <c r="C8" s="305" t="s">
        <v>787</v>
      </c>
      <c r="D8" s="305" t="s">
        <v>464</v>
      </c>
      <c r="E8" s="305" t="s">
        <v>787</v>
      </c>
      <c r="F8" s="133"/>
      <c r="G8" s="133"/>
    </row>
    <row r="9" spans="1:7" x14ac:dyDescent="0.25">
      <c r="A9" s="305" t="s">
        <v>808</v>
      </c>
      <c r="B9" s="305" t="s">
        <v>806</v>
      </c>
      <c r="C9" s="305" t="s">
        <v>787</v>
      </c>
      <c r="D9" s="305" t="s">
        <v>464</v>
      </c>
      <c r="E9" s="305" t="s">
        <v>787</v>
      </c>
      <c r="F9" s="133">
        <v>0</v>
      </c>
      <c r="G9" s="133">
        <v>0</v>
      </c>
    </row>
    <row r="10" spans="1:7" x14ac:dyDescent="0.25">
      <c r="A10" s="305" t="s">
        <v>803</v>
      </c>
      <c r="B10" s="305" t="s">
        <v>807</v>
      </c>
      <c r="C10" s="305" t="s">
        <v>787</v>
      </c>
      <c r="D10" s="305" t="s">
        <v>464</v>
      </c>
      <c r="E10" s="305" t="s">
        <v>787</v>
      </c>
      <c r="F10" s="133">
        <v>0</v>
      </c>
      <c r="G10" s="133">
        <v>0</v>
      </c>
    </row>
    <row r="11" spans="1:7" x14ac:dyDescent="0.25">
      <c r="A11" s="305" t="s">
        <v>804</v>
      </c>
      <c r="B11" s="305" t="s">
        <v>805</v>
      </c>
      <c r="C11" s="305" t="s">
        <v>787</v>
      </c>
      <c r="D11" s="305" t="s">
        <v>464</v>
      </c>
      <c r="E11" s="305" t="s">
        <v>787</v>
      </c>
      <c r="F11" s="133">
        <v>0</v>
      </c>
      <c r="G11" s="133">
        <v>0</v>
      </c>
    </row>
    <row r="12" spans="1:7" x14ac:dyDescent="0.25">
      <c r="A12" s="305" t="s">
        <v>58</v>
      </c>
      <c r="B12" s="305" t="s">
        <v>57</v>
      </c>
      <c r="C12" s="305">
        <v>96.673805000000002</v>
      </c>
      <c r="D12" s="305" t="s">
        <v>464</v>
      </c>
      <c r="E12" s="305" t="s">
        <v>462</v>
      </c>
      <c r="F12" s="133"/>
      <c r="G12" s="133"/>
    </row>
    <row r="13" spans="1:7" x14ac:dyDescent="0.25">
      <c r="A13" s="305" t="s">
        <v>60</v>
      </c>
      <c r="B13" s="305" t="s">
        <v>59</v>
      </c>
      <c r="C13" s="305">
        <v>96.353070000000002</v>
      </c>
      <c r="D13" s="305" t="s">
        <v>464</v>
      </c>
      <c r="E13" s="305" t="s">
        <v>787</v>
      </c>
      <c r="F13" s="133"/>
      <c r="G13" s="133"/>
    </row>
    <row r="14" spans="1:7" x14ac:dyDescent="0.25">
      <c r="A14" s="305" t="s">
        <v>356</v>
      </c>
      <c r="B14" s="305" t="s">
        <v>355</v>
      </c>
      <c r="C14" s="305">
        <v>97.837778</v>
      </c>
      <c r="D14" s="305" t="s">
        <v>466</v>
      </c>
      <c r="E14" s="305" t="s">
        <v>787</v>
      </c>
      <c r="F14" s="133">
        <v>0</v>
      </c>
      <c r="G14" s="133">
        <v>0</v>
      </c>
    </row>
    <row r="15" spans="1:7" x14ac:dyDescent="0.25">
      <c r="A15" s="305" t="s">
        <v>887</v>
      </c>
      <c r="B15" s="305" t="s">
        <v>888</v>
      </c>
      <c r="C15" s="305">
        <v>97.608249999999998</v>
      </c>
      <c r="D15" s="305" t="s">
        <v>466</v>
      </c>
      <c r="E15" s="305" t="s">
        <v>934</v>
      </c>
      <c r="F15" s="133"/>
      <c r="G15" s="133"/>
    </row>
    <row r="16" spans="1:7" x14ac:dyDescent="0.25">
      <c r="A16" s="305" t="s">
        <v>70</v>
      </c>
      <c r="B16" s="305" t="s">
        <v>69</v>
      </c>
      <c r="C16" s="305" t="s">
        <v>787</v>
      </c>
      <c r="D16" s="305" t="s">
        <v>464</v>
      </c>
      <c r="E16" s="305" t="s">
        <v>787</v>
      </c>
      <c r="F16" s="133"/>
      <c r="G16" s="133"/>
    </row>
    <row r="17" spans="1:7" x14ac:dyDescent="0.25">
      <c r="A17" s="305" t="s">
        <v>10</v>
      </c>
      <c r="B17" s="305" t="s">
        <v>9</v>
      </c>
      <c r="C17" s="305" t="s">
        <v>787</v>
      </c>
      <c r="D17" s="305" t="s">
        <v>464</v>
      </c>
      <c r="E17" s="305" t="s">
        <v>787</v>
      </c>
      <c r="F17" s="133">
        <v>0</v>
      </c>
      <c r="G17" s="133">
        <v>0</v>
      </c>
    </row>
    <row r="18" spans="1:7" x14ac:dyDescent="0.25">
      <c r="A18" s="305" t="s">
        <v>78</v>
      </c>
      <c r="B18" s="305" t="s">
        <v>77</v>
      </c>
      <c r="C18" s="305" t="s">
        <v>787</v>
      </c>
      <c r="D18" s="305" t="s">
        <v>464</v>
      </c>
      <c r="E18" s="305" t="s">
        <v>787</v>
      </c>
      <c r="F18" s="133"/>
      <c r="G18" s="133"/>
    </row>
    <row r="19" spans="1:7" x14ac:dyDescent="0.25">
      <c r="A19" s="305" t="s">
        <v>82</v>
      </c>
      <c r="B19" s="305" t="s">
        <v>81</v>
      </c>
      <c r="C19" s="305" t="s">
        <v>787</v>
      </c>
      <c r="D19" s="305" t="s">
        <v>464</v>
      </c>
      <c r="E19" s="305" t="s">
        <v>787</v>
      </c>
      <c r="F19" s="133"/>
      <c r="G19" s="133"/>
    </row>
    <row r="20" spans="1:7" x14ac:dyDescent="0.25">
      <c r="A20" s="305" t="s">
        <v>837</v>
      </c>
      <c r="B20" s="305" t="s">
        <v>838</v>
      </c>
      <c r="C20" s="305" t="s">
        <v>787</v>
      </c>
      <c r="D20" s="305" t="s">
        <v>466</v>
      </c>
      <c r="E20" s="305" t="s">
        <v>787</v>
      </c>
      <c r="F20" s="133">
        <v>0</v>
      </c>
      <c r="G20" s="133">
        <v>0</v>
      </c>
    </row>
    <row r="21" spans="1:7" x14ac:dyDescent="0.25">
      <c r="A21" s="305" t="s">
        <v>32</v>
      </c>
      <c r="B21" s="305" t="s">
        <v>31</v>
      </c>
      <c r="C21" s="305" t="s">
        <v>787</v>
      </c>
      <c r="D21" s="305" t="s">
        <v>464</v>
      </c>
      <c r="E21" s="305" t="s">
        <v>935</v>
      </c>
      <c r="F21" s="133"/>
      <c r="G21" s="133"/>
    </row>
    <row r="22" spans="1:7" x14ac:dyDescent="0.25">
      <c r="A22" s="305" t="s">
        <v>56</v>
      </c>
      <c r="B22" s="305" t="s">
        <v>55</v>
      </c>
      <c r="C22" s="305" t="s">
        <v>787</v>
      </c>
      <c r="D22" s="305" t="s">
        <v>464</v>
      </c>
      <c r="E22" s="305" t="s">
        <v>787</v>
      </c>
      <c r="F22" s="133">
        <v>0</v>
      </c>
      <c r="G22" s="133">
        <v>0</v>
      </c>
    </row>
    <row r="23" spans="1:7" x14ac:dyDescent="0.25">
      <c r="A23" s="305" t="s">
        <v>12</v>
      </c>
      <c r="B23" s="305" t="s">
        <v>391</v>
      </c>
      <c r="C23" s="305">
        <v>96.793177</v>
      </c>
      <c r="D23" s="305" t="s">
        <v>464</v>
      </c>
      <c r="E23" s="305" t="s">
        <v>787</v>
      </c>
      <c r="F23" s="133"/>
      <c r="G23" s="133"/>
    </row>
    <row r="24" spans="1:7" x14ac:dyDescent="0.25">
      <c r="A24" s="305" t="s">
        <v>169</v>
      </c>
      <c r="B24" s="305" t="s">
        <v>168</v>
      </c>
      <c r="C24" s="305">
        <v>98.116817999999995</v>
      </c>
      <c r="D24" s="305" t="s">
        <v>464</v>
      </c>
      <c r="E24" s="305" t="s">
        <v>787</v>
      </c>
      <c r="F24" s="133"/>
      <c r="G24" s="133"/>
    </row>
    <row r="25" spans="1:7" x14ac:dyDescent="0.25">
      <c r="A25" s="305" t="s">
        <v>231</v>
      </c>
      <c r="B25" s="305" t="s">
        <v>386</v>
      </c>
      <c r="C25" s="305">
        <v>98.115809999999996</v>
      </c>
      <c r="D25" s="305" t="s">
        <v>464</v>
      </c>
      <c r="E25" s="305" t="s">
        <v>787</v>
      </c>
      <c r="F25" s="133">
        <v>32</v>
      </c>
      <c r="G25" s="133">
        <v>187</v>
      </c>
    </row>
    <row r="26" spans="1:7" x14ac:dyDescent="0.25">
      <c r="A26" s="305" t="s">
        <v>810</v>
      </c>
      <c r="B26" s="305" t="s">
        <v>809</v>
      </c>
      <c r="C26" s="305" t="s">
        <v>787</v>
      </c>
      <c r="D26" s="305" t="s">
        <v>464</v>
      </c>
      <c r="E26" s="305" t="s">
        <v>787</v>
      </c>
      <c r="F26" s="133">
        <v>0</v>
      </c>
      <c r="G26" s="133">
        <v>0</v>
      </c>
    </row>
    <row r="27" spans="1:7" x14ac:dyDescent="0.25">
      <c r="A27" s="305" t="s">
        <v>16</v>
      </c>
      <c r="B27" s="305" t="s">
        <v>15</v>
      </c>
      <c r="C27" s="305">
        <v>97.221556500999995</v>
      </c>
      <c r="D27" s="305" t="s">
        <v>464</v>
      </c>
      <c r="E27" s="305" t="s">
        <v>787</v>
      </c>
      <c r="F27" s="133"/>
      <c r="G27" s="133"/>
    </row>
    <row r="28" spans="1:7" x14ac:dyDescent="0.25">
      <c r="A28" s="305" t="s">
        <v>370</v>
      </c>
      <c r="B28" s="305" t="s">
        <v>380</v>
      </c>
      <c r="C28" s="305">
        <v>97.848529999999997</v>
      </c>
      <c r="D28" s="305" t="s">
        <v>464</v>
      </c>
      <c r="E28" s="305" t="s">
        <v>424</v>
      </c>
      <c r="F28" s="133"/>
      <c r="G28" s="133"/>
    </row>
    <row r="29" spans="1:7" x14ac:dyDescent="0.25">
      <c r="A29" s="305" t="s">
        <v>145</v>
      </c>
      <c r="B29" s="305" t="s">
        <v>143</v>
      </c>
      <c r="C29" s="305">
        <v>98.144502500000002</v>
      </c>
      <c r="D29" s="305" t="s">
        <v>464</v>
      </c>
      <c r="E29" s="305" t="s">
        <v>787</v>
      </c>
      <c r="F29" s="133"/>
      <c r="G29" s="133"/>
    </row>
    <row r="30" spans="1:7" x14ac:dyDescent="0.25">
      <c r="A30" s="305" t="s">
        <v>469</v>
      </c>
      <c r="B30" s="305" t="s">
        <v>470</v>
      </c>
      <c r="C30" s="305">
        <v>97.601243999999994</v>
      </c>
      <c r="D30" s="305" t="s">
        <v>466</v>
      </c>
      <c r="E30" s="305" t="s">
        <v>934</v>
      </c>
      <c r="F30" s="133">
        <v>0</v>
      </c>
      <c r="G30" s="133">
        <v>0</v>
      </c>
    </row>
    <row r="31" spans="1:7" x14ac:dyDescent="0.25">
      <c r="A31" s="305" t="s">
        <v>34</v>
      </c>
      <c r="B31" s="305" t="s">
        <v>33</v>
      </c>
      <c r="C31" s="305">
        <v>98.354146999999998</v>
      </c>
      <c r="D31" s="305" t="s">
        <v>464</v>
      </c>
      <c r="E31" s="305" t="s">
        <v>787</v>
      </c>
      <c r="F31" s="133"/>
      <c r="G31" s="133"/>
    </row>
    <row r="32" spans="1:7" x14ac:dyDescent="0.25">
      <c r="A32" s="305" t="s">
        <v>35</v>
      </c>
      <c r="B32" s="305" t="s">
        <v>360</v>
      </c>
      <c r="C32" s="305" t="s">
        <v>787</v>
      </c>
      <c r="D32" s="305" t="s">
        <v>464</v>
      </c>
      <c r="E32" s="305" t="s">
        <v>787</v>
      </c>
      <c r="F32" s="133">
        <v>0</v>
      </c>
      <c r="G32" s="133">
        <v>0</v>
      </c>
    </row>
    <row r="33" spans="1:7" x14ac:dyDescent="0.25">
      <c r="A33" s="305" t="s">
        <v>158</v>
      </c>
      <c r="B33" s="305" t="s">
        <v>157</v>
      </c>
      <c r="C33" s="305">
        <v>97.585667000000001</v>
      </c>
      <c r="D33" s="305" t="s">
        <v>466</v>
      </c>
      <c r="E33" s="305" t="s">
        <v>934</v>
      </c>
      <c r="F33" s="133">
        <v>0</v>
      </c>
      <c r="G33" s="133">
        <v>0</v>
      </c>
    </row>
    <row r="34" spans="1:7" x14ac:dyDescent="0.25">
      <c r="A34" s="305" t="s">
        <v>94</v>
      </c>
      <c r="B34" s="305" t="s">
        <v>93</v>
      </c>
      <c r="C34" s="305" t="s">
        <v>787</v>
      </c>
      <c r="D34" s="305" t="s">
        <v>464</v>
      </c>
      <c r="E34" s="305" t="s">
        <v>787</v>
      </c>
      <c r="F34" s="133">
        <v>0</v>
      </c>
      <c r="G34" s="133">
        <v>0</v>
      </c>
    </row>
    <row r="35" spans="1:7" x14ac:dyDescent="0.25">
      <c r="A35" s="305" t="s">
        <v>819</v>
      </c>
      <c r="B35" s="305" t="s">
        <v>820</v>
      </c>
      <c r="C35" s="305">
        <v>97.586470000000006</v>
      </c>
      <c r="D35" s="305" t="s">
        <v>464</v>
      </c>
      <c r="E35" s="305" t="s">
        <v>787</v>
      </c>
      <c r="F35" s="133"/>
      <c r="G35" s="133"/>
    </row>
    <row r="36" spans="1:7" x14ac:dyDescent="0.25">
      <c r="A36" s="305" t="s">
        <v>200</v>
      </c>
      <c r="B36" s="305" t="s">
        <v>199</v>
      </c>
      <c r="C36" s="305">
        <v>97.409474000000003</v>
      </c>
      <c r="D36" s="305" t="s">
        <v>464</v>
      </c>
      <c r="E36" s="305" t="s">
        <v>787</v>
      </c>
      <c r="F36" s="133"/>
      <c r="G36" s="133"/>
    </row>
    <row r="37" spans="1:7" x14ac:dyDescent="0.25">
      <c r="A37" s="305" t="s">
        <v>802</v>
      </c>
      <c r="B37" s="305" t="s">
        <v>796</v>
      </c>
      <c r="C37" s="305">
        <v>97.710989999999995</v>
      </c>
      <c r="D37" s="305" t="s">
        <v>464</v>
      </c>
      <c r="E37" s="305" t="s">
        <v>787</v>
      </c>
      <c r="F37" s="133">
        <v>0</v>
      </c>
      <c r="G37" s="133">
        <v>0</v>
      </c>
    </row>
    <row r="38" spans="1:7" x14ac:dyDescent="0.25">
      <c r="A38" s="305" t="s">
        <v>801</v>
      </c>
      <c r="B38" s="305" t="s">
        <v>800</v>
      </c>
      <c r="C38" s="305">
        <v>97.710989999999995</v>
      </c>
      <c r="D38" s="305" t="s">
        <v>464</v>
      </c>
      <c r="E38" s="305" t="s">
        <v>787</v>
      </c>
      <c r="F38" s="133">
        <v>0</v>
      </c>
      <c r="G38" s="133">
        <v>0</v>
      </c>
    </row>
    <row r="39" spans="1:7" x14ac:dyDescent="0.25">
      <c r="A39" s="305" t="s">
        <v>204</v>
      </c>
      <c r="B39" s="305" t="s">
        <v>203</v>
      </c>
      <c r="C39" s="305">
        <v>97.321659999999994</v>
      </c>
      <c r="D39" s="305" t="s">
        <v>464</v>
      </c>
      <c r="E39" s="305" t="s">
        <v>787</v>
      </c>
      <c r="F39" s="133"/>
      <c r="G39" s="133"/>
    </row>
    <row r="40" spans="1:7" x14ac:dyDescent="0.25">
      <c r="A40" s="305" t="s">
        <v>205</v>
      </c>
      <c r="B40" s="305" t="s">
        <v>390</v>
      </c>
      <c r="C40" s="305">
        <v>97.276591999999994</v>
      </c>
      <c r="D40" s="305" t="s">
        <v>464</v>
      </c>
      <c r="E40" s="305" t="s">
        <v>787</v>
      </c>
      <c r="F40" s="133"/>
      <c r="G40" s="133"/>
    </row>
    <row r="41" spans="1:7" x14ac:dyDescent="0.25">
      <c r="A41" s="305" t="s">
        <v>331</v>
      </c>
      <c r="B41" s="305" t="s">
        <v>330</v>
      </c>
      <c r="C41" s="305">
        <v>97.550267000000005</v>
      </c>
      <c r="D41" s="305" t="s">
        <v>464</v>
      </c>
      <c r="E41" s="305" t="s">
        <v>787</v>
      </c>
      <c r="F41" s="133">
        <v>0</v>
      </c>
      <c r="G41" s="133">
        <v>0</v>
      </c>
    </row>
    <row r="42" spans="1:7" x14ac:dyDescent="0.25">
      <c r="A42" s="305" t="s">
        <v>207</v>
      </c>
      <c r="B42" s="305" t="s">
        <v>206</v>
      </c>
      <c r="C42" s="305">
        <v>97.346940000000004</v>
      </c>
      <c r="D42" s="305" t="s">
        <v>464</v>
      </c>
      <c r="E42" s="305" t="s">
        <v>787</v>
      </c>
      <c r="F42" s="133"/>
      <c r="G42" s="133"/>
    </row>
    <row r="43" spans="1:7" x14ac:dyDescent="0.25">
      <c r="A43" s="305" t="s">
        <v>54</v>
      </c>
      <c r="B43" s="305" t="s">
        <v>53</v>
      </c>
      <c r="C43" s="305">
        <v>96.310928000000004</v>
      </c>
      <c r="D43" s="305" t="s">
        <v>464</v>
      </c>
      <c r="E43" s="305" t="s">
        <v>787</v>
      </c>
      <c r="F43" s="133">
        <v>0</v>
      </c>
      <c r="G43" s="133">
        <v>0</v>
      </c>
    </row>
    <row r="44" spans="1:7" x14ac:dyDescent="0.25">
      <c r="A44" s="305" t="s">
        <v>66</v>
      </c>
      <c r="B44" s="305" t="s">
        <v>65</v>
      </c>
      <c r="C44" s="305" t="s">
        <v>787</v>
      </c>
      <c r="D44" s="305" t="s">
        <v>464</v>
      </c>
      <c r="E44" s="305" t="s">
        <v>787</v>
      </c>
      <c r="F44" s="133">
        <v>0</v>
      </c>
      <c r="G44" s="133">
        <v>0</v>
      </c>
    </row>
    <row r="45" spans="1:7" x14ac:dyDescent="0.25">
      <c r="A45" s="305" t="s">
        <v>80</v>
      </c>
      <c r="B45" s="305" t="s">
        <v>79</v>
      </c>
      <c r="C45" s="305" t="s">
        <v>787</v>
      </c>
      <c r="D45" s="305" t="s">
        <v>464</v>
      </c>
      <c r="E45" s="305" t="s">
        <v>787</v>
      </c>
      <c r="F45" s="133">
        <v>0</v>
      </c>
      <c r="G45" s="133">
        <v>0</v>
      </c>
    </row>
    <row r="46" spans="1:7" x14ac:dyDescent="0.25">
      <c r="A46" s="305" t="s">
        <v>102</v>
      </c>
      <c r="B46" s="305" t="s">
        <v>101</v>
      </c>
      <c r="C46" s="305" t="s">
        <v>787</v>
      </c>
      <c r="D46" s="305" t="s">
        <v>464</v>
      </c>
      <c r="E46" s="305" t="s">
        <v>787</v>
      </c>
      <c r="F46" s="133">
        <v>0</v>
      </c>
      <c r="G46" s="133">
        <v>0</v>
      </c>
    </row>
    <row r="47" spans="1:7" x14ac:dyDescent="0.25">
      <c r="A47" s="305" t="s">
        <v>106</v>
      </c>
      <c r="B47" s="305" t="s">
        <v>105</v>
      </c>
      <c r="C47" s="305" t="s">
        <v>787</v>
      </c>
      <c r="D47" s="305" t="s">
        <v>464</v>
      </c>
      <c r="E47" s="305" t="s">
        <v>787</v>
      </c>
      <c r="F47" s="133">
        <v>0</v>
      </c>
      <c r="G47" s="133">
        <v>0</v>
      </c>
    </row>
    <row r="48" spans="1:7" x14ac:dyDescent="0.25">
      <c r="A48" s="305" t="s">
        <v>116</v>
      </c>
      <c r="B48" s="305" t="s">
        <v>115</v>
      </c>
      <c r="C48" s="305" t="s">
        <v>787</v>
      </c>
      <c r="D48" s="305" t="s">
        <v>464</v>
      </c>
      <c r="E48" s="305" t="s">
        <v>787</v>
      </c>
      <c r="F48" s="133">
        <v>0</v>
      </c>
      <c r="G48" s="133">
        <v>0</v>
      </c>
    </row>
    <row r="49" spans="1:7" x14ac:dyDescent="0.25">
      <c r="A49" s="305" t="s">
        <v>130</v>
      </c>
      <c r="B49" s="305" t="s">
        <v>129</v>
      </c>
      <c r="C49" s="305" t="s">
        <v>787</v>
      </c>
      <c r="D49" s="305" t="s">
        <v>464</v>
      </c>
      <c r="E49" s="305" t="s">
        <v>787</v>
      </c>
      <c r="F49" s="133">
        <v>0</v>
      </c>
      <c r="G49" s="133">
        <v>0</v>
      </c>
    </row>
    <row r="50" spans="1:7" x14ac:dyDescent="0.25">
      <c r="A50" s="305" t="s">
        <v>138</v>
      </c>
      <c r="B50" s="305" t="s">
        <v>137</v>
      </c>
      <c r="C50" s="305" t="s">
        <v>787</v>
      </c>
      <c r="D50" s="305" t="s">
        <v>464</v>
      </c>
      <c r="E50" s="305" t="s">
        <v>787</v>
      </c>
      <c r="F50" s="133">
        <v>0</v>
      </c>
      <c r="G50" s="133">
        <v>0</v>
      </c>
    </row>
    <row r="51" spans="1:7" x14ac:dyDescent="0.25">
      <c r="A51" s="305" t="s">
        <v>136</v>
      </c>
      <c r="B51" s="305" t="s">
        <v>135</v>
      </c>
      <c r="C51" s="305">
        <v>96.343350000000001</v>
      </c>
      <c r="D51" s="305" t="s">
        <v>464</v>
      </c>
      <c r="E51" s="305" t="s">
        <v>787</v>
      </c>
      <c r="F51" s="133">
        <v>0</v>
      </c>
      <c r="G51" s="133">
        <v>0</v>
      </c>
    </row>
    <row r="52" spans="1:7" x14ac:dyDescent="0.25">
      <c r="A52" s="305" t="s">
        <v>68</v>
      </c>
      <c r="B52" s="305" t="s">
        <v>67</v>
      </c>
      <c r="C52" s="305" t="s">
        <v>787</v>
      </c>
      <c r="D52" s="305" t="s">
        <v>464</v>
      </c>
      <c r="E52" s="305" t="s">
        <v>787</v>
      </c>
      <c r="F52" s="133">
        <v>0</v>
      </c>
      <c r="G52" s="133">
        <v>0</v>
      </c>
    </row>
    <row r="53" spans="1:7" x14ac:dyDescent="0.25">
      <c r="A53" s="305" t="s">
        <v>84</v>
      </c>
      <c r="B53" s="305" t="s">
        <v>83</v>
      </c>
      <c r="C53" s="305">
        <v>96.316210999999996</v>
      </c>
      <c r="D53" s="305" t="s">
        <v>464</v>
      </c>
      <c r="E53" s="305" t="s">
        <v>787</v>
      </c>
      <c r="F53" s="133">
        <v>0</v>
      </c>
      <c r="G53" s="133">
        <v>0</v>
      </c>
    </row>
    <row r="54" spans="1:7" x14ac:dyDescent="0.25">
      <c r="A54" s="305" t="s">
        <v>86</v>
      </c>
      <c r="B54" s="305" t="s">
        <v>85</v>
      </c>
      <c r="C54" s="305" t="s">
        <v>787</v>
      </c>
      <c r="D54" s="305" t="s">
        <v>464</v>
      </c>
      <c r="E54" s="305" t="s">
        <v>787</v>
      </c>
      <c r="F54" s="133">
        <v>0</v>
      </c>
      <c r="G54" s="133">
        <v>0</v>
      </c>
    </row>
    <row r="55" spans="1:7" x14ac:dyDescent="0.25">
      <c r="A55" s="305" t="s">
        <v>104</v>
      </c>
      <c r="B55" s="305" t="s">
        <v>103</v>
      </c>
      <c r="C55" s="305" t="s">
        <v>787</v>
      </c>
      <c r="D55" s="305" t="s">
        <v>464</v>
      </c>
      <c r="E55" s="305" t="s">
        <v>787</v>
      </c>
      <c r="F55" s="133">
        <v>0</v>
      </c>
      <c r="G55" s="133">
        <v>0</v>
      </c>
    </row>
    <row r="56" spans="1:7" x14ac:dyDescent="0.25">
      <c r="A56" s="305" t="s">
        <v>98</v>
      </c>
      <c r="B56" s="305" t="s">
        <v>97</v>
      </c>
      <c r="C56" s="305">
        <v>96.359309999999994</v>
      </c>
      <c r="D56" s="305" t="s">
        <v>464</v>
      </c>
      <c r="E56" s="305" t="s">
        <v>787</v>
      </c>
      <c r="F56" s="133">
        <v>0</v>
      </c>
      <c r="G56" s="133">
        <v>0</v>
      </c>
    </row>
    <row r="57" spans="1:7" x14ac:dyDescent="0.25">
      <c r="A57" s="305" t="s">
        <v>211</v>
      </c>
      <c r="B57" s="305" t="s">
        <v>210</v>
      </c>
      <c r="C57" s="305">
        <v>97.346950000000007</v>
      </c>
      <c r="D57" s="305" t="s">
        <v>464</v>
      </c>
      <c r="E57" s="305" t="s">
        <v>934</v>
      </c>
      <c r="F57" s="133"/>
      <c r="G57" s="133"/>
    </row>
    <row r="58" spans="1:7" x14ac:dyDescent="0.25">
      <c r="A58" s="305" t="s">
        <v>233</v>
      </c>
      <c r="B58" s="305" t="s">
        <v>232</v>
      </c>
      <c r="C58" s="305">
        <v>98.320651999999995</v>
      </c>
      <c r="D58" s="305" t="s">
        <v>466</v>
      </c>
      <c r="E58" s="305" t="s">
        <v>424</v>
      </c>
      <c r="F58" s="133"/>
      <c r="G58" s="133"/>
    </row>
    <row r="59" spans="1:7" x14ac:dyDescent="0.25">
      <c r="A59" s="305" t="s">
        <v>235</v>
      </c>
      <c r="B59" s="305" t="s">
        <v>234</v>
      </c>
      <c r="C59" s="305">
        <v>98.054946000000001</v>
      </c>
      <c r="D59" s="305" t="s">
        <v>466</v>
      </c>
      <c r="E59" s="305" t="s">
        <v>787</v>
      </c>
      <c r="F59" s="133"/>
      <c r="G59" s="133"/>
    </row>
    <row r="60" spans="1:7" x14ac:dyDescent="0.25">
      <c r="A60" s="305" t="s">
        <v>295</v>
      </c>
      <c r="B60" s="305" t="s">
        <v>1131</v>
      </c>
      <c r="C60" s="305">
        <v>97.174999999999997</v>
      </c>
      <c r="D60" s="305" t="s">
        <v>466</v>
      </c>
      <c r="E60" s="305" t="s">
        <v>787</v>
      </c>
      <c r="F60" s="133"/>
      <c r="G60" s="133"/>
    </row>
    <row r="61" spans="1:7" x14ac:dyDescent="0.25">
      <c r="A61" s="305" t="s">
        <v>471</v>
      </c>
      <c r="B61" s="305" t="s">
        <v>472</v>
      </c>
      <c r="C61" s="305">
        <v>96.808850000000007</v>
      </c>
      <c r="D61" s="305" t="s">
        <v>466</v>
      </c>
      <c r="E61" s="305" t="s">
        <v>787</v>
      </c>
      <c r="F61" s="133">
        <v>0</v>
      </c>
      <c r="G61" s="133">
        <v>0</v>
      </c>
    </row>
    <row r="62" spans="1:7" x14ac:dyDescent="0.25">
      <c r="A62" s="305" t="s">
        <v>365</v>
      </c>
      <c r="B62" s="305" t="s">
        <v>384</v>
      </c>
      <c r="C62" s="305">
        <v>98.213958000000005</v>
      </c>
      <c r="D62" s="305" t="s">
        <v>464</v>
      </c>
      <c r="E62" s="305" t="s">
        <v>787</v>
      </c>
      <c r="F62" s="133">
        <v>0</v>
      </c>
      <c r="G62" s="133">
        <v>0</v>
      </c>
    </row>
    <row r="63" spans="1:7" x14ac:dyDescent="0.25">
      <c r="A63" s="305" t="s">
        <v>142</v>
      </c>
      <c r="B63" s="305" t="s">
        <v>141</v>
      </c>
      <c r="C63" s="305">
        <v>96.354159999999993</v>
      </c>
      <c r="D63" s="305" t="s">
        <v>464</v>
      </c>
      <c r="E63" s="305" t="s">
        <v>787</v>
      </c>
      <c r="F63" s="133">
        <v>0</v>
      </c>
      <c r="G63" s="133">
        <v>0</v>
      </c>
    </row>
    <row r="64" spans="1:7" x14ac:dyDescent="0.25">
      <c r="A64" s="305" t="s">
        <v>266</v>
      </c>
      <c r="B64" s="305" t="s">
        <v>265</v>
      </c>
      <c r="C64" s="305">
        <v>97.376671999999999</v>
      </c>
      <c r="D64" s="305" t="s">
        <v>464</v>
      </c>
      <c r="E64" s="305" t="s">
        <v>462</v>
      </c>
      <c r="F64" s="133"/>
      <c r="G64" s="133"/>
    </row>
    <row r="65" spans="1:7" x14ac:dyDescent="0.25">
      <c r="A65" s="305" t="s">
        <v>162</v>
      </c>
      <c r="B65" s="305" t="s">
        <v>161</v>
      </c>
      <c r="C65" s="305" t="s">
        <v>787</v>
      </c>
      <c r="D65" s="305" t="s">
        <v>466</v>
      </c>
      <c r="E65" s="305" t="s">
        <v>787</v>
      </c>
      <c r="F65" s="133">
        <v>0</v>
      </c>
      <c r="G65" s="133">
        <v>0</v>
      </c>
    </row>
    <row r="66" spans="1:7" x14ac:dyDescent="0.25">
      <c r="A66" s="305" t="s">
        <v>373</v>
      </c>
      <c r="B66" s="305" t="s">
        <v>387</v>
      </c>
      <c r="C66" s="305">
        <v>97.678299999999993</v>
      </c>
      <c r="D66" s="305" t="s">
        <v>466</v>
      </c>
      <c r="E66" s="305" t="s">
        <v>934</v>
      </c>
      <c r="F66" s="133">
        <v>0</v>
      </c>
      <c r="G66" s="133">
        <v>0</v>
      </c>
    </row>
    <row r="67" spans="1:7" x14ac:dyDescent="0.25">
      <c r="A67" s="305" t="s">
        <v>293</v>
      </c>
      <c r="B67" s="305" t="s">
        <v>292</v>
      </c>
      <c r="C67" s="305" t="s">
        <v>787</v>
      </c>
      <c r="D67" s="305" t="s">
        <v>466</v>
      </c>
      <c r="E67" s="305" t="s">
        <v>787</v>
      </c>
      <c r="F67" s="133"/>
      <c r="G67" s="133"/>
    </row>
    <row r="68" spans="1:7" x14ac:dyDescent="0.25">
      <c r="A68" s="305" t="s">
        <v>359</v>
      </c>
      <c r="B68" s="305" t="s">
        <v>771</v>
      </c>
      <c r="C68" s="305">
        <v>98.139397000000002</v>
      </c>
      <c r="D68" s="305" t="s">
        <v>466</v>
      </c>
      <c r="E68" s="305" t="s">
        <v>787</v>
      </c>
      <c r="F68" s="133">
        <v>9</v>
      </c>
      <c r="G68" s="133">
        <v>44</v>
      </c>
    </row>
    <row r="69" spans="1:7" x14ac:dyDescent="0.25">
      <c r="A69" s="305" t="s">
        <v>171</v>
      </c>
      <c r="B69" s="305" t="s">
        <v>170</v>
      </c>
      <c r="C69" s="305">
        <v>98.129380999999995</v>
      </c>
      <c r="D69" s="305" t="s">
        <v>464</v>
      </c>
      <c r="E69" s="305" t="s">
        <v>787</v>
      </c>
      <c r="F69" s="133"/>
      <c r="G69" s="133"/>
    </row>
    <row r="70" spans="1:7" x14ac:dyDescent="0.25">
      <c r="A70" s="305" t="s">
        <v>791</v>
      </c>
      <c r="B70" s="305" t="s">
        <v>473</v>
      </c>
      <c r="C70" s="305">
        <v>97.132339999999999</v>
      </c>
      <c r="D70" s="305" t="s">
        <v>466</v>
      </c>
      <c r="E70" s="305" t="s">
        <v>787</v>
      </c>
      <c r="F70" s="133">
        <v>0</v>
      </c>
      <c r="G70" s="133">
        <v>0</v>
      </c>
    </row>
    <row r="71" spans="1:7" x14ac:dyDescent="0.25">
      <c r="A71" s="305" t="s">
        <v>792</v>
      </c>
      <c r="B71" s="305" t="s">
        <v>793</v>
      </c>
      <c r="C71" s="305" t="s">
        <v>787</v>
      </c>
      <c r="D71" s="305" t="s">
        <v>466</v>
      </c>
      <c r="E71" s="305" t="s">
        <v>787</v>
      </c>
      <c r="F71" s="133">
        <v>0</v>
      </c>
      <c r="G71" s="133">
        <v>0</v>
      </c>
    </row>
    <row r="72" spans="1:7" x14ac:dyDescent="0.25">
      <c r="A72" s="305" t="s">
        <v>164</v>
      </c>
      <c r="B72" s="305" t="s">
        <v>163</v>
      </c>
      <c r="C72" s="305">
        <v>97.132339999999999</v>
      </c>
      <c r="D72" s="305" t="s">
        <v>466</v>
      </c>
      <c r="E72" s="305" t="s">
        <v>787</v>
      </c>
      <c r="F72" s="133">
        <v>0</v>
      </c>
      <c r="G72" s="133">
        <v>0</v>
      </c>
    </row>
    <row r="73" spans="1:7" x14ac:dyDescent="0.25">
      <c r="A73" s="305" t="s">
        <v>534</v>
      </c>
      <c r="B73" s="305" t="s">
        <v>762</v>
      </c>
      <c r="C73" s="305">
        <v>97.398989</v>
      </c>
      <c r="D73" s="305" t="s">
        <v>464</v>
      </c>
      <c r="E73" s="305" t="s">
        <v>787</v>
      </c>
      <c r="F73" s="133">
        <v>118</v>
      </c>
      <c r="G73" s="133">
        <v>520</v>
      </c>
    </row>
    <row r="74" spans="1:7" x14ac:dyDescent="0.25">
      <c r="A74" s="305" t="s">
        <v>183</v>
      </c>
      <c r="B74" s="305" t="s">
        <v>182</v>
      </c>
      <c r="C74" s="305">
        <v>96.364949999999993</v>
      </c>
      <c r="D74" s="305" t="s">
        <v>464</v>
      </c>
      <c r="E74" s="305" t="s">
        <v>424</v>
      </c>
      <c r="F74" s="133">
        <v>0</v>
      </c>
      <c r="G74" s="133">
        <v>0</v>
      </c>
    </row>
    <row r="75" spans="1:7" x14ac:dyDescent="0.25">
      <c r="A75" s="305" t="s">
        <v>535</v>
      </c>
      <c r="B75" s="305" t="s">
        <v>772</v>
      </c>
      <c r="C75" s="305">
        <v>98.352670000000003</v>
      </c>
      <c r="D75" s="305" t="s">
        <v>466</v>
      </c>
      <c r="E75" s="305" t="s">
        <v>1314</v>
      </c>
      <c r="F75" s="133">
        <v>67</v>
      </c>
      <c r="G75" s="133">
        <v>392</v>
      </c>
    </row>
    <row r="76" spans="1:7" x14ac:dyDescent="0.25">
      <c r="A76" s="305" t="s">
        <v>815</v>
      </c>
      <c r="B76" s="305" t="s">
        <v>816</v>
      </c>
      <c r="C76" s="305">
        <v>97.58184</v>
      </c>
      <c r="D76" s="305" t="s">
        <v>464</v>
      </c>
      <c r="E76" s="305" t="s">
        <v>787</v>
      </c>
      <c r="F76" s="133">
        <v>0</v>
      </c>
      <c r="G76" s="133">
        <v>0</v>
      </c>
    </row>
    <row r="77" spans="1:7" x14ac:dyDescent="0.25">
      <c r="A77" s="305" t="s">
        <v>110</v>
      </c>
      <c r="B77" s="305" t="s">
        <v>109</v>
      </c>
      <c r="C77" s="305">
        <v>96.312790000000007</v>
      </c>
      <c r="D77" s="305" t="s">
        <v>464</v>
      </c>
      <c r="E77" s="305" t="s">
        <v>424</v>
      </c>
      <c r="F77" s="133">
        <v>0</v>
      </c>
      <c r="G77" s="133">
        <v>0</v>
      </c>
    </row>
    <row r="78" spans="1:7" x14ac:dyDescent="0.25">
      <c r="A78" s="305" t="s">
        <v>112</v>
      </c>
      <c r="B78" s="305" t="s">
        <v>111</v>
      </c>
      <c r="C78" s="305">
        <v>96.31326</v>
      </c>
      <c r="D78" s="305" t="s">
        <v>464</v>
      </c>
      <c r="E78" s="305" t="s">
        <v>787</v>
      </c>
      <c r="F78" s="133">
        <v>0</v>
      </c>
      <c r="G78" s="133">
        <v>0</v>
      </c>
    </row>
    <row r="79" spans="1:7" x14ac:dyDescent="0.25">
      <c r="A79" s="305" t="s">
        <v>217</v>
      </c>
      <c r="B79" s="305" t="s">
        <v>216</v>
      </c>
      <c r="C79" s="305">
        <v>97.347740000000002</v>
      </c>
      <c r="D79" s="305" t="s">
        <v>464</v>
      </c>
      <c r="E79" s="305" t="s">
        <v>462</v>
      </c>
      <c r="F79" s="133"/>
      <c r="G79" s="133"/>
    </row>
    <row r="80" spans="1:7" x14ac:dyDescent="0.25">
      <c r="A80" s="305" t="s">
        <v>114</v>
      </c>
      <c r="B80" s="305" t="s">
        <v>113</v>
      </c>
      <c r="C80" s="305" t="s">
        <v>787</v>
      </c>
      <c r="D80" s="305" t="s">
        <v>464</v>
      </c>
      <c r="E80" s="305" t="s">
        <v>787</v>
      </c>
      <c r="F80" s="133">
        <v>0</v>
      </c>
      <c r="G80" s="133">
        <v>0</v>
      </c>
    </row>
    <row r="81" spans="1:7" x14ac:dyDescent="0.25">
      <c r="A81" s="305" t="s">
        <v>221</v>
      </c>
      <c r="B81" s="305" t="s">
        <v>220</v>
      </c>
      <c r="C81" s="305">
        <v>97.429860000000005</v>
      </c>
      <c r="D81" s="305" t="s">
        <v>464</v>
      </c>
      <c r="E81" s="305" t="s">
        <v>787</v>
      </c>
      <c r="F81" s="133"/>
      <c r="G81" s="133"/>
    </row>
    <row r="82" spans="1:7" x14ac:dyDescent="0.25">
      <c r="A82" s="305" t="s">
        <v>349</v>
      </c>
      <c r="B82" s="305" t="s">
        <v>348</v>
      </c>
      <c r="C82" s="305">
        <v>97.432495000000003</v>
      </c>
      <c r="D82" s="305" t="s">
        <v>464</v>
      </c>
      <c r="E82" s="305" t="s">
        <v>462</v>
      </c>
      <c r="F82" s="133">
        <v>92</v>
      </c>
      <c r="G82" s="133">
        <v>505</v>
      </c>
    </row>
    <row r="83" spans="1:7" x14ac:dyDescent="0.25">
      <c r="A83" s="305" t="s">
        <v>122</v>
      </c>
      <c r="B83" s="305" t="s">
        <v>121</v>
      </c>
      <c r="C83" s="305" t="s">
        <v>787</v>
      </c>
      <c r="D83" s="305" t="s">
        <v>464</v>
      </c>
      <c r="E83" s="305" t="s">
        <v>787</v>
      </c>
      <c r="F83" s="133">
        <v>0</v>
      </c>
      <c r="G83" s="133">
        <v>0</v>
      </c>
    </row>
    <row r="84" spans="1:7" x14ac:dyDescent="0.25">
      <c r="A84" s="305" t="s">
        <v>124</v>
      </c>
      <c r="B84" s="305" t="s">
        <v>123</v>
      </c>
      <c r="C84" s="305">
        <v>96.353030000000004</v>
      </c>
      <c r="D84" s="305" t="s">
        <v>464</v>
      </c>
      <c r="E84" s="305" t="s">
        <v>424</v>
      </c>
      <c r="F84" s="133">
        <v>8</v>
      </c>
      <c r="G84" s="133">
        <v>32</v>
      </c>
    </row>
    <row r="85" spans="1:7" x14ac:dyDescent="0.25">
      <c r="A85" s="305" t="s">
        <v>96</v>
      </c>
      <c r="B85" s="305" t="s">
        <v>95</v>
      </c>
      <c r="C85" s="305" t="s">
        <v>787</v>
      </c>
      <c r="D85" s="305" t="s">
        <v>464</v>
      </c>
      <c r="E85" s="305" t="s">
        <v>787</v>
      </c>
      <c r="F85" s="133">
        <v>0</v>
      </c>
      <c r="G85" s="133">
        <v>0</v>
      </c>
    </row>
    <row r="86" spans="1:7" x14ac:dyDescent="0.25">
      <c r="A86" s="305" t="s">
        <v>813</v>
      </c>
      <c r="B86" s="305" t="s">
        <v>814</v>
      </c>
      <c r="C86" s="305" t="s">
        <v>787</v>
      </c>
      <c r="D86" s="305" t="s">
        <v>464</v>
      </c>
      <c r="E86" s="305" t="s">
        <v>787</v>
      </c>
      <c r="F86" s="133">
        <v>0</v>
      </c>
      <c r="G86" s="133">
        <v>0</v>
      </c>
    </row>
    <row r="87" spans="1:7" x14ac:dyDescent="0.25">
      <c r="A87" s="305" t="s">
        <v>822</v>
      </c>
      <c r="B87" s="305" t="s">
        <v>821</v>
      </c>
      <c r="C87" s="305" t="s">
        <v>787</v>
      </c>
      <c r="D87" s="305" t="s">
        <v>464</v>
      </c>
      <c r="E87" s="305" t="s">
        <v>787</v>
      </c>
      <c r="F87" s="133"/>
      <c r="G87" s="133"/>
    </row>
    <row r="88" spans="1:7" x14ac:dyDescent="0.25">
      <c r="A88" s="305" t="s">
        <v>24</v>
      </c>
      <c r="B88" s="305" t="s">
        <v>23</v>
      </c>
      <c r="C88" s="305">
        <v>97.227789999999999</v>
      </c>
      <c r="D88" s="305" t="s">
        <v>464</v>
      </c>
      <c r="E88" s="305" t="s">
        <v>462</v>
      </c>
      <c r="F88" s="133">
        <v>20</v>
      </c>
      <c r="G88" s="133">
        <v>95</v>
      </c>
    </row>
    <row r="89" spans="1:7" x14ac:dyDescent="0.25">
      <c r="A89" s="305" t="s">
        <v>132</v>
      </c>
      <c r="B89" s="305" t="s">
        <v>131</v>
      </c>
      <c r="C89" s="305" t="s">
        <v>787</v>
      </c>
      <c r="D89" s="305" t="s">
        <v>464</v>
      </c>
      <c r="E89" s="305" t="s">
        <v>787</v>
      </c>
      <c r="F89" s="133">
        <v>0</v>
      </c>
      <c r="G89" s="133">
        <v>0</v>
      </c>
    </row>
    <row r="90" spans="1:7" x14ac:dyDescent="0.25">
      <c r="A90" s="305" t="s">
        <v>227</v>
      </c>
      <c r="B90" s="305" t="s">
        <v>226</v>
      </c>
      <c r="C90" s="305">
        <v>97.416826999999998</v>
      </c>
      <c r="D90" s="305" t="s">
        <v>464</v>
      </c>
      <c r="E90" s="305" t="s">
        <v>787</v>
      </c>
      <c r="F90" s="133"/>
      <c r="G90" s="133"/>
    </row>
    <row r="91" spans="1:7" x14ac:dyDescent="0.25">
      <c r="A91" s="305" t="s">
        <v>876</v>
      </c>
      <c r="B91" s="305" t="s">
        <v>873</v>
      </c>
      <c r="C91" s="305">
        <v>97.239130000000003</v>
      </c>
      <c r="D91" s="305" t="s">
        <v>464</v>
      </c>
      <c r="E91" s="305" t="s">
        <v>462</v>
      </c>
      <c r="F91" s="133"/>
      <c r="G91" s="133"/>
    </row>
    <row r="92" spans="1:7" x14ac:dyDescent="0.25">
      <c r="A92" s="305" t="s">
        <v>134</v>
      </c>
      <c r="B92" s="305" t="s">
        <v>133</v>
      </c>
      <c r="C92" s="305" t="s">
        <v>787</v>
      </c>
      <c r="D92" s="305" t="s">
        <v>464</v>
      </c>
      <c r="E92" s="305" t="s">
        <v>787</v>
      </c>
      <c r="F92" s="133"/>
      <c r="G92" s="133"/>
    </row>
    <row r="93" spans="1:7" x14ac:dyDescent="0.25">
      <c r="A93" s="305" t="s">
        <v>795</v>
      </c>
      <c r="B93" s="305" t="s">
        <v>783</v>
      </c>
      <c r="C93" s="305" t="s">
        <v>787</v>
      </c>
      <c r="D93" s="305" t="s">
        <v>464</v>
      </c>
      <c r="E93" s="305" t="s">
        <v>787</v>
      </c>
      <c r="F93" s="133">
        <v>0</v>
      </c>
      <c r="G93" s="133">
        <v>0</v>
      </c>
    </row>
    <row r="94" spans="1:7" x14ac:dyDescent="0.25">
      <c r="A94" s="305" t="s">
        <v>310</v>
      </c>
      <c r="B94" s="305" t="s">
        <v>308</v>
      </c>
      <c r="C94" s="305">
        <v>97.438259000000002</v>
      </c>
      <c r="D94" s="305" t="s">
        <v>464</v>
      </c>
      <c r="E94" s="305" t="s">
        <v>424</v>
      </c>
      <c r="F94" s="133"/>
      <c r="G94" s="133"/>
    </row>
    <row r="95" spans="1:7" x14ac:dyDescent="0.25">
      <c r="A95" s="305" t="s">
        <v>64</v>
      </c>
      <c r="B95" s="305" t="s">
        <v>63</v>
      </c>
      <c r="C95" s="305">
        <v>96.288250000000005</v>
      </c>
      <c r="D95" s="305" t="s">
        <v>464</v>
      </c>
      <c r="E95" s="305" t="s">
        <v>935</v>
      </c>
      <c r="F95" s="133"/>
      <c r="G95" s="133"/>
    </row>
    <row r="96" spans="1:7" x14ac:dyDescent="0.25">
      <c r="A96" s="305" t="s">
        <v>37</v>
      </c>
      <c r="B96" s="305" t="s">
        <v>36</v>
      </c>
      <c r="C96" s="305" t="s">
        <v>787</v>
      </c>
      <c r="D96" s="305" t="s">
        <v>464</v>
      </c>
      <c r="E96" s="305" t="s">
        <v>787</v>
      </c>
      <c r="F96" s="133"/>
      <c r="G96" s="133"/>
    </row>
    <row r="97" spans="1:7" x14ac:dyDescent="0.25">
      <c r="A97" s="305" t="s">
        <v>74</v>
      </c>
      <c r="B97" s="305" t="s">
        <v>73</v>
      </c>
      <c r="C97" s="305" t="s">
        <v>787</v>
      </c>
      <c r="D97" s="305" t="s">
        <v>464</v>
      </c>
      <c r="E97" s="305" t="s">
        <v>787</v>
      </c>
      <c r="F97" s="133"/>
      <c r="G97" s="133"/>
    </row>
    <row r="98" spans="1:7" x14ac:dyDescent="0.25">
      <c r="A98" s="305" t="s">
        <v>282</v>
      </c>
      <c r="B98" s="305" t="s">
        <v>281</v>
      </c>
      <c r="C98" s="305">
        <v>97.403878500000005</v>
      </c>
      <c r="D98" s="305" t="s">
        <v>464</v>
      </c>
      <c r="E98" s="305" t="s">
        <v>462</v>
      </c>
      <c r="F98" s="133">
        <v>7</v>
      </c>
      <c r="G98" s="133">
        <v>37</v>
      </c>
    </row>
    <row r="99" spans="1:7" x14ac:dyDescent="0.25">
      <c r="A99" s="305" t="s">
        <v>467</v>
      </c>
      <c r="B99" s="305" t="s">
        <v>468</v>
      </c>
      <c r="C99" s="305">
        <v>96.315601999999998</v>
      </c>
      <c r="D99" s="305" t="s">
        <v>464</v>
      </c>
      <c r="E99" s="305" t="s">
        <v>787</v>
      </c>
      <c r="F99" s="133">
        <v>0</v>
      </c>
      <c r="G99" s="133">
        <v>0</v>
      </c>
    </row>
    <row r="100" spans="1:7" x14ac:dyDescent="0.25">
      <c r="A100" s="305" t="s">
        <v>955</v>
      </c>
      <c r="B100" s="305" t="s">
        <v>956</v>
      </c>
      <c r="C100" s="305">
        <v>96.637</v>
      </c>
      <c r="D100" s="305" t="s">
        <v>464</v>
      </c>
      <c r="E100" s="305" t="s">
        <v>424</v>
      </c>
      <c r="F100" s="133"/>
      <c r="G100" s="133"/>
    </row>
    <row r="101" spans="1:7" x14ac:dyDescent="0.25">
      <c r="A101" s="305" t="s">
        <v>1032</v>
      </c>
      <c r="B101" s="305" t="s">
        <v>357</v>
      </c>
      <c r="C101" s="305">
        <v>97.421104</v>
      </c>
      <c r="D101" s="305" t="s">
        <v>464</v>
      </c>
      <c r="E101" s="305" t="s">
        <v>787</v>
      </c>
      <c r="F101" s="133"/>
      <c r="G101" s="133"/>
    </row>
    <row r="102" spans="1:7" x14ac:dyDescent="0.25">
      <c r="A102" s="305" t="s">
        <v>1033</v>
      </c>
      <c r="B102" s="305" t="s">
        <v>358</v>
      </c>
      <c r="C102" s="305" t="s">
        <v>787</v>
      </c>
      <c r="D102" s="305" t="s">
        <v>464</v>
      </c>
      <c r="E102" s="305" t="s">
        <v>787</v>
      </c>
      <c r="F102" s="133"/>
      <c r="G102" s="133"/>
    </row>
    <row r="103" spans="1:7" x14ac:dyDescent="0.25">
      <c r="A103" s="305" t="s">
        <v>1034</v>
      </c>
      <c r="B103" s="305" t="s">
        <v>313</v>
      </c>
      <c r="C103" s="305">
        <v>97.551507000000001</v>
      </c>
      <c r="D103" s="305" t="s">
        <v>466</v>
      </c>
      <c r="E103" s="305" t="s">
        <v>935</v>
      </c>
      <c r="F103" s="133">
        <v>0</v>
      </c>
      <c r="G103" s="133">
        <v>0</v>
      </c>
    </row>
    <row r="104" spans="1:7" x14ac:dyDescent="0.25">
      <c r="A104" s="305" t="s">
        <v>1031</v>
      </c>
      <c r="B104" s="305" t="s">
        <v>354</v>
      </c>
      <c r="C104" s="305">
        <v>97.756789999999995</v>
      </c>
      <c r="D104" s="305" t="s">
        <v>466</v>
      </c>
      <c r="E104" s="305" t="s">
        <v>424</v>
      </c>
      <c r="F104" s="133"/>
      <c r="G104" s="133"/>
    </row>
    <row r="105" spans="1:7" x14ac:dyDescent="0.25">
      <c r="A105" s="305" t="s">
        <v>1062</v>
      </c>
      <c r="B105" s="305" t="s">
        <v>1054</v>
      </c>
      <c r="C105" s="305">
        <v>96.793999999999997</v>
      </c>
      <c r="D105" s="305" t="s">
        <v>464</v>
      </c>
      <c r="E105" s="305" t="s">
        <v>787</v>
      </c>
      <c r="F105" s="133"/>
      <c r="G105" s="133"/>
    </row>
    <row r="106" spans="1:7" x14ac:dyDescent="0.25">
      <c r="A106" s="305" t="s">
        <v>1053</v>
      </c>
      <c r="B106" s="305" t="s">
        <v>1056</v>
      </c>
      <c r="C106" s="305">
        <v>96.942279999999997</v>
      </c>
      <c r="D106" s="305" t="s">
        <v>464</v>
      </c>
      <c r="E106" s="305" t="s">
        <v>787</v>
      </c>
      <c r="F106" s="133">
        <v>6</v>
      </c>
      <c r="G106" s="133">
        <v>31</v>
      </c>
    </row>
    <row r="107" spans="1:7" x14ac:dyDescent="0.25">
      <c r="A107" s="305" t="s">
        <v>1079</v>
      </c>
      <c r="B107" s="305" t="s">
        <v>1080</v>
      </c>
      <c r="C107" s="305">
        <v>97.461271999999994</v>
      </c>
      <c r="D107" s="305" t="s">
        <v>464</v>
      </c>
      <c r="E107" s="305" t="s">
        <v>787</v>
      </c>
      <c r="F107" s="133"/>
      <c r="G107" s="133"/>
    </row>
    <row r="108" spans="1:7" x14ac:dyDescent="0.25">
      <c r="A108" s="305" t="s">
        <v>1132</v>
      </c>
      <c r="B108" s="305" t="s">
        <v>1133</v>
      </c>
      <c r="C108" s="305">
        <v>96.637</v>
      </c>
      <c r="D108" s="305" t="s">
        <v>464</v>
      </c>
      <c r="E108" s="305" t="s">
        <v>787</v>
      </c>
      <c r="F108" s="133"/>
      <c r="G108" s="133"/>
    </row>
    <row r="109" spans="1:7" x14ac:dyDescent="0.25">
      <c r="A109" s="305" t="s">
        <v>1128</v>
      </c>
      <c r="B109" s="305" t="s">
        <v>1123</v>
      </c>
      <c r="C109" s="305">
        <v>97.504999999999995</v>
      </c>
      <c r="D109" s="305" t="s">
        <v>464</v>
      </c>
      <c r="E109" s="305" t="s">
        <v>787</v>
      </c>
      <c r="F109" s="133"/>
      <c r="G109" s="133"/>
    </row>
    <row r="110" spans="1:7" x14ac:dyDescent="0.25">
      <c r="A110" s="305" t="s">
        <v>1139</v>
      </c>
      <c r="B110" s="305" t="s">
        <v>1122</v>
      </c>
      <c r="C110" s="305" t="s">
        <v>787</v>
      </c>
      <c r="D110" s="305" t="s">
        <v>464</v>
      </c>
      <c r="E110" s="305" t="s">
        <v>1314</v>
      </c>
      <c r="F110" s="133">
        <v>36</v>
      </c>
      <c r="G110" s="133">
        <v>188</v>
      </c>
    </row>
    <row r="111" spans="1:7" x14ac:dyDescent="0.25">
      <c r="A111" s="305" t="s">
        <v>1142</v>
      </c>
      <c r="B111" s="305" t="s">
        <v>1126</v>
      </c>
      <c r="C111" s="305">
        <v>98.221000000000004</v>
      </c>
      <c r="D111" s="305" t="s">
        <v>464</v>
      </c>
      <c r="E111" s="305" t="s">
        <v>787</v>
      </c>
      <c r="F111" s="133"/>
      <c r="G111" s="133"/>
    </row>
    <row r="112" spans="1:7" x14ac:dyDescent="0.25">
      <c r="A112" s="305" t="s">
        <v>1153</v>
      </c>
      <c r="B112" s="305" t="s">
        <v>1159</v>
      </c>
      <c r="C112" s="305">
        <v>96.662092000000001</v>
      </c>
      <c r="D112" s="305" t="s">
        <v>464</v>
      </c>
      <c r="E112" s="305" t="s">
        <v>787</v>
      </c>
      <c r="F112" s="133"/>
      <c r="G112" s="133"/>
    </row>
    <row r="113" spans="1:7" x14ac:dyDescent="0.25">
      <c r="A113" s="305" t="s">
        <v>1154</v>
      </c>
      <c r="B113" s="305" t="s">
        <v>1161</v>
      </c>
      <c r="C113" s="305">
        <v>96.662092000000001</v>
      </c>
      <c r="D113" s="305" t="s">
        <v>464</v>
      </c>
      <c r="E113" s="305" t="s">
        <v>787</v>
      </c>
      <c r="F113" s="133"/>
      <c r="G113" s="133"/>
    </row>
    <row r="114" spans="1:7" x14ac:dyDescent="0.25">
      <c r="A114" s="305" t="s">
        <v>1185</v>
      </c>
      <c r="B114" s="305" t="s">
        <v>1168</v>
      </c>
      <c r="C114" s="305">
        <v>97.400671000000003</v>
      </c>
      <c r="D114" s="305" t="s">
        <v>464</v>
      </c>
      <c r="E114" s="305" t="s">
        <v>787</v>
      </c>
      <c r="F114" s="133"/>
      <c r="G114" s="133"/>
    </row>
    <row r="115" spans="1:7" x14ac:dyDescent="0.25">
      <c r="A115" s="305" t="s">
        <v>1187</v>
      </c>
      <c r="B115" s="305" t="s">
        <v>1169</v>
      </c>
      <c r="C115" s="305" t="s">
        <v>787</v>
      </c>
      <c r="D115" s="305" t="s">
        <v>464</v>
      </c>
      <c r="E115" s="305" t="s">
        <v>787</v>
      </c>
      <c r="F115" s="133">
        <v>13</v>
      </c>
      <c r="G115" s="133">
        <v>45</v>
      </c>
    </row>
    <row r="116" spans="1:7" x14ac:dyDescent="0.25">
      <c r="A116" s="305" t="s">
        <v>1188</v>
      </c>
      <c r="B116" s="305" t="s">
        <v>1170</v>
      </c>
      <c r="C116" s="305" t="s">
        <v>787</v>
      </c>
      <c r="D116" s="305" t="s">
        <v>464</v>
      </c>
      <c r="E116" s="305" t="s">
        <v>787</v>
      </c>
      <c r="F116" s="133"/>
      <c r="G116" s="133"/>
    </row>
    <row r="117" spans="1:7" x14ac:dyDescent="0.25">
      <c r="A117" s="305" t="s">
        <v>1189</v>
      </c>
      <c r="B117" s="305" t="s">
        <v>1171</v>
      </c>
      <c r="C117" s="305" t="s">
        <v>787</v>
      </c>
      <c r="D117" s="305" t="s">
        <v>464</v>
      </c>
      <c r="E117" s="305" t="s">
        <v>787</v>
      </c>
      <c r="F117" s="133"/>
      <c r="G117" s="133"/>
    </row>
    <row r="118" spans="1:7" x14ac:dyDescent="0.25">
      <c r="A118" s="305" t="s">
        <v>1197</v>
      </c>
      <c r="B118" s="305" t="s">
        <v>1173</v>
      </c>
      <c r="C118" s="305" t="s">
        <v>787</v>
      </c>
      <c r="D118" s="305" t="s">
        <v>464</v>
      </c>
      <c r="E118" s="305" t="s">
        <v>787</v>
      </c>
      <c r="F118" s="133"/>
      <c r="G118" s="133"/>
    </row>
    <row r="119" spans="1:7" x14ac:dyDescent="0.25">
      <c r="A119" s="305" t="s">
        <v>1207</v>
      </c>
      <c r="B119" s="305" t="s">
        <v>1174</v>
      </c>
      <c r="C119" s="305" t="s">
        <v>787</v>
      </c>
      <c r="D119" s="305" t="s">
        <v>464</v>
      </c>
      <c r="E119" s="305" t="s">
        <v>787</v>
      </c>
      <c r="F119" s="133"/>
      <c r="G119" s="133"/>
    </row>
    <row r="120" spans="1:7" x14ac:dyDescent="0.25">
      <c r="A120" s="305" t="s">
        <v>1208</v>
      </c>
      <c r="B120" s="305" t="s">
        <v>1175</v>
      </c>
      <c r="C120" s="305" t="s">
        <v>787</v>
      </c>
      <c r="D120" s="305" t="s">
        <v>464</v>
      </c>
      <c r="E120" s="305" t="s">
        <v>787</v>
      </c>
      <c r="F120" s="133"/>
      <c r="G120" s="133"/>
    </row>
    <row r="121" spans="1:7" x14ac:dyDescent="0.25">
      <c r="A121" s="305" t="s">
        <v>1198</v>
      </c>
      <c r="B121" s="305" t="s">
        <v>1176</v>
      </c>
      <c r="C121" s="305" t="s">
        <v>787</v>
      </c>
      <c r="D121" s="305" t="s">
        <v>464</v>
      </c>
      <c r="E121" s="305" t="s">
        <v>787</v>
      </c>
      <c r="F121" s="133"/>
      <c r="G121" s="133"/>
    </row>
    <row r="122" spans="1:7" x14ac:dyDescent="0.25">
      <c r="A122" s="305" t="s">
        <v>1209</v>
      </c>
      <c r="B122" s="305" t="s">
        <v>1177</v>
      </c>
      <c r="C122" s="305" t="s">
        <v>787</v>
      </c>
      <c r="D122" s="305" t="s">
        <v>464</v>
      </c>
      <c r="E122" s="305" t="s">
        <v>787</v>
      </c>
      <c r="F122" s="133"/>
      <c r="G122" s="133"/>
    </row>
    <row r="123" spans="1:7" x14ac:dyDescent="0.25">
      <c r="A123" s="305" t="s">
        <v>1213</v>
      </c>
      <c r="B123" s="305" t="s">
        <v>1178</v>
      </c>
      <c r="C123" s="305" t="s">
        <v>787</v>
      </c>
      <c r="D123" s="305" t="s">
        <v>464</v>
      </c>
      <c r="E123" s="305" t="s">
        <v>787</v>
      </c>
      <c r="F123" s="133"/>
      <c r="G123" s="133"/>
    </row>
    <row r="124" spans="1:7" x14ac:dyDescent="0.25">
      <c r="A124" s="305" t="s">
        <v>1191</v>
      </c>
      <c r="B124" s="305" t="s">
        <v>1179</v>
      </c>
      <c r="C124" s="305" t="s">
        <v>787</v>
      </c>
      <c r="D124" s="305" t="s">
        <v>464</v>
      </c>
      <c r="E124" s="305" t="s">
        <v>787</v>
      </c>
      <c r="F124" s="133"/>
      <c r="G124" s="133"/>
    </row>
    <row r="125" spans="1:7" x14ac:dyDescent="0.25">
      <c r="A125" s="305" t="s">
        <v>1192</v>
      </c>
      <c r="B125" s="305" t="s">
        <v>1180</v>
      </c>
      <c r="C125" s="305" t="s">
        <v>787</v>
      </c>
      <c r="D125" s="305" t="s">
        <v>464</v>
      </c>
      <c r="E125" s="305" t="s">
        <v>787</v>
      </c>
      <c r="F125" s="133"/>
      <c r="G125" s="133"/>
    </row>
    <row r="126" spans="1:7" x14ac:dyDescent="0.25">
      <c r="A126" s="305" t="s">
        <v>1193</v>
      </c>
      <c r="B126" s="305" t="s">
        <v>1181</v>
      </c>
      <c r="C126" s="305" t="s">
        <v>787</v>
      </c>
      <c r="D126" s="305" t="s">
        <v>464</v>
      </c>
      <c r="E126" s="305" t="s">
        <v>787</v>
      </c>
      <c r="F126" s="133"/>
      <c r="G126" s="133"/>
    </row>
    <row r="127" spans="1:7" x14ac:dyDescent="0.25">
      <c r="A127" s="305" t="s">
        <v>1194</v>
      </c>
      <c r="B127" s="305" t="s">
        <v>1182</v>
      </c>
      <c r="C127" s="305" t="s">
        <v>787</v>
      </c>
      <c r="D127" s="305" t="s">
        <v>464</v>
      </c>
      <c r="E127" s="305" t="s">
        <v>787</v>
      </c>
      <c r="F127" s="133"/>
      <c r="G127" s="133"/>
    </row>
    <row r="128" spans="1:7" x14ac:dyDescent="0.25">
      <c r="A128" s="305" t="s">
        <v>1195</v>
      </c>
      <c r="B128" s="305" t="s">
        <v>1183</v>
      </c>
      <c r="C128" s="305" t="s">
        <v>787</v>
      </c>
      <c r="D128" s="305" t="s">
        <v>464</v>
      </c>
      <c r="E128" s="305" t="s">
        <v>787</v>
      </c>
      <c r="F128" s="133"/>
      <c r="G128" s="133"/>
    </row>
    <row r="129" spans="1:7" x14ac:dyDescent="0.25">
      <c r="A129" s="305" t="s">
        <v>1391</v>
      </c>
      <c r="B129" s="305" t="s">
        <v>1404</v>
      </c>
      <c r="C129" s="305" t="s">
        <v>787</v>
      </c>
      <c r="D129" s="305" t="s">
        <v>464</v>
      </c>
      <c r="E129" s="305" t="s">
        <v>1314</v>
      </c>
      <c r="F129" s="133">
        <v>42</v>
      </c>
      <c r="G129" s="133">
        <v>190</v>
      </c>
    </row>
    <row r="130" spans="1:7" x14ac:dyDescent="0.25">
      <c r="A130" s="305" t="s">
        <v>1517</v>
      </c>
      <c r="B130" s="305" t="s">
        <v>1542</v>
      </c>
      <c r="C130" s="305" t="s">
        <v>787</v>
      </c>
      <c r="D130" s="305" t="s">
        <v>464</v>
      </c>
      <c r="E130" s="305" t="s">
        <v>787</v>
      </c>
      <c r="F130" s="133">
        <v>245</v>
      </c>
      <c r="G130" s="133">
        <v>1084</v>
      </c>
    </row>
    <row r="131" spans="1:7" x14ac:dyDescent="0.25">
      <c r="A131" s="305" t="s">
        <v>1526</v>
      </c>
      <c r="B131" s="305" t="s">
        <v>1544</v>
      </c>
      <c r="C131" s="305" t="s">
        <v>787</v>
      </c>
      <c r="D131" s="305" t="s">
        <v>464</v>
      </c>
      <c r="E131" s="305" t="s">
        <v>1314</v>
      </c>
      <c r="F131" s="133">
        <v>25</v>
      </c>
      <c r="G131" s="133">
        <v>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3"/>
  <sheetViews>
    <sheetView topLeftCell="A3" workbookViewId="0">
      <selection activeCell="D8" sqref="D4:D23"/>
      <pivotSelection pane="bottomRight" showHeader="1" axis="axisRow" dimension="3" activeRow="7" activeCol="3" previousRow="7" previousCol="3" click="1" r:id="rId1">
        <pivotArea dataOnly="0" labelOnly="1" outline="0" fieldPosition="0">
          <references count="1">
            <reference field="19" count="0"/>
          </references>
        </pivotArea>
      </pivotSelection>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139" t="s">
        <v>458</v>
      </c>
      <c r="B1" s="305" t="s">
        <v>460</v>
      </c>
    </row>
    <row r="2" spans="1:4" hidden="1" x14ac:dyDescent="0.25"/>
    <row r="3" spans="1:4" x14ac:dyDescent="0.25">
      <c r="A3" s="139" t="s">
        <v>399</v>
      </c>
      <c r="B3" s="139" t="s">
        <v>0</v>
      </c>
      <c r="C3" s="139" t="s">
        <v>463</v>
      </c>
      <c r="D3" s="139" t="s">
        <v>511</v>
      </c>
    </row>
    <row r="4" spans="1:4" x14ac:dyDescent="0.25">
      <c r="A4" s="305" t="s">
        <v>778</v>
      </c>
      <c r="B4" s="305" t="s">
        <v>5</v>
      </c>
      <c r="C4" s="305" t="s">
        <v>14</v>
      </c>
      <c r="D4" s="305" t="s">
        <v>13</v>
      </c>
    </row>
    <row r="5" spans="1:4" x14ac:dyDescent="0.25">
      <c r="C5" s="305" t="s">
        <v>18</v>
      </c>
      <c r="D5" s="305" t="s">
        <v>17</v>
      </c>
    </row>
    <row r="6" spans="1:4" x14ac:dyDescent="0.25">
      <c r="C6" s="305" t="s">
        <v>364</v>
      </c>
      <c r="D6" s="305" t="s">
        <v>374</v>
      </c>
    </row>
    <row r="7" spans="1:4" x14ac:dyDescent="0.25">
      <c r="C7" s="305" t="s">
        <v>22</v>
      </c>
      <c r="D7" s="305" t="s">
        <v>21</v>
      </c>
    </row>
    <row r="8" spans="1:4" x14ac:dyDescent="0.25">
      <c r="C8" s="305" t="s">
        <v>26</v>
      </c>
      <c r="D8" s="305" t="s">
        <v>25</v>
      </c>
    </row>
    <row r="9" spans="1:4" x14ac:dyDescent="0.25">
      <c r="B9" s="305" t="s">
        <v>146</v>
      </c>
      <c r="C9" s="305" t="s">
        <v>367</v>
      </c>
      <c r="D9" s="305" t="s">
        <v>381</v>
      </c>
    </row>
    <row r="10" spans="1:4" x14ac:dyDescent="0.25">
      <c r="C10" s="305" t="s">
        <v>368</v>
      </c>
      <c r="D10" s="305" t="s">
        <v>382</v>
      </c>
    </row>
    <row r="11" spans="1:4" x14ac:dyDescent="0.25">
      <c r="C11" s="305" t="s">
        <v>371</v>
      </c>
      <c r="D11" s="305" t="s">
        <v>385</v>
      </c>
    </row>
    <row r="12" spans="1:4" x14ac:dyDescent="0.25">
      <c r="B12" s="305" t="s">
        <v>151</v>
      </c>
      <c r="C12" s="305" t="s">
        <v>160</v>
      </c>
      <c r="D12" s="305" t="s">
        <v>159</v>
      </c>
    </row>
    <row r="13" spans="1:4" x14ac:dyDescent="0.25">
      <c r="C13" s="305" t="s">
        <v>152</v>
      </c>
      <c r="D13" s="305" t="s">
        <v>150</v>
      </c>
    </row>
    <row r="14" spans="1:4" x14ac:dyDescent="0.25">
      <c r="B14" s="305" t="s">
        <v>185</v>
      </c>
      <c r="C14" s="305" t="s">
        <v>202</v>
      </c>
      <c r="D14" s="305" t="s">
        <v>201</v>
      </c>
    </row>
    <row r="15" spans="1:4" x14ac:dyDescent="0.25">
      <c r="C15" s="305" t="s">
        <v>209</v>
      </c>
      <c r="D15" s="305" t="s">
        <v>208</v>
      </c>
    </row>
    <row r="16" spans="1:4" x14ac:dyDescent="0.25">
      <c r="B16" s="305" t="s">
        <v>230</v>
      </c>
      <c r="C16" s="305" t="s">
        <v>902</v>
      </c>
      <c r="D16" s="305" t="s">
        <v>903</v>
      </c>
    </row>
    <row r="17" spans="2:4" x14ac:dyDescent="0.25">
      <c r="C17" s="305" t="s">
        <v>912</v>
      </c>
      <c r="D17" s="305" t="s">
        <v>913</v>
      </c>
    </row>
    <row r="18" spans="2:4" x14ac:dyDescent="0.25">
      <c r="C18" s="305" t="s">
        <v>359</v>
      </c>
      <c r="D18" s="305" t="s">
        <v>771</v>
      </c>
    </row>
    <row r="19" spans="2:4" x14ac:dyDescent="0.25">
      <c r="B19" s="305" t="s">
        <v>288</v>
      </c>
      <c r="C19" s="305" t="s">
        <v>904</v>
      </c>
      <c r="D19" s="305" t="s">
        <v>905</v>
      </c>
    </row>
    <row r="20" spans="2:4" x14ac:dyDescent="0.25">
      <c r="C20" s="305" t="s">
        <v>916</v>
      </c>
      <c r="D20" s="305" t="s">
        <v>909</v>
      </c>
    </row>
    <row r="21" spans="2:4" x14ac:dyDescent="0.25">
      <c r="B21" s="305" t="s">
        <v>301</v>
      </c>
      <c r="C21" s="305" t="s">
        <v>305</v>
      </c>
      <c r="D21" s="305" t="s">
        <v>304</v>
      </c>
    </row>
    <row r="22" spans="2:4" x14ac:dyDescent="0.25">
      <c r="B22" s="305" t="s">
        <v>309</v>
      </c>
      <c r="C22" s="305" t="s">
        <v>351</v>
      </c>
      <c r="D22" s="305" t="s">
        <v>350</v>
      </c>
    </row>
    <row r="23" spans="2:4" x14ac:dyDescent="0.25">
      <c r="B23" s="305" t="s">
        <v>719</v>
      </c>
      <c r="C23" s="305" t="s">
        <v>1059</v>
      </c>
      <c r="D23" s="305" t="s">
        <v>1043</v>
      </c>
    </row>
  </sheetData>
  <pageMargins left="0.25" right="0.25"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B1:L359"/>
  <sheetViews>
    <sheetView showGridLines="0" topLeftCell="A109" zoomScaleNormal="100" workbookViewId="0">
      <selection activeCell="D197" sqref="D197"/>
    </sheetView>
  </sheetViews>
  <sheetFormatPr defaultColWidth="9.140625" defaultRowHeight="15" x14ac:dyDescent="0.25"/>
  <cols>
    <col min="1" max="1" width="1.7109375" style="181" customWidth="1"/>
    <col min="2" max="2" width="11.28515625" style="181" customWidth="1"/>
    <col min="3" max="3" width="12.7109375" style="181" customWidth="1"/>
    <col min="4" max="4" width="47" style="181" bestFit="1" customWidth="1"/>
    <col min="5" max="5" width="19.140625" style="181" customWidth="1"/>
    <col min="6" max="6" width="18.5703125" style="181" customWidth="1"/>
    <col min="7" max="7" width="12" style="181" customWidth="1"/>
    <col min="8" max="8" width="10.7109375" style="251" customWidth="1"/>
    <col min="9" max="9" width="11.28515625" style="251" customWidth="1"/>
    <col min="10" max="10" width="12.28515625" style="181" customWidth="1"/>
    <col min="11" max="16384" width="9.140625" style="181"/>
  </cols>
  <sheetData>
    <row r="1" spans="2:12" ht="10.9" customHeight="1" x14ac:dyDescent="0.25"/>
    <row r="2" spans="2:12" ht="21.75" customHeight="1" x14ac:dyDescent="0.25">
      <c r="B2" s="242"/>
      <c r="C2" s="175"/>
      <c r="D2" s="175"/>
      <c r="E2" s="175"/>
      <c r="F2" s="175"/>
      <c r="G2" s="175"/>
      <c r="H2" s="175"/>
      <c r="I2" s="176"/>
      <c r="J2" s="307"/>
      <c r="K2" s="307"/>
      <c r="L2" s="180"/>
    </row>
    <row r="3" spans="2:12" ht="28.5" x14ac:dyDescent="0.25">
      <c r="B3" s="243" t="s">
        <v>786</v>
      </c>
      <c r="C3" s="244"/>
      <c r="D3" s="244"/>
      <c r="E3" s="244"/>
      <c r="F3" s="244"/>
      <c r="G3" s="244"/>
      <c r="H3" s="244"/>
      <c r="I3" s="245"/>
      <c r="J3" s="41"/>
      <c r="K3" s="41"/>
      <c r="L3" s="41"/>
    </row>
    <row r="4" spans="2:12" ht="28.5" x14ac:dyDescent="0.25">
      <c r="B4" s="772">
        <f>Definition!B23</f>
        <v>43404</v>
      </c>
      <c r="C4" s="773"/>
      <c r="D4" s="247"/>
      <c r="E4" s="247"/>
      <c r="F4" s="247"/>
      <c r="G4" s="247"/>
      <c r="H4" s="247"/>
      <c r="I4" s="248"/>
      <c r="J4" s="246"/>
      <c r="K4" s="246"/>
      <c r="L4" s="246"/>
    </row>
    <row r="5" spans="2:12" ht="17.25" customHeight="1" x14ac:dyDescent="0.25">
      <c r="B5" s="249" t="s">
        <v>458</v>
      </c>
      <c r="C5" s="250" t="s">
        <v>1740</v>
      </c>
      <c r="D5" s="246"/>
      <c r="E5" s="246"/>
      <c r="F5" s="246"/>
      <c r="G5" s="246"/>
      <c r="H5" s="246"/>
      <c r="I5" s="246"/>
      <c r="J5" s="246"/>
      <c r="K5" s="42"/>
      <c r="L5" s="246"/>
    </row>
    <row r="6" spans="2:12" x14ac:dyDescent="0.25">
      <c r="B6" s="249" t="s">
        <v>1035</v>
      </c>
      <c r="C6" s="250" t="s">
        <v>537</v>
      </c>
    </row>
    <row r="7" spans="2:12" ht="6.75" customHeight="1" x14ac:dyDescent="0.25"/>
    <row r="8" spans="2:12" s="291" customFormat="1" ht="30" x14ac:dyDescent="0.25">
      <c r="B8" s="286" t="s">
        <v>392</v>
      </c>
      <c r="C8" s="287" t="s">
        <v>0</v>
      </c>
      <c r="D8" s="287" t="s">
        <v>507</v>
      </c>
      <c r="E8" s="287" t="s">
        <v>833</v>
      </c>
      <c r="F8" s="288" t="s">
        <v>834</v>
      </c>
      <c r="G8" s="656" t="s">
        <v>457</v>
      </c>
      <c r="H8" s="289" t="s">
        <v>1407</v>
      </c>
      <c r="I8" s="449" t="s">
        <v>788</v>
      </c>
      <c r="J8"/>
      <c r="K8"/>
      <c r="L8" s="290"/>
    </row>
    <row r="9" spans="2:12" ht="12.75" customHeight="1" x14ac:dyDescent="0.25">
      <c r="B9" s="252" t="s">
        <v>378</v>
      </c>
      <c r="C9" s="177" t="s">
        <v>5</v>
      </c>
      <c r="D9" s="177" t="s">
        <v>6</v>
      </c>
      <c r="E9" s="177" t="s">
        <v>4</v>
      </c>
      <c r="F9" s="177" t="s">
        <v>934</v>
      </c>
      <c r="G9" s="177" t="s">
        <v>464</v>
      </c>
      <c r="H9" s="253">
        <v>235</v>
      </c>
      <c r="I9" s="254">
        <v>1166</v>
      </c>
      <c r="J9"/>
      <c r="K9"/>
    </row>
    <row r="10" spans="2:12" ht="12.75" customHeight="1" x14ac:dyDescent="0.25">
      <c r="B10" s="252"/>
      <c r="C10" s="177"/>
      <c r="D10" s="177" t="s">
        <v>465</v>
      </c>
      <c r="E10" s="177" t="s">
        <v>375</v>
      </c>
      <c r="F10" s="177" t="s">
        <v>424</v>
      </c>
      <c r="G10" s="177" t="s">
        <v>464</v>
      </c>
      <c r="H10" s="253">
        <v>12</v>
      </c>
      <c r="I10" s="254">
        <v>52</v>
      </c>
      <c r="J10"/>
      <c r="K10"/>
    </row>
    <row r="11" spans="2:12" ht="12.75" customHeight="1" x14ac:dyDescent="0.25">
      <c r="B11" s="252"/>
      <c r="C11" s="177"/>
      <c r="D11" s="177" t="s">
        <v>12</v>
      </c>
      <c r="E11" s="177" t="s">
        <v>11</v>
      </c>
      <c r="F11" s="177" t="s">
        <v>1314</v>
      </c>
      <c r="G11" s="177" t="s">
        <v>464</v>
      </c>
      <c r="H11" s="253">
        <v>190</v>
      </c>
      <c r="I11" s="254">
        <v>928</v>
      </c>
      <c r="J11"/>
      <c r="K11"/>
    </row>
    <row r="12" spans="2:12" ht="12.75" customHeight="1" x14ac:dyDescent="0.25">
      <c r="B12" s="252"/>
      <c r="C12" s="177"/>
      <c r="D12" s="177" t="s">
        <v>14</v>
      </c>
      <c r="E12" s="177" t="s">
        <v>13</v>
      </c>
      <c r="F12" s="177" t="s">
        <v>424</v>
      </c>
      <c r="G12" s="177" t="s">
        <v>464</v>
      </c>
      <c r="H12" s="253">
        <v>42</v>
      </c>
      <c r="I12" s="254">
        <v>234</v>
      </c>
      <c r="J12"/>
      <c r="K12"/>
    </row>
    <row r="13" spans="2:12" ht="12.75" customHeight="1" x14ac:dyDescent="0.25">
      <c r="B13" s="252"/>
      <c r="C13" s="177"/>
      <c r="D13" s="306" t="s">
        <v>18</v>
      </c>
      <c r="E13" s="177" t="s">
        <v>17</v>
      </c>
      <c r="F13" s="177" t="s">
        <v>462</v>
      </c>
      <c r="G13" s="177" t="s">
        <v>464</v>
      </c>
      <c r="H13" s="253">
        <v>132</v>
      </c>
      <c r="I13" s="254">
        <v>774</v>
      </c>
      <c r="J13"/>
      <c r="K13"/>
    </row>
    <row r="14" spans="2:12" ht="12.75" customHeight="1" x14ac:dyDescent="0.25">
      <c r="B14" s="252"/>
      <c r="C14" s="177"/>
      <c r="D14" s="306" t="s">
        <v>8</v>
      </c>
      <c r="E14" s="177" t="s">
        <v>7</v>
      </c>
      <c r="F14" s="177" t="s">
        <v>462</v>
      </c>
      <c r="G14" s="177" t="s">
        <v>464</v>
      </c>
      <c r="H14" s="253">
        <v>13</v>
      </c>
      <c r="I14" s="254">
        <v>57</v>
      </c>
      <c r="J14"/>
      <c r="K14"/>
    </row>
    <row r="15" spans="2:12" ht="12.75" customHeight="1" x14ac:dyDescent="0.25">
      <c r="B15" s="252"/>
      <c r="C15" s="177"/>
      <c r="D15" s="306" t="s">
        <v>20</v>
      </c>
      <c r="E15" s="177" t="s">
        <v>19</v>
      </c>
      <c r="F15" s="177" t="s">
        <v>934</v>
      </c>
      <c r="G15" s="177" t="s">
        <v>464</v>
      </c>
      <c r="H15" s="253">
        <v>17</v>
      </c>
      <c r="I15" s="254">
        <v>76</v>
      </c>
      <c r="J15"/>
      <c r="K15"/>
    </row>
    <row r="16" spans="2:12" ht="12.75" customHeight="1" x14ac:dyDescent="0.25">
      <c r="B16" s="252"/>
      <c r="C16" s="177"/>
      <c r="D16" s="306" t="s">
        <v>364</v>
      </c>
      <c r="E16" s="177" t="s">
        <v>374</v>
      </c>
      <c r="F16" s="177" t="s">
        <v>424</v>
      </c>
      <c r="G16" s="177" t="s">
        <v>464</v>
      </c>
      <c r="H16" s="253">
        <v>147</v>
      </c>
      <c r="I16" s="254">
        <v>764</v>
      </c>
      <c r="J16"/>
      <c r="K16"/>
    </row>
    <row r="17" spans="2:11" ht="12.75" customHeight="1" x14ac:dyDescent="0.25">
      <c r="B17" s="252"/>
      <c r="C17" s="177"/>
      <c r="D17" s="306" t="s">
        <v>22</v>
      </c>
      <c r="E17" s="177" t="s">
        <v>21</v>
      </c>
      <c r="F17" s="177" t="s">
        <v>424</v>
      </c>
      <c r="G17" s="177" t="s">
        <v>464</v>
      </c>
      <c r="H17" s="253">
        <v>641</v>
      </c>
      <c r="I17" s="254">
        <v>4010</v>
      </c>
      <c r="J17"/>
      <c r="K17"/>
    </row>
    <row r="18" spans="2:11" ht="12.75" customHeight="1" x14ac:dyDescent="0.25">
      <c r="B18" s="252"/>
      <c r="C18" s="177"/>
      <c r="D18" s="177" t="s">
        <v>26</v>
      </c>
      <c r="E18" s="177" t="s">
        <v>25</v>
      </c>
      <c r="F18" s="177" t="s">
        <v>462</v>
      </c>
      <c r="G18" s="177" t="s">
        <v>464</v>
      </c>
      <c r="H18" s="253">
        <v>13</v>
      </c>
      <c r="I18" s="254">
        <v>63</v>
      </c>
      <c r="J18"/>
      <c r="K18"/>
    </row>
    <row r="19" spans="2:11" ht="12.75" customHeight="1" x14ac:dyDescent="0.25">
      <c r="B19" s="252"/>
      <c r="C19" s="177" t="s">
        <v>1597</v>
      </c>
      <c r="D19" s="177"/>
      <c r="E19" s="177"/>
      <c r="F19" s="177"/>
      <c r="G19" s="177"/>
      <c r="H19" s="253">
        <v>1442</v>
      </c>
      <c r="I19" s="254">
        <v>8124</v>
      </c>
      <c r="J19"/>
      <c r="K19"/>
    </row>
    <row r="20" spans="2:11" ht="12.75" customHeight="1" x14ac:dyDescent="0.25">
      <c r="B20" s="252"/>
      <c r="C20" s="177" t="s">
        <v>27</v>
      </c>
      <c r="D20" s="177" t="s">
        <v>28</v>
      </c>
      <c r="E20" s="177" t="s">
        <v>30</v>
      </c>
      <c r="F20" s="177" t="s">
        <v>462</v>
      </c>
      <c r="G20" s="177" t="s">
        <v>464</v>
      </c>
      <c r="H20" s="253">
        <v>161</v>
      </c>
      <c r="I20" s="254">
        <v>804</v>
      </c>
      <c r="J20"/>
      <c r="K20"/>
    </row>
    <row r="21" spans="2:11" ht="12.75" customHeight="1" x14ac:dyDescent="0.25">
      <c r="B21" s="252"/>
      <c r="C21" s="177"/>
      <c r="D21" s="177" t="s">
        <v>362</v>
      </c>
      <c r="E21" s="177" t="s">
        <v>29</v>
      </c>
      <c r="F21" s="177" t="s">
        <v>424</v>
      </c>
      <c r="G21" s="177" t="s">
        <v>466</v>
      </c>
      <c r="H21" s="253">
        <v>163</v>
      </c>
      <c r="I21" s="254">
        <v>962</v>
      </c>
      <c r="J21"/>
      <c r="K21"/>
    </row>
    <row r="22" spans="2:11" ht="12.75" customHeight="1" x14ac:dyDescent="0.25">
      <c r="B22" s="252"/>
      <c r="C22" s="177"/>
      <c r="D22" s="177" t="s">
        <v>363</v>
      </c>
      <c r="E22" s="177" t="s">
        <v>376</v>
      </c>
      <c r="F22" s="177" t="s">
        <v>462</v>
      </c>
      <c r="G22" s="177" t="s">
        <v>464</v>
      </c>
      <c r="H22" s="253">
        <v>205</v>
      </c>
      <c r="I22" s="254">
        <v>847</v>
      </c>
      <c r="J22"/>
      <c r="K22"/>
    </row>
    <row r="23" spans="2:11" ht="12.75" customHeight="1" x14ac:dyDescent="0.25">
      <c r="B23" s="252"/>
      <c r="C23" s="177"/>
      <c r="D23" s="177" t="s">
        <v>790</v>
      </c>
      <c r="E23" s="177" t="s">
        <v>789</v>
      </c>
      <c r="F23" s="177" t="s">
        <v>935</v>
      </c>
      <c r="G23" s="177" t="s">
        <v>464</v>
      </c>
      <c r="H23" s="253">
        <v>57</v>
      </c>
      <c r="I23" s="254">
        <v>273</v>
      </c>
      <c r="J23"/>
      <c r="K23"/>
    </row>
    <row r="24" spans="2:11" ht="12.75" customHeight="1" x14ac:dyDescent="0.25">
      <c r="B24" s="252"/>
      <c r="C24" s="177"/>
      <c r="D24" s="177" t="s">
        <v>874</v>
      </c>
      <c r="E24" s="177" t="s">
        <v>875</v>
      </c>
      <c r="F24" s="177" t="s">
        <v>935</v>
      </c>
      <c r="G24" s="177" t="s">
        <v>464</v>
      </c>
      <c r="H24" s="253">
        <v>28</v>
      </c>
      <c r="I24" s="254">
        <v>165</v>
      </c>
      <c r="J24"/>
      <c r="K24"/>
    </row>
    <row r="25" spans="2:11" ht="12.75" customHeight="1" x14ac:dyDescent="0.25">
      <c r="B25" s="252"/>
      <c r="C25" s="177" t="s">
        <v>952</v>
      </c>
      <c r="D25" s="177"/>
      <c r="E25" s="177"/>
      <c r="F25" s="177"/>
      <c r="G25" s="177"/>
      <c r="H25" s="253">
        <v>614</v>
      </c>
      <c r="I25" s="254">
        <v>3051</v>
      </c>
      <c r="J25"/>
      <c r="K25"/>
    </row>
    <row r="26" spans="2:11" x14ac:dyDescent="0.25">
      <c r="B26" s="252"/>
      <c r="C26" s="177" t="s">
        <v>480</v>
      </c>
      <c r="D26" s="177" t="s">
        <v>120</v>
      </c>
      <c r="E26" s="177" t="s">
        <v>119</v>
      </c>
      <c r="F26" s="177" t="s">
        <v>935</v>
      </c>
      <c r="G26" s="177" t="s">
        <v>464</v>
      </c>
      <c r="H26" s="253">
        <v>68</v>
      </c>
      <c r="I26" s="254">
        <v>335</v>
      </c>
      <c r="J26"/>
      <c r="K26"/>
    </row>
    <row r="27" spans="2:11" ht="12.75" customHeight="1" x14ac:dyDescent="0.25">
      <c r="B27" s="252"/>
      <c r="C27" s="177"/>
      <c r="D27" s="177" t="s">
        <v>41</v>
      </c>
      <c r="E27" s="177" t="s">
        <v>40</v>
      </c>
      <c r="F27" s="177" t="s">
        <v>462</v>
      </c>
      <c r="G27" s="177" t="s">
        <v>464</v>
      </c>
      <c r="H27" s="253">
        <v>70</v>
      </c>
      <c r="I27" s="254">
        <v>374</v>
      </c>
      <c r="J27"/>
      <c r="K27"/>
    </row>
    <row r="28" spans="2:11" ht="12.75" customHeight="1" x14ac:dyDescent="0.25">
      <c r="B28" s="252"/>
      <c r="C28" s="177"/>
      <c r="D28" s="177" t="s">
        <v>43</v>
      </c>
      <c r="E28" s="177" t="s">
        <v>42</v>
      </c>
      <c r="F28" s="177" t="s">
        <v>462</v>
      </c>
      <c r="G28" s="177" t="s">
        <v>464</v>
      </c>
      <c r="H28" s="253">
        <v>13</v>
      </c>
      <c r="I28" s="254">
        <v>83</v>
      </c>
      <c r="J28"/>
      <c r="K28"/>
    </row>
    <row r="29" spans="2:11" ht="12.75" customHeight="1" x14ac:dyDescent="0.25">
      <c r="B29" s="252"/>
      <c r="C29" s="177"/>
      <c r="D29" s="177" t="s">
        <v>52</v>
      </c>
      <c r="E29" s="177" t="s">
        <v>51</v>
      </c>
      <c r="F29" s="177" t="s">
        <v>424</v>
      </c>
      <c r="G29" s="177" t="s">
        <v>464</v>
      </c>
      <c r="H29" s="253">
        <v>36</v>
      </c>
      <c r="I29" s="254">
        <v>226</v>
      </c>
      <c r="J29"/>
      <c r="K29"/>
    </row>
    <row r="30" spans="2:11" ht="12.75" customHeight="1" x14ac:dyDescent="0.25">
      <c r="B30" s="252"/>
      <c r="C30" s="177"/>
      <c r="D30" s="177" t="s">
        <v>72</v>
      </c>
      <c r="E30" s="177" t="s">
        <v>71</v>
      </c>
      <c r="F30" s="177" t="s">
        <v>1314</v>
      </c>
      <c r="G30" s="177" t="s">
        <v>464</v>
      </c>
      <c r="H30" s="253">
        <v>6</v>
      </c>
      <c r="I30" s="254">
        <v>31</v>
      </c>
      <c r="J30"/>
      <c r="K30"/>
    </row>
    <row r="31" spans="2:11" ht="12.75" customHeight="1" x14ac:dyDescent="0.25">
      <c r="B31" s="252"/>
      <c r="C31" s="177"/>
      <c r="D31" s="177" t="s">
        <v>76</v>
      </c>
      <c r="E31" s="177" t="s">
        <v>75</v>
      </c>
      <c r="F31" s="177" t="s">
        <v>462</v>
      </c>
      <c r="G31" s="177" t="s">
        <v>464</v>
      </c>
      <c r="H31" s="253">
        <v>70</v>
      </c>
      <c r="I31" s="254">
        <v>375</v>
      </c>
      <c r="J31"/>
      <c r="K31"/>
    </row>
    <row r="32" spans="2:11" ht="12.75" customHeight="1" x14ac:dyDescent="0.25">
      <c r="B32" s="252"/>
      <c r="C32" s="177"/>
      <c r="D32" s="177" t="s">
        <v>88</v>
      </c>
      <c r="E32" s="177" t="s">
        <v>87</v>
      </c>
      <c r="F32" s="177" t="s">
        <v>424</v>
      </c>
      <c r="G32" s="177" t="s">
        <v>464</v>
      </c>
      <c r="H32" s="253">
        <v>34</v>
      </c>
      <c r="I32" s="254">
        <v>136</v>
      </c>
      <c r="J32"/>
      <c r="K32"/>
    </row>
    <row r="33" spans="2:11" x14ac:dyDescent="0.25">
      <c r="B33" s="252"/>
      <c r="C33" s="177"/>
      <c r="D33" s="177" t="s">
        <v>44</v>
      </c>
      <c r="E33" s="177" t="s">
        <v>45</v>
      </c>
      <c r="F33" s="177" t="s">
        <v>1314</v>
      </c>
      <c r="G33" s="177" t="s">
        <v>464</v>
      </c>
      <c r="H33" s="253">
        <v>2</v>
      </c>
      <c r="I33" s="254">
        <v>14</v>
      </c>
      <c r="J33"/>
      <c r="K33"/>
    </row>
    <row r="34" spans="2:11" ht="12.75" customHeight="1" x14ac:dyDescent="0.25">
      <c r="B34" s="252"/>
      <c r="C34" s="177"/>
      <c r="D34" s="177" t="s">
        <v>90</v>
      </c>
      <c r="E34" s="177" t="s">
        <v>89</v>
      </c>
      <c r="F34" s="177" t="s">
        <v>462</v>
      </c>
      <c r="G34" s="177" t="s">
        <v>464</v>
      </c>
      <c r="H34" s="253">
        <v>18</v>
      </c>
      <c r="I34" s="254">
        <v>102</v>
      </c>
      <c r="J34"/>
      <c r="K34"/>
    </row>
    <row r="35" spans="2:11" ht="12.75" customHeight="1" x14ac:dyDescent="0.25">
      <c r="B35" s="252"/>
      <c r="C35" s="177"/>
      <c r="D35" s="177" t="s">
        <v>92</v>
      </c>
      <c r="E35" s="177" t="s">
        <v>91</v>
      </c>
      <c r="F35" s="177" t="s">
        <v>462</v>
      </c>
      <c r="G35" s="177" t="s">
        <v>464</v>
      </c>
      <c r="H35" s="253">
        <v>11</v>
      </c>
      <c r="I35" s="254">
        <v>55</v>
      </c>
      <c r="J35"/>
      <c r="K35"/>
    </row>
    <row r="36" spans="2:11" ht="12.75" customHeight="1" x14ac:dyDescent="0.25">
      <c r="B36" s="252"/>
      <c r="C36" s="177"/>
      <c r="D36" s="177" t="s">
        <v>100</v>
      </c>
      <c r="E36" s="177" t="s">
        <v>99</v>
      </c>
      <c r="F36" s="177" t="s">
        <v>1314</v>
      </c>
      <c r="G36" s="177" t="s">
        <v>464</v>
      </c>
      <c r="H36" s="253">
        <v>3</v>
      </c>
      <c r="I36" s="254">
        <v>15</v>
      </c>
      <c r="J36"/>
      <c r="K36"/>
    </row>
    <row r="37" spans="2:11" ht="12.75" customHeight="1" x14ac:dyDescent="0.25">
      <c r="B37" s="252"/>
      <c r="C37" s="177"/>
      <c r="D37" s="177" t="s">
        <v>551</v>
      </c>
      <c r="E37" s="177" t="s">
        <v>46</v>
      </c>
      <c r="F37" s="177" t="s">
        <v>1314</v>
      </c>
      <c r="G37" s="177" t="s">
        <v>464</v>
      </c>
      <c r="H37" s="253">
        <v>11</v>
      </c>
      <c r="I37" s="254">
        <v>43</v>
      </c>
      <c r="J37"/>
      <c r="K37"/>
    </row>
    <row r="38" spans="2:11" x14ac:dyDescent="0.25">
      <c r="B38" s="252"/>
      <c r="C38" s="177"/>
      <c r="D38" s="177" t="s">
        <v>108</v>
      </c>
      <c r="E38" s="177" t="s">
        <v>107</v>
      </c>
      <c r="F38" s="177" t="s">
        <v>935</v>
      </c>
      <c r="G38" s="177" t="s">
        <v>464</v>
      </c>
      <c r="H38" s="253">
        <v>50</v>
      </c>
      <c r="I38" s="254">
        <v>237</v>
      </c>
      <c r="J38"/>
      <c r="K38"/>
    </row>
    <row r="39" spans="2:11" ht="12.75" customHeight="1" x14ac:dyDescent="0.25">
      <c r="B39" s="252"/>
      <c r="C39" s="177"/>
      <c r="D39" s="177" t="s">
        <v>118</v>
      </c>
      <c r="E39" s="177" t="s">
        <v>117</v>
      </c>
      <c r="F39" s="177" t="s">
        <v>1314</v>
      </c>
      <c r="G39" s="177" t="s">
        <v>464</v>
      </c>
      <c r="H39" s="253">
        <v>10</v>
      </c>
      <c r="I39" s="254">
        <v>38</v>
      </c>
      <c r="J39"/>
      <c r="K39"/>
    </row>
    <row r="40" spans="2:11" x14ac:dyDescent="0.25">
      <c r="B40" s="252"/>
      <c r="C40" s="177"/>
      <c r="D40" s="177" t="s">
        <v>126</v>
      </c>
      <c r="E40" s="177" t="s">
        <v>125</v>
      </c>
      <c r="F40" s="177" t="s">
        <v>424</v>
      </c>
      <c r="G40" s="177" t="s">
        <v>464</v>
      </c>
      <c r="H40" s="253">
        <v>32</v>
      </c>
      <c r="I40" s="254">
        <v>173</v>
      </c>
      <c r="J40"/>
      <c r="K40"/>
    </row>
    <row r="41" spans="2:11" ht="12.75" customHeight="1" x14ac:dyDescent="0.25">
      <c r="B41" s="252"/>
      <c r="C41" s="177"/>
      <c r="D41" s="177" t="s">
        <v>140</v>
      </c>
      <c r="E41" s="177" t="s">
        <v>139</v>
      </c>
      <c r="F41" s="177" t="s">
        <v>424</v>
      </c>
      <c r="G41" s="177" t="s">
        <v>464</v>
      </c>
      <c r="H41" s="253">
        <v>16</v>
      </c>
      <c r="I41" s="254">
        <v>68</v>
      </c>
      <c r="J41"/>
      <c r="K41"/>
    </row>
    <row r="42" spans="2:11" ht="12.75" customHeight="1" x14ac:dyDescent="0.25">
      <c r="B42" s="252"/>
      <c r="C42" s="177"/>
      <c r="D42" s="177" t="s">
        <v>914</v>
      </c>
      <c r="E42" s="177" t="s">
        <v>915</v>
      </c>
      <c r="F42" s="177" t="s">
        <v>424</v>
      </c>
      <c r="G42" s="177" t="s">
        <v>464</v>
      </c>
      <c r="H42" s="253">
        <v>107</v>
      </c>
      <c r="I42" s="254">
        <v>529</v>
      </c>
      <c r="J42"/>
      <c r="K42"/>
    </row>
    <row r="43" spans="2:11" ht="12.75" customHeight="1" x14ac:dyDescent="0.25">
      <c r="B43" s="252"/>
      <c r="C43" s="177"/>
      <c r="D43" s="177" t="s">
        <v>1157</v>
      </c>
      <c r="E43" s="177" t="s">
        <v>1160</v>
      </c>
      <c r="F43" s="177" t="s">
        <v>424</v>
      </c>
      <c r="G43" s="177" t="s">
        <v>464</v>
      </c>
      <c r="H43" s="253">
        <v>28</v>
      </c>
      <c r="I43" s="254">
        <v>126</v>
      </c>
      <c r="J43"/>
      <c r="K43"/>
    </row>
    <row r="44" spans="2:11" ht="12.75" customHeight="1" x14ac:dyDescent="0.25">
      <c r="B44" s="252"/>
      <c r="C44" s="177"/>
      <c r="D44" s="177" t="s">
        <v>1156</v>
      </c>
      <c r="E44" s="177" t="s">
        <v>1162</v>
      </c>
      <c r="F44" s="177" t="s">
        <v>1314</v>
      </c>
      <c r="G44" s="177" t="s">
        <v>464</v>
      </c>
      <c r="H44" s="253">
        <v>4</v>
      </c>
      <c r="I44" s="254">
        <v>11</v>
      </c>
      <c r="J44"/>
      <c r="K44"/>
    </row>
    <row r="45" spans="2:11" ht="12.75" customHeight="1" x14ac:dyDescent="0.25">
      <c r="B45" s="252"/>
      <c r="C45" s="177"/>
      <c r="D45" s="177" t="s">
        <v>1155</v>
      </c>
      <c r="E45" s="177" t="s">
        <v>1163</v>
      </c>
      <c r="F45" s="177" t="s">
        <v>935</v>
      </c>
      <c r="G45" s="177" t="s">
        <v>464</v>
      </c>
      <c r="H45" s="253">
        <v>21</v>
      </c>
      <c r="I45" s="254">
        <v>92</v>
      </c>
      <c r="J45"/>
      <c r="K45"/>
    </row>
    <row r="46" spans="2:11" ht="12.75" customHeight="1" x14ac:dyDescent="0.25">
      <c r="B46" s="252"/>
      <c r="C46" s="177"/>
      <c r="D46" s="177" t="s">
        <v>1276</v>
      </c>
      <c r="E46" s="177" t="s">
        <v>1267</v>
      </c>
      <c r="F46" s="177" t="s">
        <v>424</v>
      </c>
      <c r="G46" s="177" t="s">
        <v>464</v>
      </c>
      <c r="H46" s="253">
        <v>123</v>
      </c>
      <c r="I46" s="254">
        <v>665</v>
      </c>
      <c r="J46"/>
      <c r="K46"/>
    </row>
    <row r="47" spans="2:11" ht="12.75" customHeight="1" x14ac:dyDescent="0.25">
      <c r="B47" s="252"/>
      <c r="C47" s="177"/>
      <c r="D47" s="177" t="s">
        <v>1639</v>
      </c>
      <c r="E47" s="177" t="s">
        <v>1693</v>
      </c>
      <c r="F47" s="177" t="s">
        <v>935</v>
      </c>
      <c r="G47" s="177" t="s">
        <v>464</v>
      </c>
      <c r="H47" s="253">
        <v>42</v>
      </c>
      <c r="I47" s="254">
        <v>187</v>
      </c>
      <c r="J47"/>
      <c r="K47"/>
    </row>
    <row r="48" spans="2:11" ht="12.75" customHeight="1" x14ac:dyDescent="0.25">
      <c r="B48" s="252"/>
      <c r="C48" s="177"/>
      <c r="D48" s="177" t="s">
        <v>1703</v>
      </c>
      <c r="E48" s="177" t="s">
        <v>1695</v>
      </c>
      <c r="F48" s="177" t="s">
        <v>935</v>
      </c>
      <c r="G48" s="177" t="s">
        <v>464</v>
      </c>
      <c r="H48" s="253">
        <v>16</v>
      </c>
      <c r="I48" s="254">
        <v>63</v>
      </c>
      <c r="J48"/>
      <c r="K48"/>
    </row>
    <row r="49" spans="2:11" x14ac:dyDescent="0.25">
      <c r="B49" s="252"/>
      <c r="C49" s="177" t="s">
        <v>987</v>
      </c>
      <c r="D49" s="177"/>
      <c r="E49" s="177"/>
      <c r="F49" s="177"/>
      <c r="G49" s="177"/>
      <c r="H49" s="253">
        <v>791</v>
      </c>
      <c r="I49" s="254">
        <v>3978</v>
      </c>
      <c r="J49"/>
      <c r="K49"/>
    </row>
    <row r="50" spans="2:11" ht="12.75" customHeight="1" x14ac:dyDescent="0.25">
      <c r="B50" s="252"/>
      <c r="C50" s="177" t="s">
        <v>151</v>
      </c>
      <c r="D50" s="177" t="s">
        <v>188</v>
      </c>
      <c r="E50" s="177" t="s">
        <v>187</v>
      </c>
      <c r="F50" s="177" t="s">
        <v>934</v>
      </c>
      <c r="G50" s="177" t="s">
        <v>466</v>
      </c>
      <c r="H50" s="253">
        <v>358</v>
      </c>
      <c r="I50" s="254">
        <v>1680</v>
      </c>
      <c r="J50"/>
      <c r="K50"/>
    </row>
    <row r="51" spans="2:11" ht="12.75" customHeight="1" x14ac:dyDescent="0.25">
      <c r="B51" s="252"/>
      <c r="C51" s="177"/>
      <c r="D51" s="177" t="s">
        <v>12</v>
      </c>
      <c r="E51" s="177" t="s">
        <v>388</v>
      </c>
      <c r="F51" s="177" t="s">
        <v>1314</v>
      </c>
      <c r="G51" s="177" t="s">
        <v>464</v>
      </c>
      <c r="H51" s="253">
        <v>80</v>
      </c>
      <c r="I51" s="254">
        <v>290</v>
      </c>
      <c r="J51"/>
      <c r="K51"/>
    </row>
    <row r="52" spans="2:11" ht="12.75" customHeight="1" x14ac:dyDescent="0.25">
      <c r="B52" s="252"/>
      <c r="C52" s="177"/>
      <c r="D52" s="177" t="s">
        <v>198</v>
      </c>
      <c r="E52" s="177" t="s">
        <v>197</v>
      </c>
      <c r="F52" s="177" t="s">
        <v>934</v>
      </c>
      <c r="G52" s="177" t="s">
        <v>466</v>
      </c>
      <c r="H52" s="253">
        <v>535</v>
      </c>
      <c r="I52" s="254">
        <v>2490</v>
      </c>
      <c r="J52"/>
      <c r="K52"/>
    </row>
    <row r="53" spans="2:11" ht="12.75" customHeight="1" x14ac:dyDescent="0.25">
      <c r="B53" s="252"/>
      <c r="C53" s="177"/>
      <c r="D53" s="177" t="s">
        <v>811</v>
      </c>
      <c r="E53" s="177" t="s">
        <v>812</v>
      </c>
      <c r="F53" s="177" t="s">
        <v>424</v>
      </c>
      <c r="G53" s="177" t="s">
        <v>464</v>
      </c>
      <c r="H53" s="253">
        <v>433</v>
      </c>
      <c r="I53" s="254">
        <v>2154</v>
      </c>
      <c r="J53"/>
      <c r="K53"/>
    </row>
    <row r="54" spans="2:11" ht="12.75" customHeight="1" x14ac:dyDescent="0.25">
      <c r="B54" s="252"/>
      <c r="C54" s="177"/>
      <c r="D54" s="177" t="s">
        <v>160</v>
      </c>
      <c r="E54" s="177" t="s">
        <v>159</v>
      </c>
      <c r="F54" s="177" t="s">
        <v>424</v>
      </c>
      <c r="G54" s="177" t="s">
        <v>464</v>
      </c>
      <c r="H54" s="253">
        <v>127</v>
      </c>
      <c r="I54" s="254">
        <v>653</v>
      </c>
      <c r="J54"/>
      <c r="K54"/>
    </row>
    <row r="55" spans="2:11" ht="12.75" customHeight="1" x14ac:dyDescent="0.25">
      <c r="B55" s="252"/>
      <c r="C55" s="177"/>
      <c r="D55" s="177" t="s">
        <v>154</v>
      </c>
      <c r="E55" s="177" t="s">
        <v>153</v>
      </c>
      <c r="F55" s="177" t="s">
        <v>934</v>
      </c>
      <c r="G55" s="177" t="s">
        <v>464</v>
      </c>
      <c r="H55" s="253">
        <v>442</v>
      </c>
      <c r="I55" s="254">
        <v>2301</v>
      </c>
      <c r="J55"/>
      <c r="K55"/>
    </row>
    <row r="56" spans="2:11" ht="12.75" customHeight="1" x14ac:dyDescent="0.25">
      <c r="B56" s="252"/>
      <c r="C56" s="177"/>
      <c r="D56" s="177" t="s">
        <v>156</v>
      </c>
      <c r="E56" s="177" t="s">
        <v>155</v>
      </c>
      <c r="F56" s="177" t="s">
        <v>1314</v>
      </c>
      <c r="G56" s="177" t="s">
        <v>464</v>
      </c>
      <c r="H56" s="253">
        <v>175</v>
      </c>
      <c r="I56" s="254">
        <v>834</v>
      </c>
      <c r="J56"/>
      <c r="K56"/>
    </row>
    <row r="57" spans="2:11" ht="12.75" customHeight="1" x14ac:dyDescent="0.25">
      <c r="B57" s="252"/>
      <c r="C57" s="177"/>
      <c r="D57" s="177" t="s">
        <v>152</v>
      </c>
      <c r="E57" s="177" t="s">
        <v>150</v>
      </c>
      <c r="F57" s="177" t="s">
        <v>424</v>
      </c>
      <c r="G57" s="177" t="s">
        <v>464</v>
      </c>
      <c r="H57" s="253">
        <v>189</v>
      </c>
      <c r="I57" s="254">
        <v>834</v>
      </c>
      <c r="J57"/>
      <c r="K57"/>
    </row>
    <row r="58" spans="2:11" ht="12.75" customHeight="1" x14ac:dyDescent="0.25">
      <c r="B58" s="252"/>
      <c r="C58" s="177"/>
      <c r="D58" s="177" t="s">
        <v>846</v>
      </c>
      <c r="E58" s="177" t="s">
        <v>845</v>
      </c>
      <c r="F58" s="177" t="s">
        <v>934</v>
      </c>
      <c r="G58" s="177" t="s">
        <v>464</v>
      </c>
      <c r="H58" s="253">
        <v>167</v>
      </c>
      <c r="I58" s="254">
        <v>789</v>
      </c>
      <c r="J58"/>
      <c r="K58"/>
    </row>
    <row r="59" spans="2:11" ht="12.75" customHeight="1" x14ac:dyDescent="0.25">
      <c r="B59" s="252"/>
      <c r="C59" s="177"/>
      <c r="D59" s="177" t="s">
        <v>910</v>
      </c>
      <c r="E59" s="177" t="s">
        <v>911</v>
      </c>
      <c r="F59" s="177" t="s">
        <v>934</v>
      </c>
      <c r="G59" s="177" t="s">
        <v>464</v>
      </c>
      <c r="H59" s="253">
        <v>151</v>
      </c>
      <c r="I59" s="254">
        <v>729</v>
      </c>
      <c r="J59"/>
      <c r="K59"/>
    </row>
    <row r="60" spans="2:11" ht="12.75" customHeight="1" x14ac:dyDescent="0.25">
      <c r="B60" s="252"/>
      <c r="C60" s="177"/>
      <c r="D60" s="177" t="s">
        <v>937</v>
      </c>
      <c r="E60" s="177" t="s">
        <v>938</v>
      </c>
      <c r="F60" s="177" t="s">
        <v>424</v>
      </c>
      <c r="G60" s="177" t="s">
        <v>464</v>
      </c>
      <c r="H60" s="253">
        <v>155</v>
      </c>
      <c r="I60" s="254">
        <v>681</v>
      </c>
      <c r="J60"/>
      <c r="K60"/>
    </row>
    <row r="61" spans="2:11" ht="12.75" customHeight="1" x14ac:dyDescent="0.25">
      <c r="B61" s="252"/>
      <c r="C61" s="177" t="s">
        <v>1601</v>
      </c>
      <c r="D61" s="177"/>
      <c r="E61" s="177"/>
      <c r="F61" s="177"/>
      <c r="G61" s="177"/>
      <c r="H61" s="253">
        <v>2812</v>
      </c>
      <c r="I61" s="254">
        <v>13435</v>
      </c>
      <c r="J61"/>
      <c r="K61"/>
    </row>
    <row r="62" spans="2:11" x14ac:dyDescent="0.25">
      <c r="B62" s="252"/>
      <c r="C62" s="177" t="s">
        <v>173</v>
      </c>
      <c r="D62" s="177" t="s">
        <v>174</v>
      </c>
      <c r="E62" s="177" t="s">
        <v>172</v>
      </c>
      <c r="F62" s="177" t="s">
        <v>424</v>
      </c>
      <c r="G62" s="177" t="s">
        <v>464</v>
      </c>
      <c r="H62" s="253">
        <v>13</v>
      </c>
      <c r="I62" s="254">
        <v>71</v>
      </c>
      <c r="J62"/>
      <c r="K62"/>
    </row>
    <row r="63" spans="2:11" ht="12.75" customHeight="1" x14ac:dyDescent="0.25">
      <c r="B63" s="252"/>
      <c r="C63" s="177"/>
      <c r="D63" s="177" t="s">
        <v>178</v>
      </c>
      <c r="E63" s="177" t="s">
        <v>177</v>
      </c>
      <c r="F63" s="177" t="s">
        <v>424</v>
      </c>
      <c r="G63" s="177" t="s">
        <v>464</v>
      </c>
      <c r="H63" s="253">
        <v>10</v>
      </c>
      <c r="I63" s="254">
        <v>42</v>
      </c>
      <c r="J63"/>
      <c r="K63"/>
    </row>
    <row r="64" spans="2:11" ht="12.75" customHeight="1" x14ac:dyDescent="0.25">
      <c r="B64" s="252"/>
      <c r="C64" s="177"/>
      <c r="D64" s="177" t="s">
        <v>1061</v>
      </c>
      <c r="E64" s="177" t="s">
        <v>1055</v>
      </c>
      <c r="F64" s="177" t="s">
        <v>424</v>
      </c>
      <c r="G64" s="177" t="s">
        <v>464</v>
      </c>
      <c r="H64" s="253">
        <v>26</v>
      </c>
      <c r="I64" s="254">
        <v>133</v>
      </c>
      <c r="J64"/>
      <c r="K64"/>
    </row>
    <row r="65" spans="2:11" ht="12.75" customHeight="1" x14ac:dyDescent="0.25">
      <c r="B65" s="252"/>
      <c r="C65" s="177"/>
      <c r="D65" s="177" t="s">
        <v>1486</v>
      </c>
      <c r="E65" s="177" t="s">
        <v>175</v>
      </c>
      <c r="F65" s="177" t="s">
        <v>424</v>
      </c>
      <c r="G65" s="177" t="s">
        <v>464</v>
      </c>
      <c r="H65" s="253">
        <v>15</v>
      </c>
      <c r="I65" s="254">
        <v>75</v>
      </c>
      <c r="J65"/>
      <c r="K65"/>
    </row>
    <row r="66" spans="2:11" ht="12.75" customHeight="1" x14ac:dyDescent="0.25">
      <c r="B66" s="252"/>
      <c r="C66" s="177"/>
      <c r="D66" s="177" t="s">
        <v>1661</v>
      </c>
      <c r="E66" s="177" t="s">
        <v>1649</v>
      </c>
      <c r="F66" s="177" t="s">
        <v>935</v>
      </c>
      <c r="G66" s="177" t="s">
        <v>464</v>
      </c>
      <c r="H66" s="253">
        <v>45</v>
      </c>
      <c r="I66" s="254">
        <v>242</v>
      </c>
      <c r="J66"/>
      <c r="K66"/>
    </row>
    <row r="67" spans="2:11" ht="12.75" customHeight="1" x14ac:dyDescent="0.25">
      <c r="B67" s="252"/>
      <c r="C67" s="177"/>
      <c r="D67" s="177" t="s">
        <v>1662</v>
      </c>
      <c r="E67" s="177" t="s">
        <v>1650</v>
      </c>
      <c r="F67" s="177" t="s">
        <v>935</v>
      </c>
      <c r="G67" s="177" t="s">
        <v>464</v>
      </c>
      <c r="H67" s="253">
        <v>80</v>
      </c>
      <c r="I67" s="254">
        <v>399</v>
      </c>
      <c r="J67"/>
      <c r="K67"/>
    </row>
    <row r="68" spans="2:11" ht="12.75" customHeight="1" x14ac:dyDescent="0.25">
      <c r="B68" s="252"/>
      <c r="C68" s="177"/>
      <c r="D68" s="177" t="s">
        <v>1665</v>
      </c>
      <c r="E68" s="177" t="s">
        <v>1652</v>
      </c>
      <c r="F68" s="177" t="s">
        <v>1314</v>
      </c>
      <c r="G68" s="177" t="s">
        <v>464</v>
      </c>
      <c r="H68" s="253">
        <v>6</v>
      </c>
      <c r="I68" s="254">
        <v>32</v>
      </c>
      <c r="J68"/>
      <c r="K68"/>
    </row>
    <row r="69" spans="2:11" ht="12.75" customHeight="1" x14ac:dyDescent="0.25">
      <c r="B69" s="252"/>
      <c r="C69" s="177"/>
      <c r="D69" s="177" t="s">
        <v>1728</v>
      </c>
      <c r="E69" s="177" t="s">
        <v>1651</v>
      </c>
      <c r="F69" s="177" t="s">
        <v>424</v>
      </c>
      <c r="G69" s="177" t="s">
        <v>464</v>
      </c>
      <c r="H69" s="253">
        <v>112</v>
      </c>
      <c r="I69" s="254">
        <v>487</v>
      </c>
      <c r="J69"/>
      <c r="K69"/>
    </row>
    <row r="70" spans="2:11" ht="12.75" customHeight="1" x14ac:dyDescent="0.25">
      <c r="B70" s="252"/>
      <c r="C70" s="177" t="s">
        <v>1602</v>
      </c>
      <c r="D70" s="177"/>
      <c r="E70" s="177"/>
      <c r="F70" s="177"/>
      <c r="G70" s="177"/>
      <c r="H70" s="253">
        <v>307</v>
      </c>
      <c r="I70" s="254">
        <v>1481</v>
      </c>
      <c r="J70"/>
      <c r="K70"/>
    </row>
    <row r="71" spans="2:11" ht="12.75" customHeight="1" x14ac:dyDescent="0.25">
      <c r="B71" s="252"/>
      <c r="C71" s="177" t="s">
        <v>180</v>
      </c>
      <c r="D71" s="177" t="s">
        <v>286</v>
      </c>
      <c r="E71" s="177" t="s">
        <v>285</v>
      </c>
      <c r="F71" s="177" t="s">
        <v>424</v>
      </c>
      <c r="G71" s="177" t="s">
        <v>464</v>
      </c>
      <c r="H71" s="253">
        <v>26</v>
      </c>
      <c r="I71" s="254">
        <v>117</v>
      </c>
      <c r="J71"/>
      <c r="K71"/>
    </row>
    <row r="72" spans="2:11" ht="12.75" customHeight="1" x14ac:dyDescent="0.25">
      <c r="B72" s="252"/>
      <c r="C72" s="177"/>
      <c r="D72" s="177" t="s">
        <v>181</v>
      </c>
      <c r="E72" s="177" t="s">
        <v>179</v>
      </c>
      <c r="F72" s="177" t="s">
        <v>935</v>
      </c>
      <c r="G72" s="177" t="s">
        <v>464</v>
      </c>
      <c r="H72" s="253">
        <v>11</v>
      </c>
      <c r="I72" s="254">
        <v>55</v>
      </c>
      <c r="J72"/>
      <c r="K72"/>
    </row>
    <row r="73" spans="2:11" ht="12.75" customHeight="1" x14ac:dyDescent="0.25">
      <c r="B73" s="252"/>
      <c r="C73" s="177"/>
      <c r="D73" s="177" t="s">
        <v>983</v>
      </c>
      <c r="E73" s="177" t="s">
        <v>985</v>
      </c>
      <c r="F73" s="177" t="s">
        <v>1314</v>
      </c>
      <c r="G73" s="177" t="s">
        <v>464</v>
      </c>
      <c r="H73" s="253">
        <v>26</v>
      </c>
      <c r="I73" s="254">
        <v>116</v>
      </c>
      <c r="J73"/>
      <c r="K73"/>
    </row>
    <row r="74" spans="2:11" ht="12.75" customHeight="1" x14ac:dyDescent="0.25">
      <c r="B74" s="252"/>
      <c r="C74" s="177"/>
      <c r="D74" s="177" t="s">
        <v>984</v>
      </c>
      <c r="E74" s="177" t="s">
        <v>986</v>
      </c>
      <c r="F74" s="177" t="s">
        <v>1314</v>
      </c>
      <c r="G74" s="177" t="s">
        <v>464</v>
      </c>
      <c r="H74" s="253">
        <v>14</v>
      </c>
      <c r="I74" s="254">
        <v>51</v>
      </c>
      <c r="J74"/>
      <c r="K74"/>
    </row>
    <row r="75" spans="2:11" ht="12.75" customHeight="1" x14ac:dyDescent="0.25">
      <c r="B75" s="252"/>
      <c r="C75" s="177" t="s">
        <v>1603</v>
      </c>
      <c r="D75" s="177"/>
      <c r="E75" s="177"/>
      <c r="F75" s="177"/>
      <c r="G75" s="177"/>
      <c r="H75" s="253">
        <v>77</v>
      </c>
      <c r="I75" s="254">
        <v>339</v>
      </c>
      <c r="J75"/>
      <c r="K75"/>
    </row>
    <row r="76" spans="2:11" ht="12.75" customHeight="1" x14ac:dyDescent="0.25">
      <c r="B76" s="252"/>
      <c r="C76" s="177" t="s">
        <v>185</v>
      </c>
      <c r="D76" s="177" t="s">
        <v>192</v>
      </c>
      <c r="E76" s="177" t="s">
        <v>191</v>
      </c>
      <c r="F76" s="177" t="s">
        <v>935</v>
      </c>
      <c r="G76" s="177" t="s">
        <v>466</v>
      </c>
      <c r="H76" s="253">
        <v>88</v>
      </c>
      <c r="I76" s="254">
        <v>338</v>
      </c>
      <c r="J76"/>
      <c r="K76"/>
    </row>
    <row r="77" spans="2:11" ht="12.75" customHeight="1" x14ac:dyDescent="0.25">
      <c r="B77" s="252"/>
      <c r="C77" s="177"/>
      <c r="D77" s="177" t="s">
        <v>12</v>
      </c>
      <c r="E77" s="177" t="s">
        <v>389</v>
      </c>
      <c r="F77" s="177" t="s">
        <v>1314</v>
      </c>
      <c r="G77" s="177" t="s">
        <v>464</v>
      </c>
      <c r="H77" s="253">
        <v>223</v>
      </c>
      <c r="I77" s="254">
        <v>1067</v>
      </c>
      <c r="J77"/>
      <c r="K77"/>
    </row>
    <row r="78" spans="2:11" ht="12.75" customHeight="1" x14ac:dyDescent="0.25">
      <c r="B78" s="252"/>
      <c r="C78" s="177"/>
      <c r="D78" s="177" t="s">
        <v>194</v>
      </c>
      <c r="E78" s="177" t="s">
        <v>193</v>
      </c>
      <c r="F78" s="177" t="s">
        <v>935</v>
      </c>
      <c r="G78" s="177" t="s">
        <v>466</v>
      </c>
      <c r="H78" s="253">
        <v>719</v>
      </c>
      <c r="I78" s="254">
        <v>3641</v>
      </c>
      <c r="J78"/>
      <c r="K78"/>
    </row>
    <row r="79" spans="2:11" ht="12.75" customHeight="1" x14ac:dyDescent="0.25">
      <c r="B79" s="252"/>
      <c r="C79" s="177"/>
      <c r="D79" s="177" t="s">
        <v>196</v>
      </c>
      <c r="E79" s="177" t="s">
        <v>195</v>
      </c>
      <c r="F79" s="177" t="s">
        <v>935</v>
      </c>
      <c r="G79" s="177" t="s">
        <v>466</v>
      </c>
      <c r="H79" s="253">
        <v>1492</v>
      </c>
      <c r="I79" s="254">
        <v>8514</v>
      </c>
      <c r="J79"/>
      <c r="K79"/>
    </row>
    <row r="80" spans="2:11" ht="12.75" customHeight="1" x14ac:dyDescent="0.25">
      <c r="B80" s="252"/>
      <c r="C80" s="177"/>
      <c r="D80" s="177" t="s">
        <v>474</v>
      </c>
      <c r="E80" s="177" t="s">
        <v>475</v>
      </c>
      <c r="F80" s="177" t="s">
        <v>1314</v>
      </c>
      <c r="G80" s="177" t="s">
        <v>464</v>
      </c>
      <c r="H80" s="253">
        <v>3</v>
      </c>
      <c r="I80" s="254">
        <v>18</v>
      </c>
      <c r="J80"/>
      <c r="K80"/>
    </row>
    <row r="81" spans="2:11" ht="12.75" customHeight="1" x14ac:dyDescent="0.25">
      <c r="B81" s="252"/>
      <c r="C81" s="177"/>
      <c r="D81" s="177" t="s">
        <v>186</v>
      </c>
      <c r="E81" s="177" t="s">
        <v>184</v>
      </c>
      <c r="F81" s="177" t="s">
        <v>424</v>
      </c>
      <c r="G81" s="177" t="s">
        <v>464</v>
      </c>
      <c r="H81" s="253">
        <v>41</v>
      </c>
      <c r="I81" s="254">
        <v>241</v>
      </c>
      <c r="J81"/>
      <c r="K81"/>
    </row>
    <row r="82" spans="2:11" ht="12.75" customHeight="1" x14ac:dyDescent="0.25">
      <c r="B82" s="252"/>
      <c r="C82" s="177"/>
      <c r="D82" s="177" t="s">
        <v>223</v>
      </c>
      <c r="E82" s="177" t="s">
        <v>222</v>
      </c>
      <c r="F82" s="177" t="s">
        <v>934</v>
      </c>
      <c r="G82" s="177" t="s">
        <v>464</v>
      </c>
      <c r="H82" s="253">
        <v>129</v>
      </c>
      <c r="I82" s="254">
        <v>643</v>
      </c>
      <c r="J82"/>
      <c r="K82"/>
    </row>
    <row r="83" spans="2:11" ht="12.75" customHeight="1" x14ac:dyDescent="0.25">
      <c r="B83" s="252"/>
      <c r="C83" s="177"/>
      <c r="D83" s="177" t="s">
        <v>190</v>
      </c>
      <c r="E83" s="177" t="s">
        <v>189</v>
      </c>
      <c r="F83" s="177" t="s">
        <v>424</v>
      </c>
      <c r="G83" s="177" t="s">
        <v>464</v>
      </c>
      <c r="H83" s="253">
        <v>204</v>
      </c>
      <c r="I83" s="254">
        <v>1146</v>
      </c>
      <c r="J83"/>
      <c r="K83"/>
    </row>
    <row r="84" spans="2:11" ht="12.75" customHeight="1" x14ac:dyDescent="0.25">
      <c r="B84" s="252"/>
      <c r="C84" s="177"/>
      <c r="D84" s="177" t="s">
        <v>202</v>
      </c>
      <c r="E84" s="177" t="s">
        <v>201</v>
      </c>
      <c r="F84" s="177" t="s">
        <v>934</v>
      </c>
      <c r="G84" s="177" t="s">
        <v>464</v>
      </c>
      <c r="H84" s="253">
        <v>304</v>
      </c>
      <c r="I84" s="254">
        <v>1389</v>
      </c>
      <c r="J84"/>
      <c r="K84"/>
    </row>
    <row r="85" spans="2:11" ht="12.75" customHeight="1" x14ac:dyDescent="0.25">
      <c r="B85" s="252"/>
      <c r="C85" s="177"/>
      <c r="D85" s="177" t="s">
        <v>209</v>
      </c>
      <c r="E85" s="177" t="s">
        <v>208</v>
      </c>
      <c r="F85" s="177" t="s">
        <v>424</v>
      </c>
      <c r="G85" s="177" t="s">
        <v>464</v>
      </c>
      <c r="H85" s="253">
        <v>427</v>
      </c>
      <c r="I85" s="254">
        <v>2054</v>
      </c>
      <c r="J85"/>
      <c r="K85"/>
    </row>
    <row r="86" spans="2:11" ht="12.75" customHeight="1" x14ac:dyDescent="0.25">
      <c r="B86" s="252"/>
      <c r="C86" s="177"/>
      <c r="D86" s="177" t="s">
        <v>213</v>
      </c>
      <c r="E86" s="177" t="s">
        <v>212</v>
      </c>
      <c r="F86" s="177" t="s">
        <v>1314</v>
      </c>
      <c r="G86" s="177" t="s">
        <v>464</v>
      </c>
      <c r="H86" s="253">
        <v>47</v>
      </c>
      <c r="I86" s="254">
        <v>153</v>
      </c>
      <c r="J86"/>
      <c r="K86"/>
    </row>
    <row r="87" spans="2:11" ht="12.75" customHeight="1" x14ac:dyDescent="0.25">
      <c r="B87" s="252"/>
      <c r="C87" s="177"/>
      <c r="D87" s="177" t="s">
        <v>215</v>
      </c>
      <c r="E87" s="177" t="s">
        <v>214</v>
      </c>
      <c r="F87" s="177" t="s">
        <v>934</v>
      </c>
      <c r="G87" s="177" t="s">
        <v>466</v>
      </c>
      <c r="H87" s="253">
        <v>354</v>
      </c>
      <c r="I87" s="254">
        <v>1547</v>
      </c>
      <c r="J87"/>
      <c r="K87"/>
    </row>
    <row r="88" spans="2:11" ht="12.75" customHeight="1" x14ac:dyDescent="0.25">
      <c r="B88" s="252"/>
      <c r="C88" s="177"/>
      <c r="D88" s="177" t="s">
        <v>229</v>
      </c>
      <c r="E88" s="177" t="s">
        <v>228</v>
      </c>
      <c r="F88" s="177" t="s">
        <v>424</v>
      </c>
      <c r="G88" s="177" t="s">
        <v>464</v>
      </c>
      <c r="H88" s="253">
        <v>48</v>
      </c>
      <c r="I88" s="254">
        <v>294</v>
      </c>
      <c r="J88"/>
      <c r="K88"/>
    </row>
    <row r="89" spans="2:11" ht="12.75" customHeight="1" x14ac:dyDescent="0.25">
      <c r="B89" s="252"/>
      <c r="C89" s="177"/>
      <c r="D89" s="177" t="s">
        <v>219</v>
      </c>
      <c r="E89" s="177" t="s">
        <v>218</v>
      </c>
      <c r="F89" s="177" t="s">
        <v>934</v>
      </c>
      <c r="G89" s="177" t="s">
        <v>466</v>
      </c>
      <c r="H89" s="253">
        <v>632</v>
      </c>
      <c r="I89" s="254">
        <v>3551</v>
      </c>
      <c r="J89"/>
      <c r="K89"/>
    </row>
    <row r="90" spans="2:11" ht="12.75" customHeight="1" x14ac:dyDescent="0.25">
      <c r="B90" s="252"/>
      <c r="C90" s="177"/>
      <c r="D90" s="177" t="s">
        <v>225</v>
      </c>
      <c r="E90" s="177" t="s">
        <v>224</v>
      </c>
      <c r="F90" s="177" t="s">
        <v>424</v>
      </c>
      <c r="G90" s="177" t="s">
        <v>464</v>
      </c>
      <c r="H90" s="253">
        <v>43</v>
      </c>
      <c r="I90" s="254">
        <v>269</v>
      </c>
      <c r="J90"/>
      <c r="K90"/>
    </row>
    <row r="91" spans="2:11" ht="12.75" customHeight="1" x14ac:dyDescent="0.25">
      <c r="B91" s="252"/>
      <c r="C91" s="177" t="s">
        <v>1604</v>
      </c>
      <c r="D91" s="177"/>
      <c r="E91" s="177"/>
      <c r="F91" s="177"/>
      <c r="G91" s="177"/>
      <c r="H91" s="253">
        <v>4754</v>
      </c>
      <c r="I91" s="254">
        <v>24865</v>
      </c>
      <c r="J91"/>
      <c r="K91"/>
    </row>
    <row r="92" spans="2:11" ht="12.75" customHeight="1" x14ac:dyDescent="0.25">
      <c r="B92" s="252"/>
      <c r="C92" s="177" t="s">
        <v>237</v>
      </c>
      <c r="D92" s="306" t="s">
        <v>252</v>
      </c>
      <c r="E92" s="177" t="s">
        <v>251</v>
      </c>
      <c r="F92" s="177" t="s">
        <v>424</v>
      </c>
      <c r="G92" s="177" t="s">
        <v>464</v>
      </c>
      <c r="H92" s="253">
        <v>199</v>
      </c>
      <c r="I92" s="254">
        <v>1118</v>
      </c>
      <c r="J92"/>
      <c r="K92"/>
    </row>
    <row r="93" spans="2:11" ht="12.75" customHeight="1" x14ac:dyDescent="0.25">
      <c r="B93" s="252"/>
      <c r="C93" s="177"/>
      <c r="D93" s="306" t="s">
        <v>254</v>
      </c>
      <c r="E93" s="177" t="s">
        <v>253</v>
      </c>
      <c r="F93" s="177" t="s">
        <v>935</v>
      </c>
      <c r="G93" s="177" t="s">
        <v>464</v>
      </c>
      <c r="H93" s="253">
        <v>117</v>
      </c>
      <c r="I93" s="254">
        <v>576</v>
      </c>
      <c r="J93"/>
      <c r="K93"/>
    </row>
    <row r="94" spans="2:11" ht="12.75" customHeight="1" x14ac:dyDescent="0.25">
      <c r="B94" s="252"/>
      <c r="C94" s="177"/>
      <c r="D94" s="306" t="s">
        <v>256</v>
      </c>
      <c r="E94" s="177" t="s">
        <v>255</v>
      </c>
      <c r="F94" s="177" t="s">
        <v>424</v>
      </c>
      <c r="G94" s="177" t="s">
        <v>464</v>
      </c>
      <c r="H94" s="253">
        <v>46</v>
      </c>
      <c r="I94" s="254">
        <v>217</v>
      </c>
      <c r="J94"/>
      <c r="K94"/>
    </row>
    <row r="95" spans="2:11" ht="12.75" customHeight="1" x14ac:dyDescent="0.25">
      <c r="B95" s="252"/>
      <c r="C95" s="177"/>
      <c r="D95" s="177" t="s">
        <v>303</v>
      </c>
      <c r="E95" s="177" t="s">
        <v>302</v>
      </c>
      <c r="F95" s="177" t="s">
        <v>1314</v>
      </c>
      <c r="G95" s="177" t="s">
        <v>464</v>
      </c>
      <c r="H95" s="253">
        <v>375</v>
      </c>
      <c r="I95" s="254">
        <v>1691</v>
      </c>
      <c r="J95"/>
      <c r="K95"/>
    </row>
    <row r="96" spans="2:11" x14ac:dyDescent="0.25">
      <c r="B96" s="252"/>
      <c r="C96" s="177"/>
      <c r="D96" s="306" t="s">
        <v>240</v>
      </c>
      <c r="E96" s="177" t="s">
        <v>239</v>
      </c>
      <c r="F96" s="177" t="s">
        <v>424</v>
      </c>
      <c r="G96" s="177" t="s">
        <v>464</v>
      </c>
      <c r="H96" s="253">
        <v>107</v>
      </c>
      <c r="I96" s="254">
        <v>561</v>
      </c>
      <c r="J96"/>
      <c r="K96"/>
    </row>
    <row r="97" spans="2:11" ht="12.75" customHeight="1" x14ac:dyDescent="0.25">
      <c r="B97" s="252"/>
      <c r="C97" s="177"/>
      <c r="D97" s="306" t="s">
        <v>284</v>
      </c>
      <c r="E97" s="177" t="s">
        <v>283</v>
      </c>
      <c r="F97" s="177" t="s">
        <v>424</v>
      </c>
      <c r="G97" s="177" t="s">
        <v>464</v>
      </c>
      <c r="H97" s="253">
        <v>138</v>
      </c>
      <c r="I97" s="254">
        <v>705</v>
      </c>
      <c r="J97"/>
      <c r="K97"/>
    </row>
    <row r="98" spans="2:11" ht="12.75" customHeight="1" x14ac:dyDescent="0.25">
      <c r="B98" s="252"/>
      <c r="C98" s="177"/>
      <c r="D98" s="177" t="s">
        <v>258</v>
      </c>
      <c r="E98" s="177" t="s">
        <v>257</v>
      </c>
      <c r="F98" s="177" t="s">
        <v>424</v>
      </c>
      <c r="G98" s="177" t="s">
        <v>464</v>
      </c>
      <c r="H98" s="253">
        <v>62</v>
      </c>
      <c r="I98" s="254">
        <v>310</v>
      </c>
      <c r="J98"/>
      <c r="K98"/>
    </row>
    <row r="99" spans="2:11" ht="12.75" customHeight="1" x14ac:dyDescent="0.25">
      <c r="B99" s="252"/>
      <c r="C99" s="177"/>
      <c r="D99" s="177" t="s">
        <v>260</v>
      </c>
      <c r="E99" s="177" t="s">
        <v>259</v>
      </c>
      <c r="F99" s="177" t="s">
        <v>424</v>
      </c>
      <c r="G99" s="177" t="s">
        <v>464</v>
      </c>
      <c r="H99" s="253">
        <v>103</v>
      </c>
      <c r="I99" s="254">
        <v>586</v>
      </c>
      <c r="J99"/>
      <c r="K99"/>
    </row>
    <row r="100" spans="2:11" ht="12.75" customHeight="1" x14ac:dyDescent="0.25">
      <c r="B100" s="252"/>
      <c r="C100" s="177"/>
      <c r="D100" s="177" t="s">
        <v>262</v>
      </c>
      <c r="E100" s="177" t="s">
        <v>261</v>
      </c>
      <c r="F100" s="177" t="s">
        <v>462</v>
      </c>
      <c r="G100" s="177" t="s">
        <v>464</v>
      </c>
      <c r="H100" s="253">
        <v>22</v>
      </c>
      <c r="I100" s="254">
        <v>92</v>
      </c>
      <c r="J100"/>
      <c r="K100"/>
    </row>
    <row r="101" spans="2:11" ht="12.75" customHeight="1" x14ac:dyDescent="0.25">
      <c r="B101" s="252"/>
      <c r="C101" s="177"/>
      <c r="D101" s="177" t="s">
        <v>264</v>
      </c>
      <c r="E101" s="177" t="s">
        <v>263</v>
      </c>
      <c r="F101" s="177" t="s">
        <v>462</v>
      </c>
      <c r="G101" s="177" t="s">
        <v>464</v>
      </c>
      <c r="H101" s="253">
        <v>21</v>
      </c>
      <c r="I101" s="254">
        <v>123</v>
      </c>
      <c r="J101"/>
      <c r="K101"/>
    </row>
    <row r="102" spans="2:11" ht="12.75" customHeight="1" x14ac:dyDescent="0.25">
      <c r="B102" s="252"/>
      <c r="C102" s="177"/>
      <c r="D102" s="177" t="s">
        <v>270</v>
      </c>
      <c r="E102" s="177" t="s">
        <v>269</v>
      </c>
      <c r="F102" s="177" t="s">
        <v>935</v>
      </c>
      <c r="G102" s="177" t="s">
        <v>464</v>
      </c>
      <c r="H102" s="253">
        <v>59</v>
      </c>
      <c r="I102" s="254">
        <v>309</v>
      </c>
      <c r="J102"/>
      <c r="K102"/>
    </row>
    <row r="103" spans="2:11" ht="12.75" customHeight="1" x14ac:dyDescent="0.25">
      <c r="B103" s="252"/>
      <c r="C103" s="177"/>
      <c r="D103" s="177" t="s">
        <v>268</v>
      </c>
      <c r="E103" s="177" t="s">
        <v>267</v>
      </c>
      <c r="F103" s="177" t="s">
        <v>424</v>
      </c>
      <c r="G103" s="177" t="s">
        <v>464</v>
      </c>
      <c r="H103" s="253">
        <v>68</v>
      </c>
      <c r="I103" s="254">
        <v>298</v>
      </c>
      <c r="J103"/>
      <c r="K103"/>
    </row>
    <row r="104" spans="2:11" ht="12.75" customHeight="1" x14ac:dyDescent="0.25">
      <c r="B104" s="252"/>
      <c r="C104" s="177"/>
      <c r="D104" s="177" t="s">
        <v>272</v>
      </c>
      <c r="E104" s="177" t="s">
        <v>271</v>
      </c>
      <c r="F104" s="177" t="s">
        <v>935</v>
      </c>
      <c r="G104" s="177" t="s">
        <v>464</v>
      </c>
      <c r="H104" s="253">
        <v>138</v>
      </c>
      <c r="I104" s="254">
        <v>800</v>
      </c>
      <c r="J104"/>
      <c r="K104"/>
    </row>
    <row r="105" spans="2:11" ht="12.75" customHeight="1" x14ac:dyDescent="0.25">
      <c r="B105" s="252"/>
      <c r="C105" s="177"/>
      <c r="D105" s="177" t="s">
        <v>276</v>
      </c>
      <c r="E105" s="177" t="s">
        <v>275</v>
      </c>
      <c r="F105" s="177" t="s">
        <v>424</v>
      </c>
      <c r="G105" s="177" t="s">
        <v>464</v>
      </c>
      <c r="H105" s="253">
        <v>120</v>
      </c>
      <c r="I105" s="254">
        <v>582</v>
      </c>
      <c r="J105"/>
      <c r="K105"/>
    </row>
    <row r="106" spans="2:11" ht="12.75" customHeight="1" x14ac:dyDescent="0.25">
      <c r="B106" s="252"/>
      <c r="C106" s="177"/>
      <c r="D106" s="177" t="s">
        <v>278</v>
      </c>
      <c r="E106" s="177" t="s">
        <v>277</v>
      </c>
      <c r="F106" s="177" t="s">
        <v>462</v>
      </c>
      <c r="G106" s="177" t="s">
        <v>464</v>
      </c>
      <c r="H106" s="253">
        <v>23</v>
      </c>
      <c r="I106" s="254">
        <v>112</v>
      </c>
      <c r="J106"/>
      <c r="K106"/>
    </row>
    <row r="107" spans="2:11" ht="12.75" customHeight="1" x14ac:dyDescent="0.25">
      <c r="B107" s="252"/>
      <c r="C107" s="177"/>
      <c r="D107" s="177" t="s">
        <v>280</v>
      </c>
      <c r="E107" s="177" t="s">
        <v>279</v>
      </c>
      <c r="F107" s="177" t="s">
        <v>424</v>
      </c>
      <c r="G107" s="177" t="s">
        <v>464</v>
      </c>
      <c r="H107" s="253">
        <v>91</v>
      </c>
      <c r="I107" s="254">
        <v>511</v>
      </c>
      <c r="J107"/>
      <c r="K107"/>
    </row>
    <row r="108" spans="2:11" ht="12.75" customHeight="1" x14ac:dyDescent="0.25">
      <c r="B108" s="252"/>
      <c r="C108" s="177"/>
      <c r="D108" s="177" t="s">
        <v>238</v>
      </c>
      <c r="E108" s="177" t="s">
        <v>236</v>
      </c>
      <c r="F108" s="177" t="s">
        <v>424</v>
      </c>
      <c r="G108" s="177" t="s">
        <v>464</v>
      </c>
      <c r="H108" s="253">
        <v>75</v>
      </c>
      <c r="I108" s="254">
        <v>415</v>
      </c>
      <c r="J108"/>
      <c r="K108"/>
    </row>
    <row r="109" spans="2:11" ht="12.75" customHeight="1" x14ac:dyDescent="0.25">
      <c r="B109" s="252"/>
      <c r="C109" s="177"/>
      <c r="D109" s="177" t="s">
        <v>248</v>
      </c>
      <c r="E109" s="177" t="s">
        <v>247</v>
      </c>
      <c r="F109" s="177" t="s">
        <v>1314</v>
      </c>
      <c r="G109" s="177" t="s">
        <v>464</v>
      </c>
      <c r="H109" s="253">
        <v>16</v>
      </c>
      <c r="I109" s="254">
        <v>77</v>
      </c>
      <c r="J109"/>
      <c r="K109"/>
    </row>
    <row r="110" spans="2:11" ht="12.75" customHeight="1" x14ac:dyDescent="0.25">
      <c r="B110" s="252"/>
      <c r="C110" s="177"/>
      <c r="D110" s="177" t="s">
        <v>250</v>
      </c>
      <c r="E110" s="177" t="s">
        <v>249</v>
      </c>
      <c r="F110" s="177" t="s">
        <v>424</v>
      </c>
      <c r="G110" s="177" t="s">
        <v>464</v>
      </c>
      <c r="H110" s="253">
        <v>32</v>
      </c>
      <c r="I110" s="254">
        <v>174</v>
      </c>
      <c r="J110"/>
      <c r="K110"/>
    </row>
    <row r="111" spans="2:11" ht="12.75" customHeight="1" x14ac:dyDescent="0.25">
      <c r="B111" s="252"/>
      <c r="C111" s="177"/>
      <c r="D111" s="177" t="s">
        <v>274</v>
      </c>
      <c r="E111" s="177" t="s">
        <v>273</v>
      </c>
      <c r="F111" s="177" t="s">
        <v>424</v>
      </c>
      <c r="G111" s="177" t="s">
        <v>464</v>
      </c>
      <c r="H111" s="253">
        <v>46</v>
      </c>
      <c r="I111" s="254">
        <v>242</v>
      </c>
      <c r="J111"/>
      <c r="K111"/>
    </row>
    <row r="112" spans="2:11" ht="12.75" customHeight="1" x14ac:dyDescent="0.25">
      <c r="B112" s="252"/>
      <c r="C112" s="177"/>
      <c r="D112" s="177" t="s">
        <v>1030</v>
      </c>
      <c r="E112" s="177" t="s">
        <v>241</v>
      </c>
      <c r="F112" s="177" t="s">
        <v>462</v>
      </c>
      <c r="G112" s="177" t="s">
        <v>464</v>
      </c>
      <c r="H112" s="253">
        <v>54</v>
      </c>
      <c r="I112" s="254">
        <v>254</v>
      </c>
      <c r="J112"/>
      <c r="K112"/>
    </row>
    <row r="113" spans="2:11" ht="12.75" customHeight="1" x14ac:dyDescent="0.25">
      <c r="B113" s="252"/>
      <c r="C113" s="177"/>
      <c r="D113" s="177" t="s">
        <v>1509</v>
      </c>
      <c r="E113" s="177" t="s">
        <v>244</v>
      </c>
      <c r="F113" s="177" t="s">
        <v>424</v>
      </c>
      <c r="G113" s="177" t="s">
        <v>464</v>
      </c>
      <c r="H113" s="253">
        <v>42</v>
      </c>
      <c r="I113" s="254">
        <v>187</v>
      </c>
      <c r="J113"/>
      <c r="K113"/>
    </row>
    <row r="114" spans="2:11" ht="12.75" customHeight="1" x14ac:dyDescent="0.25">
      <c r="B114" s="252"/>
      <c r="C114" s="177"/>
      <c r="D114" s="177" t="s">
        <v>1512</v>
      </c>
      <c r="E114" s="177" t="s">
        <v>1543</v>
      </c>
      <c r="F114" s="177" t="s">
        <v>935</v>
      </c>
      <c r="G114" s="177" t="s">
        <v>464</v>
      </c>
      <c r="H114" s="253">
        <v>14</v>
      </c>
      <c r="I114" s="254">
        <v>38</v>
      </c>
      <c r="J114"/>
      <c r="K114"/>
    </row>
    <row r="115" spans="2:11" ht="12.75" customHeight="1" x14ac:dyDescent="0.25">
      <c r="B115" s="252"/>
      <c r="C115" s="177"/>
      <c r="D115" s="177" t="s">
        <v>1671</v>
      </c>
      <c r="E115" s="177" t="s">
        <v>1654</v>
      </c>
      <c r="F115" s="177" t="s">
        <v>1314</v>
      </c>
      <c r="G115" s="177" t="s">
        <v>464</v>
      </c>
      <c r="H115" s="253">
        <v>229</v>
      </c>
      <c r="I115" s="254">
        <v>1247</v>
      </c>
      <c r="J115"/>
      <c r="K115"/>
    </row>
    <row r="116" spans="2:11" ht="12.75" customHeight="1" x14ac:dyDescent="0.25">
      <c r="B116" s="252"/>
      <c r="C116" s="177"/>
      <c r="D116" s="177" t="s">
        <v>1697</v>
      </c>
      <c r="E116" s="177" t="s">
        <v>1692</v>
      </c>
      <c r="F116" s="177" t="s">
        <v>1314</v>
      </c>
      <c r="G116" s="177" t="s">
        <v>464</v>
      </c>
      <c r="H116" s="253">
        <v>8</v>
      </c>
      <c r="I116" s="254">
        <v>32</v>
      </c>
      <c r="J116"/>
      <c r="K116"/>
    </row>
    <row r="117" spans="2:11" ht="12.75" customHeight="1" x14ac:dyDescent="0.25">
      <c r="B117" s="252"/>
      <c r="C117" s="177"/>
      <c r="D117" s="177" t="s">
        <v>1723</v>
      </c>
      <c r="E117" s="177" t="s">
        <v>1722</v>
      </c>
      <c r="F117" s="177" t="s">
        <v>935</v>
      </c>
      <c r="G117" s="177" t="s">
        <v>464</v>
      </c>
      <c r="H117" s="253">
        <v>32</v>
      </c>
      <c r="I117" s="254">
        <v>161</v>
      </c>
      <c r="J117"/>
      <c r="K117"/>
    </row>
    <row r="118" spans="2:11" ht="12.75" customHeight="1" x14ac:dyDescent="0.25">
      <c r="B118" s="252"/>
      <c r="C118" s="177"/>
      <c r="D118" s="177" t="s">
        <v>1729</v>
      </c>
      <c r="E118" s="177" t="s">
        <v>1653</v>
      </c>
      <c r="F118" s="177" t="s">
        <v>424</v>
      </c>
      <c r="G118" s="177" t="s">
        <v>464</v>
      </c>
      <c r="H118" s="253">
        <v>178</v>
      </c>
      <c r="I118" s="254">
        <v>843</v>
      </c>
      <c r="J118"/>
      <c r="K118"/>
    </row>
    <row r="119" spans="2:11" ht="12.75" customHeight="1" x14ac:dyDescent="0.25">
      <c r="B119" s="252"/>
      <c r="C119" s="177"/>
      <c r="D119" s="177" t="s">
        <v>1765</v>
      </c>
      <c r="E119" s="177" t="s">
        <v>1690</v>
      </c>
      <c r="F119" s="177" t="s">
        <v>424</v>
      </c>
      <c r="G119" s="177" t="s">
        <v>464</v>
      </c>
      <c r="H119" s="253">
        <v>143</v>
      </c>
      <c r="I119" s="254">
        <v>623</v>
      </c>
      <c r="J119"/>
      <c r="K119"/>
    </row>
    <row r="120" spans="2:11" ht="12.75" customHeight="1" x14ac:dyDescent="0.25">
      <c r="B120" s="252"/>
      <c r="C120" s="177" t="s">
        <v>988</v>
      </c>
      <c r="D120" s="177"/>
      <c r="E120" s="177"/>
      <c r="F120" s="177"/>
      <c r="G120" s="177"/>
      <c r="H120" s="253">
        <v>2558</v>
      </c>
      <c r="I120" s="254">
        <v>12884</v>
      </c>
      <c r="J120"/>
      <c r="K120"/>
    </row>
    <row r="121" spans="2:11" ht="12.75" customHeight="1" x14ac:dyDescent="0.25">
      <c r="B121" s="252"/>
      <c r="C121" s="177" t="s">
        <v>299</v>
      </c>
      <c r="D121" s="177" t="s">
        <v>300</v>
      </c>
      <c r="E121" s="177" t="s">
        <v>298</v>
      </c>
      <c r="F121" s="177" t="s">
        <v>1314</v>
      </c>
      <c r="G121" s="177" t="s">
        <v>464</v>
      </c>
      <c r="H121" s="253">
        <v>14</v>
      </c>
      <c r="I121" s="254">
        <v>75</v>
      </c>
      <c r="J121"/>
      <c r="K121"/>
    </row>
    <row r="122" spans="2:11" ht="12.75" customHeight="1" x14ac:dyDescent="0.25">
      <c r="B122" s="252"/>
      <c r="C122" s="177"/>
      <c r="D122" s="177" t="s">
        <v>891</v>
      </c>
      <c r="E122" s="177" t="s">
        <v>892</v>
      </c>
      <c r="F122" s="177" t="s">
        <v>1314</v>
      </c>
      <c r="G122" s="177" t="s">
        <v>464</v>
      </c>
      <c r="H122" s="253">
        <v>10</v>
      </c>
      <c r="I122" s="254">
        <v>56</v>
      </c>
      <c r="J122"/>
      <c r="K122"/>
    </row>
    <row r="123" spans="2:11" ht="12.75" customHeight="1" x14ac:dyDescent="0.25">
      <c r="B123" s="252"/>
      <c r="C123" s="177"/>
      <c r="D123" s="177" t="s">
        <v>1045</v>
      </c>
      <c r="E123" s="177" t="s">
        <v>1044</v>
      </c>
      <c r="F123" s="177" t="s">
        <v>424</v>
      </c>
      <c r="G123" s="177" t="s">
        <v>464</v>
      </c>
      <c r="H123" s="253">
        <v>61</v>
      </c>
      <c r="I123" s="254">
        <v>281</v>
      </c>
      <c r="J123"/>
      <c r="K123"/>
    </row>
    <row r="124" spans="2:11" ht="12.75" customHeight="1" x14ac:dyDescent="0.25">
      <c r="B124" s="252"/>
      <c r="C124" s="177" t="s">
        <v>1605</v>
      </c>
      <c r="D124" s="177"/>
      <c r="E124" s="177"/>
      <c r="F124" s="177"/>
      <c r="G124" s="177"/>
      <c r="H124" s="253">
        <v>85</v>
      </c>
      <c r="I124" s="254">
        <v>412</v>
      </c>
      <c r="J124"/>
      <c r="K124"/>
    </row>
    <row r="125" spans="2:11" ht="12.75" customHeight="1" x14ac:dyDescent="0.25">
      <c r="B125" s="252"/>
      <c r="C125" s="177" t="s">
        <v>301</v>
      </c>
      <c r="D125" s="177" t="s">
        <v>305</v>
      </c>
      <c r="E125" s="177" t="s">
        <v>304</v>
      </c>
      <c r="F125" s="177" t="s">
        <v>424</v>
      </c>
      <c r="G125" s="177" t="s">
        <v>464</v>
      </c>
      <c r="H125" s="253">
        <v>47</v>
      </c>
      <c r="I125" s="254">
        <v>345</v>
      </c>
      <c r="J125"/>
      <c r="K125"/>
    </row>
    <row r="126" spans="2:11" ht="12.75" customHeight="1" x14ac:dyDescent="0.25">
      <c r="B126" s="252"/>
      <c r="C126" s="177"/>
      <c r="D126" s="177" t="s">
        <v>307</v>
      </c>
      <c r="E126" s="177" t="s">
        <v>306</v>
      </c>
      <c r="F126" s="177" t="s">
        <v>934</v>
      </c>
      <c r="G126" s="177" t="s">
        <v>464</v>
      </c>
      <c r="H126" s="253">
        <v>47</v>
      </c>
      <c r="I126" s="254">
        <v>197</v>
      </c>
      <c r="J126"/>
      <c r="K126"/>
    </row>
    <row r="127" spans="2:11" ht="12.75" customHeight="1" x14ac:dyDescent="0.25">
      <c r="B127" s="252"/>
      <c r="C127" s="177" t="s">
        <v>1606</v>
      </c>
      <c r="D127" s="177"/>
      <c r="E127" s="177"/>
      <c r="F127" s="177"/>
      <c r="G127" s="177"/>
      <c r="H127" s="253">
        <v>94</v>
      </c>
      <c r="I127" s="254">
        <v>542</v>
      </c>
      <c r="J127"/>
      <c r="K127"/>
    </row>
    <row r="128" spans="2:11" ht="12.75" customHeight="1" x14ac:dyDescent="0.25">
      <c r="B128" s="252"/>
      <c r="C128" s="177" t="s">
        <v>746</v>
      </c>
      <c r="D128" s="177" t="s">
        <v>746</v>
      </c>
      <c r="E128" s="177" t="s">
        <v>750</v>
      </c>
      <c r="F128" s="177" t="s">
        <v>1314</v>
      </c>
      <c r="G128" s="177" t="s">
        <v>464</v>
      </c>
      <c r="H128" s="253">
        <v>5</v>
      </c>
      <c r="I128" s="254">
        <v>32</v>
      </c>
      <c r="J128"/>
      <c r="K128"/>
    </row>
    <row r="129" spans="2:11" ht="12.75" customHeight="1" x14ac:dyDescent="0.25">
      <c r="B129" s="252"/>
      <c r="C129" s="177"/>
      <c r="D129" s="177" t="s">
        <v>1065</v>
      </c>
      <c r="E129" s="177" t="s">
        <v>1066</v>
      </c>
      <c r="F129" s="177" t="s">
        <v>424</v>
      </c>
      <c r="G129" s="177" t="s">
        <v>466</v>
      </c>
      <c r="H129" s="253">
        <v>111</v>
      </c>
      <c r="I129" s="254">
        <v>634</v>
      </c>
      <c r="J129"/>
      <c r="K129"/>
    </row>
    <row r="130" spans="2:11" ht="12.75" customHeight="1" x14ac:dyDescent="0.25">
      <c r="B130" s="252"/>
      <c r="C130" s="177"/>
      <c r="D130" s="177" t="s">
        <v>1067</v>
      </c>
      <c r="E130" s="177" t="s">
        <v>1068</v>
      </c>
      <c r="F130" s="177" t="s">
        <v>424</v>
      </c>
      <c r="G130" s="177" t="s">
        <v>466</v>
      </c>
      <c r="H130" s="253">
        <v>64</v>
      </c>
      <c r="I130" s="254">
        <v>311</v>
      </c>
      <c r="J130"/>
      <c r="K130"/>
    </row>
    <row r="131" spans="2:11" ht="12.75" customHeight="1" x14ac:dyDescent="0.25">
      <c r="B131" s="252"/>
      <c r="C131" s="177" t="s">
        <v>1746</v>
      </c>
      <c r="D131" s="177"/>
      <c r="E131" s="177"/>
      <c r="F131" s="177"/>
      <c r="G131" s="177"/>
      <c r="H131" s="253">
        <v>180</v>
      </c>
      <c r="I131" s="254">
        <v>977</v>
      </c>
      <c r="J131"/>
      <c r="K131"/>
    </row>
    <row r="132" spans="2:11" ht="12.75" customHeight="1" x14ac:dyDescent="0.25">
      <c r="B132" s="252"/>
      <c r="C132" s="177" t="s">
        <v>309</v>
      </c>
      <c r="D132" s="177" t="s">
        <v>333</v>
      </c>
      <c r="E132" s="177" t="s">
        <v>332</v>
      </c>
      <c r="F132" s="177" t="s">
        <v>935</v>
      </c>
      <c r="G132" s="177" t="s">
        <v>466</v>
      </c>
      <c r="H132" s="253">
        <v>125</v>
      </c>
      <c r="I132" s="254">
        <v>486</v>
      </c>
      <c r="J132"/>
      <c r="K132"/>
    </row>
    <row r="133" spans="2:11" ht="12.75" customHeight="1" x14ac:dyDescent="0.25">
      <c r="B133" s="252"/>
      <c r="C133" s="177"/>
      <c r="D133" s="177" t="s">
        <v>312</v>
      </c>
      <c r="E133" s="177" t="s">
        <v>311</v>
      </c>
      <c r="F133" s="177" t="s">
        <v>462</v>
      </c>
      <c r="G133" s="177" t="s">
        <v>464</v>
      </c>
      <c r="H133" s="253">
        <v>92</v>
      </c>
      <c r="I133" s="254">
        <v>447</v>
      </c>
      <c r="J133"/>
      <c r="K133"/>
    </row>
    <row r="134" spans="2:11" ht="12.75" customHeight="1" x14ac:dyDescent="0.25">
      <c r="B134" s="252"/>
      <c r="C134" s="177"/>
      <c r="D134" s="177" t="s">
        <v>335</v>
      </c>
      <c r="E134" s="177" t="s">
        <v>334</v>
      </c>
      <c r="F134" s="177" t="s">
        <v>424</v>
      </c>
      <c r="G134" s="177" t="s">
        <v>466</v>
      </c>
      <c r="H134" s="253">
        <v>136</v>
      </c>
      <c r="I134" s="254">
        <v>985</v>
      </c>
      <c r="J134"/>
      <c r="K134"/>
    </row>
    <row r="135" spans="2:11" ht="12.75" customHeight="1" x14ac:dyDescent="0.25">
      <c r="B135" s="252"/>
      <c r="C135" s="177"/>
      <c r="D135" s="177" t="s">
        <v>751</v>
      </c>
      <c r="E135" s="177" t="s">
        <v>752</v>
      </c>
      <c r="F135" s="177" t="s">
        <v>1314</v>
      </c>
      <c r="G135" s="177" t="s">
        <v>466</v>
      </c>
      <c r="H135" s="253"/>
      <c r="I135" s="254">
        <v>872</v>
      </c>
      <c r="J135"/>
      <c r="K135"/>
    </row>
    <row r="136" spans="2:11" ht="12.75" customHeight="1" x14ac:dyDescent="0.25">
      <c r="B136" s="252"/>
      <c r="C136" s="177"/>
      <c r="D136" s="306" t="s">
        <v>319</v>
      </c>
      <c r="E136" s="177" t="s">
        <v>318</v>
      </c>
      <c r="F136" s="177" t="s">
        <v>424</v>
      </c>
      <c r="G136" s="177" t="s">
        <v>464</v>
      </c>
      <c r="H136" s="253">
        <v>31</v>
      </c>
      <c r="I136" s="254">
        <v>181</v>
      </c>
      <c r="J136"/>
      <c r="K136"/>
    </row>
    <row r="137" spans="2:11" x14ac:dyDescent="0.25">
      <c r="B137" s="252"/>
      <c r="C137" s="177"/>
      <c r="D137" s="306" t="s">
        <v>321</v>
      </c>
      <c r="E137" s="177" t="s">
        <v>320</v>
      </c>
      <c r="F137" s="177" t="s">
        <v>935</v>
      </c>
      <c r="G137" s="177" t="s">
        <v>466</v>
      </c>
      <c r="H137" s="253">
        <v>414</v>
      </c>
      <c r="I137" s="254">
        <v>1551</v>
      </c>
      <c r="J137"/>
      <c r="K137"/>
    </row>
    <row r="138" spans="2:11" ht="12.75" customHeight="1" x14ac:dyDescent="0.25">
      <c r="B138" s="252"/>
      <c r="C138" s="177"/>
      <c r="D138" s="306" t="s">
        <v>327</v>
      </c>
      <c r="E138" s="177" t="s">
        <v>326</v>
      </c>
      <c r="F138" s="177" t="s">
        <v>462</v>
      </c>
      <c r="G138" s="177" t="s">
        <v>464</v>
      </c>
      <c r="H138" s="253">
        <v>347</v>
      </c>
      <c r="I138" s="254">
        <v>2047</v>
      </c>
      <c r="J138"/>
      <c r="K138"/>
    </row>
    <row r="139" spans="2:11" ht="12.75" customHeight="1" x14ac:dyDescent="0.25">
      <c r="B139" s="252"/>
      <c r="C139" s="177"/>
      <c r="D139" s="306" t="s">
        <v>329</v>
      </c>
      <c r="E139" s="177" t="s">
        <v>328</v>
      </c>
      <c r="F139" s="177" t="s">
        <v>935</v>
      </c>
      <c r="G139" s="177" t="s">
        <v>464</v>
      </c>
      <c r="H139" s="253">
        <v>335</v>
      </c>
      <c r="I139" s="254">
        <v>1774</v>
      </c>
      <c r="J139"/>
      <c r="K139"/>
    </row>
    <row r="140" spans="2:11" ht="12.75" customHeight="1" x14ac:dyDescent="0.25">
      <c r="B140" s="252"/>
      <c r="C140" s="177"/>
      <c r="D140" s="306" t="s">
        <v>323</v>
      </c>
      <c r="E140" s="177" t="s">
        <v>322</v>
      </c>
      <c r="F140" s="177" t="s">
        <v>424</v>
      </c>
      <c r="G140" s="177" t="s">
        <v>464</v>
      </c>
      <c r="H140" s="253">
        <v>506</v>
      </c>
      <c r="I140" s="254">
        <v>2702</v>
      </c>
      <c r="J140"/>
      <c r="K140"/>
    </row>
    <row r="141" spans="2:11" ht="12.75" customHeight="1" x14ac:dyDescent="0.25">
      <c r="B141" s="252"/>
      <c r="C141" s="177"/>
      <c r="D141" s="306" t="s">
        <v>325</v>
      </c>
      <c r="E141" s="177" t="s">
        <v>324</v>
      </c>
      <c r="F141" s="177" t="s">
        <v>424</v>
      </c>
      <c r="G141" s="177" t="s">
        <v>464</v>
      </c>
      <c r="H141" s="253">
        <v>52</v>
      </c>
      <c r="I141" s="254">
        <v>235</v>
      </c>
      <c r="J141"/>
      <c r="K141"/>
    </row>
    <row r="142" spans="2:11" ht="12.75" customHeight="1" x14ac:dyDescent="0.25">
      <c r="B142" s="252"/>
      <c r="C142" s="177"/>
      <c r="D142" s="306" t="s">
        <v>342</v>
      </c>
      <c r="E142" s="177" t="s">
        <v>341</v>
      </c>
      <c r="F142" s="177" t="s">
        <v>462</v>
      </c>
      <c r="G142" s="177" t="s">
        <v>464</v>
      </c>
      <c r="H142" s="253">
        <v>19</v>
      </c>
      <c r="I142" s="254">
        <v>85</v>
      </c>
      <c r="J142"/>
      <c r="K142"/>
    </row>
    <row r="143" spans="2:11" ht="12.75" customHeight="1" x14ac:dyDescent="0.25">
      <c r="B143" s="252"/>
      <c r="C143" s="177"/>
      <c r="D143" s="306" t="s">
        <v>353</v>
      </c>
      <c r="E143" s="177" t="s">
        <v>352</v>
      </c>
      <c r="F143" s="177" t="s">
        <v>935</v>
      </c>
      <c r="G143" s="177" t="s">
        <v>466</v>
      </c>
      <c r="H143" s="253">
        <v>82</v>
      </c>
      <c r="I143" s="254">
        <v>518</v>
      </c>
      <c r="J143"/>
      <c r="K143"/>
    </row>
    <row r="144" spans="2:11" ht="12.75" customHeight="1" x14ac:dyDescent="0.25">
      <c r="B144" s="252"/>
      <c r="C144" s="177"/>
      <c r="D144" s="306" t="s">
        <v>317</v>
      </c>
      <c r="E144" s="177" t="s">
        <v>316</v>
      </c>
      <c r="F144" s="177" t="s">
        <v>462</v>
      </c>
      <c r="G144" s="177" t="s">
        <v>464</v>
      </c>
      <c r="H144" s="253">
        <v>121</v>
      </c>
      <c r="I144" s="254">
        <v>510</v>
      </c>
      <c r="J144"/>
      <c r="K144"/>
    </row>
    <row r="145" spans="2:11" ht="12.75" customHeight="1" x14ac:dyDescent="0.25">
      <c r="B145" s="252"/>
      <c r="C145" s="177"/>
      <c r="D145" s="306" t="s">
        <v>340</v>
      </c>
      <c r="E145" s="177" t="s">
        <v>339</v>
      </c>
      <c r="F145" s="177" t="s">
        <v>424</v>
      </c>
      <c r="G145" s="177" t="s">
        <v>464</v>
      </c>
      <c r="H145" s="253">
        <v>66</v>
      </c>
      <c r="I145" s="254">
        <v>338</v>
      </c>
      <c r="J145"/>
      <c r="K145"/>
    </row>
    <row r="146" spans="2:11" ht="12.75" customHeight="1" x14ac:dyDescent="0.25">
      <c r="B146" s="252"/>
      <c r="C146" s="177"/>
      <c r="D146" s="306" t="s">
        <v>337</v>
      </c>
      <c r="E146" s="177" t="s">
        <v>336</v>
      </c>
      <c r="F146" s="177" t="s">
        <v>462</v>
      </c>
      <c r="G146" s="177" t="s">
        <v>464</v>
      </c>
      <c r="H146" s="253">
        <v>36</v>
      </c>
      <c r="I146" s="254">
        <v>185</v>
      </c>
      <c r="J146"/>
      <c r="K146"/>
    </row>
    <row r="147" spans="2:11" ht="12.75" customHeight="1" x14ac:dyDescent="0.25">
      <c r="B147" s="252"/>
      <c r="C147" s="177"/>
      <c r="D147" s="306" t="s">
        <v>345</v>
      </c>
      <c r="E147" s="177" t="s">
        <v>344</v>
      </c>
      <c r="F147" s="177" t="s">
        <v>424</v>
      </c>
      <c r="G147" s="177" t="s">
        <v>464</v>
      </c>
      <c r="H147" s="253">
        <v>183</v>
      </c>
      <c r="I147" s="254">
        <v>1041</v>
      </c>
      <c r="J147"/>
      <c r="K147"/>
    </row>
    <row r="148" spans="2:11" ht="12.75" customHeight="1" x14ac:dyDescent="0.25">
      <c r="B148" s="252"/>
      <c r="C148" s="177"/>
      <c r="D148" s="306" t="s">
        <v>347</v>
      </c>
      <c r="E148" s="177" t="s">
        <v>346</v>
      </c>
      <c r="F148" s="177" t="s">
        <v>462</v>
      </c>
      <c r="G148" s="177" t="s">
        <v>464</v>
      </c>
      <c r="H148" s="253">
        <v>45</v>
      </c>
      <c r="I148" s="254">
        <v>188</v>
      </c>
      <c r="J148"/>
      <c r="K148"/>
    </row>
    <row r="149" spans="2:11" ht="12.75" customHeight="1" x14ac:dyDescent="0.25">
      <c r="B149" s="252"/>
      <c r="C149" s="177"/>
      <c r="D149" s="306" t="s">
        <v>315</v>
      </c>
      <c r="E149" s="177" t="s">
        <v>314</v>
      </c>
      <c r="F149" s="177" t="s">
        <v>462</v>
      </c>
      <c r="G149" s="177" t="s">
        <v>464</v>
      </c>
      <c r="H149" s="253">
        <v>67</v>
      </c>
      <c r="I149" s="254">
        <v>273</v>
      </c>
      <c r="J149"/>
      <c r="K149"/>
    </row>
    <row r="150" spans="2:11" ht="12.75" customHeight="1" x14ac:dyDescent="0.25">
      <c r="B150" s="252"/>
      <c r="C150" s="177"/>
      <c r="D150" s="177" t="s">
        <v>351</v>
      </c>
      <c r="E150" s="177" t="s">
        <v>350</v>
      </c>
      <c r="F150" s="177" t="s">
        <v>935</v>
      </c>
      <c r="G150" s="177" t="s">
        <v>466</v>
      </c>
      <c r="H150" s="253">
        <v>1417</v>
      </c>
      <c r="I150" s="254">
        <v>7074</v>
      </c>
      <c r="J150"/>
      <c r="K150"/>
    </row>
    <row r="151" spans="2:11" ht="12.75" customHeight="1" x14ac:dyDescent="0.25">
      <c r="B151" s="252"/>
      <c r="C151" s="177"/>
      <c r="D151" s="177" t="s">
        <v>1029</v>
      </c>
      <c r="E151" s="177" t="s">
        <v>343</v>
      </c>
      <c r="F151" s="177" t="s">
        <v>424</v>
      </c>
      <c r="G151" s="177" t="s">
        <v>466</v>
      </c>
      <c r="H151" s="253">
        <v>185</v>
      </c>
      <c r="I151" s="254">
        <v>931</v>
      </c>
      <c r="J151"/>
      <c r="K151"/>
    </row>
    <row r="152" spans="2:11" ht="12.75" customHeight="1" x14ac:dyDescent="0.25">
      <c r="B152" s="252"/>
      <c r="C152" s="177"/>
      <c r="D152" s="177" t="s">
        <v>1252</v>
      </c>
      <c r="E152" s="177" t="s">
        <v>1249</v>
      </c>
      <c r="F152" s="177" t="s">
        <v>1314</v>
      </c>
      <c r="G152" s="177" t="s">
        <v>464</v>
      </c>
      <c r="H152" s="253">
        <v>62</v>
      </c>
      <c r="I152" s="254">
        <v>410</v>
      </c>
      <c r="J152"/>
      <c r="K152"/>
    </row>
    <row r="153" spans="2:11" ht="12.75" customHeight="1" x14ac:dyDescent="0.25">
      <c r="B153" s="252"/>
      <c r="C153" s="177"/>
      <c r="D153" s="177" t="s">
        <v>1263</v>
      </c>
      <c r="E153" s="177" t="s">
        <v>1261</v>
      </c>
      <c r="F153" s="177" t="s">
        <v>424</v>
      </c>
      <c r="G153" s="177" t="s">
        <v>466</v>
      </c>
      <c r="H153" s="253">
        <v>398</v>
      </c>
      <c r="I153" s="254">
        <v>1824</v>
      </c>
      <c r="J153"/>
      <c r="K153"/>
    </row>
    <row r="154" spans="2:11" x14ac:dyDescent="0.25">
      <c r="B154" s="252"/>
      <c r="C154" s="177"/>
      <c r="D154" s="177" t="s">
        <v>1257</v>
      </c>
      <c r="E154" s="177" t="s">
        <v>1545</v>
      </c>
      <c r="F154" s="177" t="s">
        <v>1314</v>
      </c>
      <c r="G154" s="177" t="s">
        <v>464</v>
      </c>
      <c r="H154" s="253">
        <v>80</v>
      </c>
      <c r="I154" s="254">
        <v>449</v>
      </c>
      <c r="J154"/>
      <c r="K154"/>
    </row>
    <row r="155" spans="2:11" ht="12.75" customHeight="1" x14ac:dyDescent="0.25">
      <c r="B155" s="252"/>
      <c r="C155" s="177"/>
      <c r="D155" s="177" t="s">
        <v>1745</v>
      </c>
      <c r="E155" s="177" t="s">
        <v>1694</v>
      </c>
      <c r="F155" s="177" t="s">
        <v>424</v>
      </c>
      <c r="G155" s="177" t="s">
        <v>464</v>
      </c>
      <c r="H155" s="253">
        <v>68</v>
      </c>
      <c r="I155" s="254">
        <v>303</v>
      </c>
      <c r="J155"/>
      <c r="K155"/>
    </row>
    <row r="156" spans="2:11" ht="12.75" customHeight="1" x14ac:dyDescent="0.25">
      <c r="B156" s="252"/>
      <c r="C156" s="177" t="s">
        <v>953</v>
      </c>
      <c r="D156" s="177"/>
      <c r="E156" s="177"/>
      <c r="F156" s="177"/>
      <c r="G156" s="177"/>
      <c r="H156" s="253">
        <v>4867</v>
      </c>
      <c r="I156" s="254">
        <v>25409</v>
      </c>
      <c r="J156"/>
      <c r="K156"/>
    </row>
    <row r="157" spans="2:11" x14ac:dyDescent="0.25">
      <c r="B157" s="252"/>
      <c r="C157" s="177" t="s">
        <v>1135</v>
      </c>
      <c r="D157" s="177" t="s">
        <v>1393</v>
      </c>
      <c r="E157" s="177" t="s">
        <v>1406</v>
      </c>
      <c r="F157" s="177" t="s">
        <v>935</v>
      </c>
      <c r="G157" s="177" t="s">
        <v>464</v>
      </c>
      <c r="H157" s="253">
        <v>34</v>
      </c>
      <c r="I157" s="254">
        <v>143</v>
      </c>
      <c r="J157"/>
      <c r="K157"/>
    </row>
    <row r="158" spans="2:11" ht="12.75" customHeight="1" x14ac:dyDescent="0.25">
      <c r="B158" s="252"/>
      <c r="C158" s="177"/>
      <c r="D158" s="177" t="s">
        <v>1727</v>
      </c>
      <c r="E158" s="177" t="s">
        <v>1405</v>
      </c>
      <c r="F158" s="177" t="s">
        <v>424</v>
      </c>
      <c r="G158" s="177" t="s">
        <v>464</v>
      </c>
      <c r="H158" s="253">
        <v>101</v>
      </c>
      <c r="I158" s="254">
        <v>380</v>
      </c>
      <c r="J158"/>
      <c r="K158"/>
    </row>
    <row r="159" spans="2:11" ht="12.75" customHeight="1" x14ac:dyDescent="0.25">
      <c r="B159" s="252"/>
      <c r="C159" s="177"/>
      <c r="D159" s="177" t="s">
        <v>1773</v>
      </c>
      <c r="E159" s="177" t="s">
        <v>1403</v>
      </c>
      <c r="F159" s="177" t="s">
        <v>935</v>
      </c>
      <c r="G159" s="177" t="s">
        <v>464</v>
      </c>
      <c r="H159" s="253">
        <v>139</v>
      </c>
      <c r="I159" s="254">
        <v>587</v>
      </c>
      <c r="J159"/>
      <c r="K159"/>
    </row>
    <row r="160" spans="2:11" ht="12.75" customHeight="1" x14ac:dyDescent="0.25">
      <c r="B160" s="252"/>
      <c r="C160" s="177" t="s">
        <v>1747</v>
      </c>
      <c r="D160" s="177"/>
      <c r="E160" s="177"/>
      <c r="F160" s="177"/>
      <c r="G160" s="177"/>
      <c r="H160" s="253">
        <v>274</v>
      </c>
      <c r="I160" s="254">
        <v>1110</v>
      </c>
      <c r="J160"/>
      <c r="K160"/>
    </row>
    <row r="161" spans="2:11" ht="12.75" customHeight="1" x14ac:dyDescent="0.25">
      <c r="B161" s="252" t="s">
        <v>779</v>
      </c>
      <c r="C161" s="177"/>
      <c r="D161" s="177"/>
      <c r="E161" s="177"/>
      <c r="F161" s="177"/>
      <c r="G161" s="177"/>
      <c r="H161" s="253">
        <v>18855</v>
      </c>
      <c r="I161" s="254">
        <v>96607</v>
      </c>
      <c r="J161"/>
      <c r="K161"/>
    </row>
    <row r="162" spans="2:11" ht="12.75" customHeight="1" x14ac:dyDescent="0.25">
      <c r="B162" s="252" t="s">
        <v>506</v>
      </c>
      <c r="C162" s="177" t="s">
        <v>719</v>
      </c>
      <c r="D162" s="177" t="s">
        <v>1059</v>
      </c>
      <c r="E162" s="177" t="s">
        <v>1043</v>
      </c>
      <c r="F162" s="177" t="s">
        <v>424</v>
      </c>
      <c r="G162" s="177" t="s">
        <v>464</v>
      </c>
      <c r="H162" s="253">
        <v>32</v>
      </c>
      <c r="I162" s="254">
        <v>172</v>
      </c>
      <c r="J162"/>
      <c r="K162"/>
    </row>
    <row r="163" spans="2:11" ht="12.75" customHeight="1" x14ac:dyDescent="0.25">
      <c r="B163" s="252"/>
      <c r="C163" s="177" t="s">
        <v>1607</v>
      </c>
      <c r="D163" s="177"/>
      <c r="E163" s="177"/>
      <c r="F163" s="177"/>
      <c r="G163" s="177"/>
      <c r="H163" s="253">
        <v>32</v>
      </c>
      <c r="I163" s="254">
        <v>172</v>
      </c>
      <c r="J163"/>
      <c r="K163"/>
    </row>
    <row r="164" spans="2:11" ht="12.75" customHeight="1" x14ac:dyDescent="0.25">
      <c r="B164" s="252"/>
      <c r="C164" s="177" t="s">
        <v>146</v>
      </c>
      <c r="D164" s="177" t="s">
        <v>367</v>
      </c>
      <c r="E164" s="177" t="s">
        <v>381</v>
      </c>
      <c r="F164" s="177" t="s">
        <v>424</v>
      </c>
      <c r="G164" s="177" t="s">
        <v>464</v>
      </c>
      <c r="H164" s="253">
        <v>53</v>
      </c>
      <c r="I164" s="254">
        <v>256</v>
      </c>
      <c r="J164"/>
      <c r="K164"/>
    </row>
    <row r="165" spans="2:11" ht="12.75" customHeight="1" x14ac:dyDescent="0.25">
      <c r="B165" s="252"/>
      <c r="C165" s="177"/>
      <c r="D165" s="177" t="s">
        <v>368</v>
      </c>
      <c r="E165" s="177" t="s">
        <v>382</v>
      </c>
      <c r="F165" s="177" t="s">
        <v>1047</v>
      </c>
      <c r="G165" s="177" t="s">
        <v>464</v>
      </c>
      <c r="H165" s="253">
        <v>28</v>
      </c>
      <c r="I165" s="254">
        <v>132</v>
      </c>
      <c r="J165"/>
      <c r="K165"/>
    </row>
    <row r="166" spans="2:11" ht="12.75" customHeight="1" x14ac:dyDescent="0.25">
      <c r="B166" s="252"/>
      <c r="C166" s="177"/>
      <c r="D166" s="177" t="s">
        <v>369</v>
      </c>
      <c r="E166" s="177" t="s">
        <v>147</v>
      </c>
      <c r="F166" s="177" t="s">
        <v>424</v>
      </c>
      <c r="G166" s="177" t="s">
        <v>464</v>
      </c>
      <c r="H166" s="253">
        <v>41</v>
      </c>
      <c r="I166" s="254">
        <v>232</v>
      </c>
      <c r="J166"/>
      <c r="K166"/>
    </row>
    <row r="167" spans="2:11" ht="12.75" customHeight="1" x14ac:dyDescent="0.25">
      <c r="B167" s="252"/>
      <c r="C167" s="177"/>
      <c r="D167" s="177" t="s">
        <v>149</v>
      </c>
      <c r="E167" s="177" t="s">
        <v>148</v>
      </c>
      <c r="F167" s="177" t="s">
        <v>424</v>
      </c>
      <c r="G167" s="177" t="s">
        <v>464</v>
      </c>
      <c r="H167" s="253">
        <v>57</v>
      </c>
      <c r="I167" s="254">
        <v>269</v>
      </c>
      <c r="J167"/>
      <c r="K167"/>
    </row>
    <row r="168" spans="2:11" ht="12.75" customHeight="1" x14ac:dyDescent="0.25">
      <c r="B168" s="252"/>
      <c r="C168" s="177"/>
      <c r="D168" s="177" t="s">
        <v>371</v>
      </c>
      <c r="E168" s="177" t="s">
        <v>385</v>
      </c>
      <c r="F168" s="177" t="s">
        <v>424</v>
      </c>
      <c r="G168" s="177" t="s">
        <v>464</v>
      </c>
      <c r="H168" s="253">
        <v>204</v>
      </c>
      <c r="I168" s="254">
        <v>1043</v>
      </c>
      <c r="J168"/>
      <c r="K168"/>
    </row>
    <row r="169" spans="2:11" ht="12.75" customHeight="1" x14ac:dyDescent="0.25">
      <c r="B169" s="252"/>
      <c r="C169" s="177"/>
      <c r="D169" s="177" t="s">
        <v>942</v>
      </c>
      <c r="E169" s="177" t="s">
        <v>941</v>
      </c>
      <c r="F169" s="177" t="s">
        <v>1047</v>
      </c>
      <c r="G169" s="177" t="s">
        <v>464</v>
      </c>
      <c r="H169" s="253">
        <v>20</v>
      </c>
      <c r="I169" s="254">
        <v>95</v>
      </c>
      <c r="J169"/>
      <c r="K169"/>
    </row>
    <row r="170" spans="2:11" ht="12.75" customHeight="1" x14ac:dyDescent="0.25">
      <c r="B170" s="252"/>
      <c r="C170" s="177"/>
      <c r="D170" s="177" t="s">
        <v>1081</v>
      </c>
      <c r="E170" s="177" t="s">
        <v>1082</v>
      </c>
      <c r="F170" s="177" t="s">
        <v>1314</v>
      </c>
      <c r="G170" s="177" t="s">
        <v>464</v>
      </c>
      <c r="H170" s="253">
        <v>103</v>
      </c>
      <c r="I170" s="254">
        <v>578</v>
      </c>
      <c r="J170"/>
      <c r="K170"/>
    </row>
    <row r="171" spans="2:11" ht="12.75" customHeight="1" x14ac:dyDescent="0.25">
      <c r="B171" s="252"/>
      <c r="C171" s="177"/>
      <c r="D171" s="177" t="s">
        <v>1145</v>
      </c>
      <c r="E171" s="177" t="s">
        <v>1127</v>
      </c>
      <c r="F171" s="177" t="s">
        <v>1314</v>
      </c>
      <c r="G171" s="177" t="s">
        <v>464</v>
      </c>
      <c r="H171" s="253">
        <v>30</v>
      </c>
      <c r="I171" s="254">
        <v>170</v>
      </c>
      <c r="J171"/>
      <c r="K171"/>
    </row>
    <row r="172" spans="2:11" ht="12.75" customHeight="1" x14ac:dyDescent="0.25">
      <c r="B172" s="252"/>
      <c r="C172" s="177"/>
      <c r="D172" s="177" t="s">
        <v>1231</v>
      </c>
      <c r="E172" s="177" t="s">
        <v>1230</v>
      </c>
      <c r="F172" s="177" t="s">
        <v>424</v>
      </c>
      <c r="G172" s="177" t="s">
        <v>464</v>
      </c>
      <c r="H172" s="253">
        <v>37</v>
      </c>
      <c r="I172" s="254">
        <v>161</v>
      </c>
      <c r="J172"/>
      <c r="K172"/>
    </row>
    <row r="173" spans="2:11" ht="12.75" customHeight="1" x14ac:dyDescent="0.25">
      <c r="B173" s="252"/>
      <c r="C173" s="177"/>
      <c r="D173" s="177" t="s">
        <v>1238</v>
      </c>
      <c r="E173" s="177" t="s">
        <v>1239</v>
      </c>
      <c r="F173" s="177" t="s">
        <v>1314</v>
      </c>
      <c r="G173" s="177" t="s">
        <v>464</v>
      </c>
      <c r="H173" s="253">
        <v>24</v>
      </c>
      <c r="I173" s="254">
        <v>84</v>
      </c>
      <c r="J173"/>
      <c r="K173"/>
    </row>
    <row r="174" spans="2:11" ht="12.75" customHeight="1" x14ac:dyDescent="0.25">
      <c r="B174" s="252"/>
      <c r="C174" s="177"/>
      <c r="D174" s="177" t="s">
        <v>1529</v>
      </c>
      <c r="E174" s="177" t="s">
        <v>1546</v>
      </c>
      <c r="F174" s="177" t="s">
        <v>1314</v>
      </c>
      <c r="G174" s="177" t="s">
        <v>464</v>
      </c>
      <c r="H174" s="253">
        <v>35</v>
      </c>
      <c r="I174" s="254">
        <v>189</v>
      </c>
      <c r="J174"/>
      <c r="K174"/>
    </row>
    <row r="175" spans="2:11" ht="12.75" customHeight="1" x14ac:dyDescent="0.25">
      <c r="B175" s="252"/>
      <c r="C175" s="177"/>
      <c r="D175" s="177" t="s">
        <v>1570</v>
      </c>
      <c r="E175" s="177" t="s">
        <v>1125</v>
      </c>
      <c r="F175" s="177" t="s">
        <v>1047</v>
      </c>
      <c r="G175" s="177" t="s">
        <v>464</v>
      </c>
      <c r="H175" s="253">
        <v>41</v>
      </c>
      <c r="I175" s="254">
        <v>137</v>
      </c>
      <c r="J175"/>
      <c r="K175"/>
    </row>
    <row r="176" spans="2:11" ht="12.75" customHeight="1" x14ac:dyDescent="0.25">
      <c r="B176" s="252"/>
      <c r="C176" s="177"/>
      <c r="D176" s="177" t="s">
        <v>1614</v>
      </c>
      <c r="E176" s="177" t="s">
        <v>383</v>
      </c>
      <c r="F176" s="177" t="s">
        <v>424</v>
      </c>
      <c r="G176" s="177" t="s">
        <v>464</v>
      </c>
      <c r="H176" s="253">
        <v>76</v>
      </c>
      <c r="I176" s="254">
        <v>343</v>
      </c>
      <c r="J176"/>
      <c r="K176"/>
    </row>
    <row r="177" spans="2:11" ht="12.75" customHeight="1" x14ac:dyDescent="0.25">
      <c r="B177" s="252"/>
      <c r="C177" s="177"/>
      <c r="D177" s="177" t="s">
        <v>1615</v>
      </c>
      <c r="E177" s="177" t="s">
        <v>1120</v>
      </c>
      <c r="F177" s="177" t="s">
        <v>424</v>
      </c>
      <c r="G177" s="177" t="s">
        <v>464</v>
      </c>
      <c r="H177" s="253">
        <v>82</v>
      </c>
      <c r="I177" s="254">
        <v>426</v>
      </c>
      <c r="J177"/>
      <c r="K177"/>
    </row>
    <row r="178" spans="2:11" ht="12.75" customHeight="1" x14ac:dyDescent="0.25">
      <c r="B178" s="252"/>
      <c r="C178" s="177"/>
      <c r="D178" s="177" t="s">
        <v>1934</v>
      </c>
      <c r="E178" s="177" t="s">
        <v>840</v>
      </c>
      <c r="F178" s="177" t="s">
        <v>1314</v>
      </c>
      <c r="G178" s="177" t="s">
        <v>464</v>
      </c>
      <c r="H178" s="253">
        <v>86</v>
      </c>
      <c r="I178" s="254">
        <v>525</v>
      </c>
      <c r="J178"/>
      <c r="K178"/>
    </row>
    <row r="179" spans="2:11" ht="12.75" customHeight="1" x14ac:dyDescent="0.25">
      <c r="B179" s="252"/>
      <c r="C179" s="177"/>
      <c r="D179" s="177" t="s">
        <v>1931</v>
      </c>
      <c r="E179" s="177" t="s">
        <v>1927</v>
      </c>
      <c r="F179" s="177" t="s">
        <v>1314</v>
      </c>
      <c r="G179" s="177" t="s">
        <v>464</v>
      </c>
      <c r="H179" s="253">
        <v>32</v>
      </c>
      <c r="I179" s="254">
        <v>153</v>
      </c>
      <c r="J179"/>
      <c r="K179"/>
    </row>
    <row r="180" spans="2:11" ht="12.75" customHeight="1" x14ac:dyDescent="0.25">
      <c r="B180" s="252"/>
      <c r="C180" s="177" t="s">
        <v>1608</v>
      </c>
      <c r="D180" s="177"/>
      <c r="E180" s="177"/>
      <c r="F180" s="177"/>
      <c r="G180" s="177"/>
      <c r="H180" s="253">
        <v>949</v>
      </c>
      <c r="I180" s="254">
        <v>4793</v>
      </c>
      <c r="J180"/>
      <c r="K180"/>
    </row>
    <row r="181" spans="2:11" ht="12.75" customHeight="1" x14ac:dyDescent="0.25">
      <c r="B181" s="252"/>
      <c r="C181" s="177" t="s">
        <v>166</v>
      </c>
      <c r="D181" s="177" t="s">
        <v>167</v>
      </c>
      <c r="E181" s="177" t="s">
        <v>165</v>
      </c>
      <c r="F181" s="177" t="s">
        <v>424</v>
      </c>
      <c r="G181" s="177" t="s">
        <v>464</v>
      </c>
      <c r="H181" s="253">
        <v>33</v>
      </c>
      <c r="I181" s="254">
        <v>177</v>
      </c>
      <c r="J181"/>
      <c r="K181"/>
    </row>
    <row r="182" spans="2:11" ht="12.75" customHeight="1" x14ac:dyDescent="0.25">
      <c r="B182" s="252"/>
      <c r="C182" s="177"/>
      <c r="D182" s="177" t="s">
        <v>760</v>
      </c>
      <c r="E182" s="177" t="s">
        <v>761</v>
      </c>
      <c r="F182" s="177" t="s">
        <v>1047</v>
      </c>
      <c r="G182" s="177" t="s">
        <v>464</v>
      </c>
      <c r="H182" s="253">
        <v>29</v>
      </c>
      <c r="I182" s="254">
        <v>171</v>
      </c>
      <c r="J182"/>
      <c r="K182"/>
    </row>
    <row r="183" spans="2:11" ht="12.75" customHeight="1" x14ac:dyDescent="0.25">
      <c r="B183" s="252"/>
      <c r="C183" s="177" t="s">
        <v>1748</v>
      </c>
      <c r="D183" s="177"/>
      <c r="E183" s="177"/>
      <c r="F183" s="177"/>
      <c r="G183" s="177"/>
      <c r="H183" s="253">
        <v>62</v>
      </c>
      <c r="I183" s="254">
        <v>348</v>
      </c>
      <c r="J183"/>
      <c r="K183"/>
    </row>
    <row r="184" spans="2:11" ht="12.75" customHeight="1" x14ac:dyDescent="0.25">
      <c r="B184" s="252"/>
      <c r="C184" s="177" t="s">
        <v>230</v>
      </c>
      <c r="D184" s="177" t="s">
        <v>902</v>
      </c>
      <c r="E184" s="177" t="s">
        <v>903</v>
      </c>
      <c r="F184" s="177" t="s">
        <v>424</v>
      </c>
      <c r="G184" s="177" t="s">
        <v>464</v>
      </c>
      <c r="H184" s="253">
        <v>41</v>
      </c>
      <c r="I184" s="254">
        <v>187</v>
      </c>
      <c r="J184"/>
      <c r="K184"/>
    </row>
    <row r="185" spans="2:11" ht="12.75" customHeight="1" x14ac:dyDescent="0.25">
      <c r="B185" s="252"/>
      <c r="C185" s="177"/>
      <c r="D185" s="177" t="s">
        <v>912</v>
      </c>
      <c r="E185" s="177" t="s">
        <v>913</v>
      </c>
      <c r="F185" s="177" t="s">
        <v>1047</v>
      </c>
      <c r="G185" s="177" t="s">
        <v>464</v>
      </c>
      <c r="H185" s="253">
        <v>18</v>
      </c>
      <c r="I185" s="254">
        <v>80</v>
      </c>
      <c r="J185"/>
      <c r="K185"/>
    </row>
    <row r="186" spans="2:11" ht="12.75" customHeight="1" x14ac:dyDescent="0.25">
      <c r="B186" s="252"/>
      <c r="C186" s="177"/>
      <c r="D186" s="177" t="s">
        <v>716</v>
      </c>
      <c r="E186" s="177" t="s">
        <v>1242</v>
      </c>
      <c r="F186" s="177" t="s">
        <v>424</v>
      </c>
      <c r="G186" s="177" t="s">
        <v>464</v>
      </c>
      <c r="H186" s="253">
        <v>153</v>
      </c>
      <c r="I186" s="254">
        <v>785</v>
      </c>
      <c r="J186"/>
      <c r="K186"/>
    </row>
    <row r="187" spans="2:11" ht="12.75" customHeight="1" x14ac:dyDescent="0.25">
      <c r="B187" s="252"/>
      <c r="C187" s="177" t="s">
        <v>1609</v>
      </c>
      <c r="D187" s="177"/>
      <c r="E187" s="177"/>
      <c r="F187" s="177"/>
      <c r="G187" s="177"/>
      <c r="H187" s="253">
        <v>212</v>
      </c>
      <c r="I187" s="254">
        <v>1052</v>
      </c>
      <c r="J187"/>
      <c r="K187"/>
    </row>
    <row r="188" spans="2:11" ht="12.75" customHeight="1" x14ac:dyDescent="0.25">
      <c r="B188" s="252"/>
      <c r="C188" s="177" t="s">
        <v>288</v>
      </c>
      <c r="D188" s="177" t="s">
        <v>291</v>
      </c>
      <c r="E188" s="177" t="s">
        <v>290</v>
      </c>
      <c r="F188" s="177" t="s">
        <v>424</v>
      </c>
      <c r="G188" s="177" t="s">
        <v>464</v>
      </c>
      <c r="H188" s="253">
        <v>76</v>
      </c>
      <c r="I188" s="254">
        <v>373</v>
      </c>
      <c r="J188"/>
      <c r="K188"/>
    </row>
    <row r="189" spans="2:11" ht="12.75" customHeight="1" x14ac:dyDescent="0.25">
      <c r="B189" s="252"/>
      <c r="C189" s="177"/>
      <c r="D189" s="177" t="s">
        <v>289</v>
      </c>
      <c r="E189" s="177" t="s">
        <v>287</v>
      </c>
      <c r="F189" s="177" t="s">
        <v>424</v>
      </c>
      <c r="G189" s="177" t="s">
        <v>464</v>
      </c>
      <c r="H189" s="253">
        <v>67</v>
      </c>
      <c r="I189" s="254">
        <v>347</v>
      </c>
      <c r="J189"/>
      <c r="K189"/>
    </row>
    <row r="190" spans="2:11" ht="12.75" customHeight="1" x14ac:dyDescent="0.25">
      <c r="B190" s="252"/>
      <c r="C190" s="177"/>
      <c r="D190" s="177" t="s">
        <v>372</v>
      </c>
      <c r="E190" s="177" t="s">
        <v>294</v>
      </c>
      <c r="F190" s="177" t="s">
        <v>1047</v>
      </c>
      <c r="G190" s="177" t="s">
        <v>464</v>
      </c>
      <c r="H190" s="253">
        <v>43</v>
      </c>
      <c r="I190" s="254">
        <v>218</v>
      </c>
      <c r="J190"/>
      <c r="K190"/>
    </row>
    <row r="191" spans="2:11" ht="12.75" customHeight="1" x14ac:dyDescent="0.25">
      <c r="B191" s="252"/>
      <c r="C191" s="177"/>
      <c r="D191" s="177" t="s">
        <v>904</v>
      </c>
      <c r="E191" s="177" t="s">
        <v>905</v>
      </c>
      <c r="F191" s="177" t="s">
        <v>424</v>
      </c>
      <c r="G191" s="177" t="s">
        <v>464</v>
      </c>
      <c r="H191" s="253">
        <v>38</v>
      </c>
      <c r="I191" s="254">
        <v>195</v>
      </c>
      <c r="J191"/>
      <c r="K191"/>
    </row>
    <row r="192" spans="2:11" ht="12.75" customHeight="1" x14ac:dyDescent="0.25">
      <c r="B192" s="252"/>
      <c r="C192" s="177"/>
      <c r="D192" s="177" t="s">
        <v>916</v>
      </c>
      <c r="E192" s="177" t="s">
        <v>909</v>
      </c>
      <c r="F192" s="177" t="s">
        <v>424</v>
      </c>
      <c r="G192" s="177" t="s">
        <v>464</v>
      </c>
      <c r="H192" s="253">
        <v>115</v>
      </c>
      <c r="I192" s="254">
        <v>548</v>
      </c>
      <c r="J192"/>
      <c r="K192"/>
    </row>
    <row r="193" spans="2:11" ht="12.75" customHeight="1" x14ac:dyDescent="0.25">
      <c r="B193" s="252"/>
      <c r="C193" s="177"/>
      <c r="D193" s="177" t="s">
        <v>1129</v>
      </c>
      <c r="E193" s="177" t="s">
        <v>1124</v>
      </c>
      <c r="F193" s="177" t="s">
        <v>1314</v>
      </c>
      <c r="G193" s="177" t="s">
        <v>464</v>
      </c>
      <c r="H193" s="253">
        <v>62</v>
      </c>
      <c r="I193" s="254">
        <v>328</v>
      </c>
      <c r="J193"/>
      <c r="K193"/>
    </row>
    <row r="194" spans="2:11" x14ac:dyDescent="0.25">
      <c r="B194" s="252"/>
      <c r="C194" s="177" t="s">
        <v>1610</v>
      </c>
      <c r="D194" s="177"/>
      <c r="E194" s="177"/>
      <c r="F194" s="177"/>
      <c r="G194" s="177"/>
      <c r="H194" s="253">
        <v>401</v>
      </c>
      <c r="I194" s="254">
        <v>2009</v>
      </c>
      <c r="J194"/>
      <c r="K194"/>
    </row>
    <row r="195" spans="2:11" x14ac:dyDescent="0.25">
      <c r="B195" s="252"/>
      <c r="C195" s="177" t="s">
        <v>297</v>
      </c>
      <c r="D195" s="177" t="s">
        <v>759</v>
      </c>
      <c r="E195" s="177" t="s">
        <v>296</v>
      </c>
      <c r="F195" s="177" t="s">
        <v>424</v>
      </c>
      <c r="G195" s="177" t="s">
        <v>464</v>
      </c>
      <c r="H195" s="253">
        <v>40</v>
      </c>
      <c r="I195" s="254">
        <v>171</v>
      </c>
      <c r="J195"/>
      <c r="K195"/>
    </row>
    <row r="196" spans="2:11" x14ac:dyDescent="0.25">
      <c r="B196" s="252"/>
      <c r="C196" s="177"/>
      <c r="D196" s="177" t="s">
        <v>1136</v>
      </c>
      <c r="E196" s="177" t="s">
        <v>1121</v>
      </c>
      <c r="F196" s="177" t="s">
        <v>1314</v>
      </c>
      <c r="G196" s="177" t="s">
        <v>464</v>
      </c>
      <c r="H196" s="253">
        <v>17</v>
      </c>
      <c r="I196" s="254">
        <v>89</v>
      </c>
      <c r="J196"/>
      <c r="K196"/>
    </row>
    <row r="197" spans="2:11" x14ac:dyDescent="0.25">
      <c r="B197" s="252"/>
      <c r="C197" s="177"/>
      <c r="D197" s="177" t="s">
        <v>1190</v>
      </c>
      <c r="E197" s="177" t="s">
        <v>1172</v>
      </c>
      <c r="F197" s="177" t="s">
        <v>1047</v>
      </c>
      <c r="G197" s="177" t="s">
        <v>464</v>
      </c>
      <c r="H197" s="253">
        <v>41</v>
      </c>
      <c r="I197" s="254">
        <v>210</v>
      </c>
      <c r="J197"/>
      <c r="K197"/>
    </row>
    <row r="198" spans="2:11" x14ac:dyDescent="0.25">
      <c r="B198" s="252"/>
      <c r="C198" s="177"/>
      <c r="D198" s="177" t="s">
        <v>1275</v>
      </c>
      <c r="E198" s="177" t="s">
        <v>1274</v>
      </c>
      <c r="F198" s="177" t="s">
        <v>1047</v>
      </c>
      <c r="G198" s="177" t="s">
        <v>464</v>
      </c>
      <c r="H198" s="253">
        <v>61</v>
      </c>
      <c r="I198" s="254">
        <v>283</v>
      </c>
      <c r="J198"/>
      <c r="K198"/>
    </row>
    <row r="199" spans="2:11" x14ac:dyDescent="0.25">
      <c r="B199" s="252"/>
      <c r="C199" s="177" t="s">
        <v>1611</v>
      </c>
      <c r="D199" s="177"/>
      <c r="E199" s="177"/>
      <c r="F199" s="177"/>
      <c r="G199" s="177"/>
      <c r="H199" s="253">
        <v>159</v>
      </c>
      <c r="I199" s="254">
        <v>753</v>
      </c>
      <c r="J199"/>
      <c r="K199"/>
    </row>
    <row r="200" spans="2:11" x14ac:dyDescent="0.25">
      <c r="B200" s="252"/>
      <c r="C200" s="177" t="s">
        <v>1199</v>
      </c>
      <c r="D200" s="177" t="s">
        <v>1196</v>
      </c>
      <c r="E200" s="177" t="s">
        <v>1184</v>
      </c>
      <c r="F200" s="177" t="s">
        <v>1314</v>
      </c>
      <c r="G200" s="177" t="s">
        <v>464</v>
      </c>
      <c r="H200" s="253">
        <v>37</v>
      </c>
      <c r="I200" s="254">
        <v>120</v>
      </c>
      <c r="J200"/>
      <c r="K200"/>
    </row>
    <row r="201" spans="2:11" x14ac:dyDescent="0.25">
      <c r="B201" s="252"/>
      <c r="C201" s="177" t="s">
        <v>1749</v>
      </c>
      <c r="D201" s="177"/>
      <c r="E201" s="177"/>
      <c r="F201" s="177"/>
      <c r="G201" s="177"/>
      <c r="H201" s="253">
        <v>37</v>
      </c>
      <c r="I201" s="254">
        <v>120</v>
      </c>
      <c r="J201"/>
      <c r="K201"/>
    </row>
    <row r="202" spans="2:11" x14ac:dyDescent="0.25">
      <c r="B202" s="252" t="s">
        <v>1612</v>
      </c>
      <c r="C202" s="177"/>
      <c r="D202" s="177"/>
      <c r="E202" s="177"/>
      <c r="F202" s="177"/>
      <c r="G202" s="177"/>
      <c r="H202" s="253">
        <v>1852</v>
      </c>
      <c r="I202" s="254">
        <v>9247</v>
      </c>
      <c r="J202"/>
      <c r="K202"/>
    </row>
    <row r="203" spans="2:11" x14ac:dyDescent="0.25">
      <c r="B203" s="255" t="s">
        <v>411</v>
      </c>
      <c r="C203" s="256"/>
      <c r="D203" s="256"/>
      <c r="E203" s="256"/>
      <c r="F203" s="256"/>
      <c r="G203" s="256"/>
      <c r="H203" s="257">
        <v>20707</v>
      </c>
      <c r="I203" s="258">
        <v>105854</v>
      </c>
      <c r="J203"/>
      <c r="K203"/>
    </row>
    <row r="204" spans="2:11" x14ac:dyDescent="0.25">
      <c r="B204"/>
      <c r="C204"/>
      <c r="D204"/>
      <c r="E204"/>
      <c r="F204"/>
      <c r="G204"/>
      <c r="H204"/>
      <c r="I204"/>
      <c r="J204"/>
      <c r="K204"/>
    </row>
    <row r="205" spans="2:11" x14ac:dyDescent="0.25">
      <c r="B205"/>
      <c r="C205"/>
      <c r="D205"/>
      <c r="E205"/>
      <c r="F205"/>
      <c r="G205"/>
      <c r="H205"/>
      <c r="I205"/>
      <c r="J205"/>
      <c r="K205"/>
    </row>
    <row r="206" spans="2:11" x14ac:dyDescent="0.25">
      <c r="B206"/>
      <c r="C206"/>
      <c r="D206"/>
      <c r="E206"/>
      <c r="F206"/>
      <c r="G206"/>
      <c r="H206"/>
      <c r="I206"/>
      <c r="J206"/>
      <c r="K206"/>
    </row>
    <row r="207" spans="2:11" x14ac:dyDescent="0.25">
      <c r="B207"/>
      <c r="C207"/>
      <c r="D207"/>
      <c r="E207"/>
      <c r="F207"/>
      <c r="G207"/>
      <c r="H207"/>
      <c r="I207"/>
      <c r="J207"/>
      <c r="K207"/>
    </row>
    <row r="208" spans="2:11" x14ac:dyDescent="0.25">
      <c r="B208"/>
      <c r="C208"/>
      <c r="D208"/>
      <c r="E208"/>
      <c r="F208"/>
      <c r="G208"/>
      <c r="H208"/>
      <c r="I208"/>
      <c r="J208"/>
      <c r="K208"/>
    </row>
    <row r="209" spans="2:11" x14ac:dyDescent="0.25">
      <c r="B209"/>
      <c r="C209"/>
      <c r="D209"/>
      <c r="E209"/>
      <c r="F209"/>
      <c r="G209"/>
      <c r="H209"/>
      <c r="I209"/>
      <c r="J209"/>
      <c r="K209"/>
    </row>
    <row r="210" spans="2:11" x14ac:dyDescent="0.25">
      <c r="B210"/>
      <c r="C210"/>
      <c r="D210"/>
      <c r="E210"/>
      <c r="F210"/>
      <c r="G210"/>
      <c r="H210"/>
      <c r="I210"/>
      <c r="J210"/>
      <c r="K210"/>
    </row>
    <row r="211" spans="2:11" x14ac:dyDescent="0.25">
      <c r="B211"/>
      <c r="C211"/>
      <c r="D211"/>
      <c r="E211"/>
      <c r="F211"/>
      <c r="G211"/>
      <c r="H211"/>
      <c r="I211"/>
      <c r="J211"/>
      <c r="K211"/>
    </row>
    <row r="212" spans="2:11" x14ac:dyDescent="0.25">
      <c r="B212"/>
      <c r="C212"/>
      <c r="D212"/>
      <c r="E212"/>
      <c r="F212"/>
      <c r="G212"/>
      <c r="H212"/>
      <c r="I212"/>
      <c r="J212"/>
      <c r="K212"/>
    </row>
    <row r="213" spans="2:11" x14ac:dyDescent="0.25">
      <c r="B213"/>
      <c r="C213"/>
      <c r="D213"/>
      <c r="E213"/>
      <c r="F213"/>
      <c r="G213"/>
      <c r="H213"/>
      <c r="I213"/>
      <c r="J213"/>
      <c r="K213"/>
    </row>
    <row r="214" spans="2:11" x14ac:dyDescent="0.25">
      <c r="B214"/>
      <c r="C214"/>
      <c r="D214"/>
      <c r="E214"/>
      <c r="F214"/>
      <c r="G214"/>
      <c r="H214"/>
      <c r="I214"/>
      <c r="J214"/>
      <c r="K214"/>
    </row>
    <row r="215" spans="2:11" x14ac:dyDescent="0.25">
      <c r="B215"/>
      <c r="C215"/>
      <c r="D215"/>
      <c r="E215"/>
      <c r="F215"/>
      <c r="G215"/>
      <c r="H215"/>
      <c r="I215"/>
      <c r="J215"/>
      <c r="K215"/>
    </row>
    <row r="216" spans="2:11" x14ac:dyDescent="0.25">
      <c r="B216"/>
      <c r="C216"/>
      <c r="D216"/>
      <c r="E216"/>
      <c r="F216"/>
      <c r="G216"/>
      <c r="H216"/>
      <c r="I216"/>
      <c r="J216"/>
      <c r="K216"/>
    </row>
    <row r="217" spans="2:11" x14ac:dyDescent="0.25">
      <c r="B217"/>
      <c r="C217"/>
      <c r="D217"/>
      <c r="E217"/>
      <c r="F217"/>
      <c r="G217"/>
      <c r="H217"/>
      <c r="I217"/>
      <c r="J217"/>
      <c r="K217"/>
    </row>
    <row r="218" spans="2:11" x14ac:dyDescent="0.25">
      <c r="B218"/>
      <c r="C218"/>
      <c r="D218"/>
      <c r="E218"/>
      <c r="F218"/>
      <c r="G218"/>
      <c r="H218"/>
      <c r="I218"/>
      <c r="J218"/>
      <c r="K218"/>
    </row>
    <row r="219" spans="2:11" x14ac:dyDescent="0.25">
      <c r="B219"/>
      <c r="C219"/>
      <c r="D219"/>
      <c r="E219"/>
      <c r="F219"/>
      <c r="G219"/>
      <c r="H219"/>
      <c r="I219"/>
      <c r="J219"/>
      <c r="K219"/>
    </row>
    <row r="220" spans="2:11" x14ac:dyDescent="0.25">
      <c r="B220"/>
      <c r="C220"/>
      <c r="D220"/>
      <c r="E220"/>
      <c r="F220"/>
      <c r="G220"/>
      <c r="H220"/>
      <c r="I220"/>
      <c r="J220"/>
      <c r="K220"/>
    </row>
    <row r="221" spans="2:11" x14ac:dyDescent="0.25">
      <c r="B221"/>
      <c r="C221"/>
      <c r="D221"/>
      <c r="E221"/>
      <c r="F221"/>
      <c r="G221"/>
      <c r="H221"/>
      <c r="I221"/>
      <c r="J221"/>
      <c r="K221"/>
    </row>
    <row r="222" spans="2:11" x14ac:dyDescent="0.25">
      <c r="B222"/>
      <c r="C222"/>
      <c r="D222"/>
      <c r="E222"/>
      <c r="F222"/>
      <c r="G222"/>
      <c r="H222"/>
      <c r="I222"/>
      <c r="J222"/>
      <c r="K222"/>
    </row>
    <row r="223" spans="2:11" x14ac:dyDescent="0.25">
      <c r="B223"/>
      <c r="C223"/>
      <c r="D223"/>
      <c r="E223"/>
      <c r="F223"/>
      <c r="G223"/>
      <c r="H223"/>
      <c r="I223"/>
      <c r="J223"/>
      <c r="K223"/>
    </row>
    <row r="224" spans="2:11" x14ac:dyDescent="0.25">
      <c r="B224"/>
      <c r="C224"/>
      <c r="D224"/>
      <c r="E224"/>
      <c r="F224"/>
      <c r="G224"/>
      <c r="H224"/>
      <c r="I224"/>
      <c r="J224"/>
      <c r="K224"/>
    </row>
    <row r="225" spans="2:11" x14ac:dyDescent="0.25">
      <c r="B225"/>
      <c r="C225"/>
      <c r="D225"/>
      <c r="E225"/>
      <c r="F225"/>
      <c r="G225"/>
      <c r="H225"/>
      <c r="I225"/>
      <c r="J225"/>
      <c r="K225"/>
    </row>
    <row r="226" spans="2:11" x14ac:dyDescent="0.25">
      <c r="H226" s="181"/>
      <c r="I226" s="181"/>
    </row>
    <row r="227" spans="2:11" x14ac:dyDescent="0.25">
      <c r="H227" s="181"/>
      <c r="I227" s="181"/>
    </row>
    <row r="228" spans="2:11" x14ac:dyDescent="0.25">
      <c r="H228" s="181"/>
      <c r="I228" s="181"/>
    </row>
    <row r="229" spans="2:11" x14ac:dyDescent="0.25">
      <c r="H229" s="181"/>
      <c r="I229" s="181"/>
    </row>
    <row r="230" spans="2:11" x14ac:dyDescent="0.25">
      <c r="H230" s="181"/>
      <c r="I230" s="181"/>
    </row>
    <row r="231" spans="2:11" x14ac:dyDescent="0.25">
      <c r="H231" s="181"/>
      <c r="I231" s="181"/>
    </row>
    <row r="232" spans="2:11" x14ac:dyDescent="0.25">
      <c r="H232" s="181"/>
      <c r="I232" s="181"/>
    </row>
    <row r="233" spans="2:11" x14ac:dyDescent="0.25">
      <c r="H233" s="181"/>
      <c r="I233" s="181"/>
    </row>
    <row r="234" spans="2:11" x14ac:dyDescent="0.25">
      <c r="H234" s="181"/>
      <c r="I234" s="181"/>
    </row>
    <row r="235" spans="2:11" x14ac:dyDescent="0.25">
      <c r="H235" s="181"/>
      <c r="I235" s="181"/>
    </row>
    <row r="236" spans="2:11" x14ac:dyDescent="0.25">
      <c r="H236" s="181"/>
      <c r="I236" s="181"/>
    </row>
    <row r="237" spans="2:11" x14ac:dyDescent="0.25">
      <c r="H237" s="181"/>
      <c r="I237" s="181"/>
    </row>
    <row r="238" spans="2:11" x14ac:dyDescent="0.25">
      <c r="H238" s="181"/>
      <c r="I238" s="181"/>
    </row>
    <row r="239" spans="2:11" x14ac:dyDescent="0.25">
      <c r="H239" s="181"/>
      <c r="I239" s="181"/>
    </row>
    <row r="240" spans="2:11" x14ac:dyDescent="0.25">
      <c r="H240" s="181"/>
      <c r="I240" s="181"/>
    </row>
    <row r="241" spans="8:9" x14ac:dyDescent="0.25">
      <c r="H241" s="181"/>
      <c r="I241" s="181"/>
    </row>
    <row r="242" spans="8:9" x14ac:dyDescent="0.25">
      <c r="H242" s="181"/>
      <c r="I242" s="181"/>
    </row>
    <row r="243" spans="8:9" x14ac:dyDescent="0.25">
      <c r="H243" s="181"/>
      <c r="I243" s="181"/>
    </row>
    <row r="244" spans="8:9" x14ac:dyDescent="0.25">
      <c r="H244" s="181"/>
      <c r="I244" s="181"/>
    </row>
    <row r="245" spans="8:9" x14ac:dyDescent="0.25">
      <c r="H245" s="181"/>
      <c r="I245" s="181"/>
    </row>
    <row r="246" spans="8:9" x14ac:dyDescent="0.25">
      <c r="H246" s="181"/>
      <c r="I246" s="181"/>
    </row>
    <row r="247" spans="8:9" x14ac:dyDescent="0.25">
      <c r="H247" s="181"/>
      <c r="I247" s="181"/>
    </row>
    <row r="248" spans="8:9" x14ac:dyDescent="0.25">
      <c r="H248" s="181"/>
      <c r="I248" s="181"/>
    </row>
    <row r="249" spans="8:9" x14ac:dyDescent="0.25">
      <c r="H249" s="181"/>
      <c r="I249" s="181"/>
    </row>
    <row r="250" spans="8:9" x14ac:dyDescent="0.25">
      <c r="H250" s="181"/>
      <c r="I250" s="181"/>
    </row>
    <row r="251" spans="8:9" x14ac:dyDescent="0.25">
      <c r="H251" s="181"/>
      <c r="I251" s="181"/>
    </row>
    <row r="252" spans="8:9" x14ac:dyDescent="0.25">
      <c r="H252" s="181"/>
      <c r="I252" s="181"/>
    </row>
    <row r="253" spans="8:9" x14ac:dyDescent="0.25">
      <c r="H253" s="181"/>
      <c r="I253" s="181"/>
    </row>
    <row r="254" spans="8:9" x14ac:dyDescent="0.25">
      <c r="H254" s="181"/>
      <c r="I254" s="181"/>
    </row>
    <row r="255" spans="8:9" x14ac:dyDescent="0.25">
      <c r="H255" s="181"/>
      <c r="I255" s="181"/>
    </row>
    <row r="256" spans="8:9" x14ac:dyDescent="0.25">
      <c r="H256" s="181"/>
      <c r="I256" s="181"/>
    </row>
    <row r="257" spans="8:9" x14ac:dyDescent="0.25">
      <c r="H257" s="181"/>
      <c r="I257" s="181"/>
    </row>
    <row r="258" spans="8:9" x14ac:dyDescent="0.25">
      <c r="H258" s="181"/>
      <c r="I258" s="181"/>
    </row>
    <row r="259" spans="8:9" x14ac:dyDescent="0.25">
      <c r="H259" s="181"/>
      <c r="I259" s="181"/>
    </row>
    <row r="260" spans="8:9" x14ac:dyDescent="0.25">
      <c r="H260" s="181"/>
      <c r="I260" s="181"/>
    </row>
    <row r="261" spans="8:9" x14ac:dyDescent="0.25">
      <c r="H261" s="181"/>
      <c r="I261" s="181"/>
    </row>
    <row r="262" spans="8:9" x14ac:dyDescent="0.25">
      <c r="H262" s="181"/>
      <c r="I262" s="181"/>
    </row>
    <row r="263" spans="8:9" x14ac:dyDescent="0.25">
      <c r="H263" s="181"/>
      <c r="I263" s="181"/>
    </row>
    <row r="264" spans="8:9" x14ac:dyDescent="0.25">
      <c r="H264" s="181"/>
      <c r="I264" s="181"/>
    </row>
    <row r="265" spans="8:9" x14ac:dyDescent="0.25">
      <c r="H265" s="181"/>
      <c r="I265" s="181"/>
    </row>
    <row r="266" spans="8:9" x14ac:dyDescent="0.25">
      <c r="H266" s="181"/>
      <c r="I266" s="181"/>
    </row>
    <row r="267" spans="8:9" x14ac:dyDescent="0.25">
      <c r="H267" s="181"/>
      <c r="I267" s="181"/>
    </row>
    <row r="268" spans="8:9" x14ac:dyDescent="0.25">
      <c r="H268" s="181"/>
      <c r="I268" s="181"/>
    </row>
    <row r="269" spans="8:9" x14ac:dyDescent="0.25">
      <c r="H269" s="181"/>
      <c r="I269" s="181"/>
    </row>
    <row r="270" spans="8:9" x14ac:dyDescent="0.25">
      <c r="H270" s="181"/>
      <c r="I270" s="181"/>
    </row>
    <row r="271" spans="8:9" x14ac:dyDescent="0.25">
      <c r="H271" s="181"/>
      <c r="I271" s="181"/>
    </row>
    <row r="272" spans="8:9" x14ac:dyDescent="0.25">
      <c r="H272" s="181"/>
      <c r="I272" s="181"/>
    </row>
    <row r="273" spans="8:9" x14ac:dyDescent="0.25">
      <c r="H273" s="181"/>
      <c r="I273" s="181"/>
    </row>
    <row r="274" spans="8:9" x14ac:dyDescent="0.25">
      <c r="H274" s="181"/>
      <c r="I274" s="181"/>
    </row>
    <row r="275" spans="8:9" x14ac:dyDescent="0.25">
      <c r="H275" s="181"/>
      <c r="I275" s="181"/>
    </row>
    <row r="276" spans="8:9" x14ac:dyDescent="0.25">
      <c r="H276" s="181"/>
      <c r="I276" s="181"/>
    </row>
    <row r="277" spans="8:9" x14ac:dyDescent="0.25">
      <c r="H277" s="181"/>
      <c r="I277" s="181"/>
    </row>
    <row r="278" spans="8:9" x14ac:dyDescent="0.25">
      <c r="H278" s="181"/>
      <c r="I278" s="181"/>
    </row>
    <row r="279" spans="8:9" x14ac:dyDescent="0.25">
      <c r="H279" s="181"/>
      <c r="I279" s="181"/>
    </row>
    <row r="280" spans="8:9" x14ac:dyDescent="0.25">
      <c r="H280" s="181"/>
      <c r="I280" s="181"/>
    </row>
    <row r="281" spans="8:9" x14ac:dyDescent="0.25">
      <c r="H281" s="181"/>
      <c r="I281" s="181"/>
    </row>
    <row r="282" spans="8:9" x14ac:dyDescent="0.25">
      <c r="H282" s="181"/>
      <c r="I282" s="181"/>
    </row>
    <row r="283" spans="8:9" x14ac:dyDescent="0.25">
      <c r="H283" s="181"/>
      <c r="I283" s="181"/>
    </row>
    <row r="284" spans="8:9" x14ac:dyDescent="0.25">
      <c r="H284" s="181"/>
      <c r="I284" s="181"/>
    </row>
    <row r="285" spans="8:9" x14ac:dyDescent="0.25">
      <c r="H285" s="181"/>
      <c r="I285" s="181"/>
    </row>
    <row r="286" spans="8:9" x14ac:dyDescent="0.25">
      <c r="H286" s="181"/>
      <c r="I286" s="181"/>
    </row>
    <row r="287" spans="8:9" x14ac:dyDescent="0.25">
      <c r="H287" s="181"/>
      <c r="I287" s="181"/>
    </row>
    <row r="288" spans="8:9" x14ac:dyDescent="0.25">
      <c r="H288" s="181"/>
      <c r="I288" s="181"/>
    </row>
    <row r="289" spans="8:9" x14ac:dyDescent="0.25">
      <c r="H289" s="181"/>
      <c r="I289" s="181"/>
    </row>
    <row r="290" spans="8:9" x14ac:dyDescent="0.25">
      <c r="H290" s="181"/>
      <c r="I290" s="181"/>
    </row>
    <row r="291" spans="8:9" x14ac:dyDescent="0.25">
      <c r="H291" s="181"/>
      <c r="I291" s="181"/>
    </row>
    <row r="292" spans="8:9" x14ac:dyDescent="0.25">
      <c r="H292" s="181"/>
      <c r="I292" s="181"/>
    </row>
    <row r="293" spans="8:9" x14ac:dyDescent="0.25">
      <c r="H293" s="181"/>
      <c r="I293" s="181"/>
    </row>
    <row r="294" spans="8:9" x14ac:dyDescent="0.25">
      <c r="H294" s="181"/>
      <c r="I294" s="181"/>
    </row>
    <row r="295" spans="8:9" x14ac:dyDescent="0.25">
      <c r="H295" s="181"/>
      <c r="I295" s="181"/>
    </row>
    <row r="296" spans="8:9" x14ac:dyDescent="0.25">
      <c r="H296" s="181"/>
      <c r="I296" s="181"/>
    </row>
    <row r="297" spans="8:9" x14ac:dyDescent="0.25">
      <c r="H297" s="181"/>
      <c r="I297" s="181"/>
    </row>
    <row r="298" spans="8:9" x14ac:dyDescent="0.25">
      <c r="H298" s="181"/>
      <c r="I298" s="181"/>
    </row>
    <row r="299" spans="8:9" x14ac:dyDescent="0.25">
      <c r="H299" s="181"/>
      <c r="I299" s="181"/>
    </row>
    <row r="300" spans="8:9" x14ac:dyDescent="0.25">
      <c r="H300" s="181"/>
      <c r="I300" s="181"/>
    </row>
    <row r="301" spans="8:9" x14ac:dyDescent="0.25">
      <c r="H301" s="181"/>
      <c r="I301" s="181"/>
    </row>
    <row r="302" spans="8:9" x14ac:dyDescent="0.25">
      <c r="H302" s="181"/>
      <c r="I302" s="181"/>
    </row>
    <row r="303" spans="8:9" x14ac:dyDescent="0.25">
      <c r="H303" s="181"/>
      <c r="I303" s="181"/>
    </row>
    <row r="304" spans="8:9" x14ac:dyDescent="0.25">
      <c r="H304" s="181"/>
      <c r="I304" s="181"/>
    </row>
    <row r="305" spans="8:9" x14ac:dyDescent="0.25">
      <c r="H305" s="181"/>
      <c r="I305" s="181"/>
    </row>
    <row r="306" spans="8:9" x14ac:dyDescent="0.25">
      <c r="H306" s="181"/>
      <c r="I306" s="181"/>
    </row>
    <row r="307" spans="8:9" x14ac:dyDescent="0.25">
      <c r="H307" s="181"/>
      <c r="I307" s="181"/>
    </row>
    <row r="308" spans="8:9" x14ac:dyDescent="0.25">
      <c r="H308" s="181"/>
      <c r="I308" s="181"/>
    </row>
    <row r="309" spans="8:9" x14ac:dyDescent="0.25">
      <c r="H309" s="181"/>
      <c r="I309" s="181"/>
    </row>
    <row r="310" spans="8:9" x14ac:dyDescent="0.25">
      <c r="H310" s="181"/>
      <c r="I310" s="181"/>
    </row>
    <row r="311" spans="8:9" x14ac:dyDescent="0.25">
      <c r="H311" s="181"/>
      <c r="I311" s="181"/>
    </row>
    <row r="312" spans="8:9" x14ac:dyDescent="0.25">
      <c r="H312" s="181"/>
      <c r="I312" s="181"/>
    </row>
    <row r="313" spans="8:9" x14ac:dyDescent="0.25">
      <c r="H313" s="181"/>
      <c r="I313" s="181"/>
    </row>
    <row r="314" spans="8:9" x14ac:dyDescent="0.25">
      <c r="H314" s="181"/>
      <c r="I314" s="181"/>
    </row>
    <row r="315" spans="8:9" x14ac:dyDescent="0.25">
      <c r="H315" s="181"/>
      <c r="I315" s="181"/>
    </row>
    <row r="316" spans="8:9" x14ac:dyDescent="0.25">
      <c r="H316" s="181"/>
      <c r="I316" s="181"/>
    </row>
    <row r="317" spans="8:9" x14ac:dyDescent="0.25">
      <c r="H317" s="181"/>
      <c r="I317" s="181"/>
    </row>
    <row r="318" spans="8:9" x14ac:dyDescent="0.25">
      <c r="H318" s="181"/>
      <c r="I318" s="181"/>
    </row>
    <row r="319" spans="8:9" x14ac:dyDescent="0.25">
      <c r="H319" s="181"/>
      <c r="I319" s="181"/>
    </row>
    <row r="320" spans="8:9" x14ac:dyDescent="0.25">
      <c r="H320" s="181"/>
      <c r="I320" s="181"/>
    </row>
    <row r="321" spans="8:9" x14ac:dyDescent="0.25">
      <c r="H321" s="181"/>
      <c r="I321" s="181"/>
    </row>
    <row r="322" spans="8:9" x14ac:dyDescent="0.25">
      <c r="H322" s="181"/>
      <c r="I322" s="181"/>
    </row>
    <row r="323" spans="8:9" x14ac:dyDescent="0.25">
      <c r="H323" s="181"/>
      <c r="I323" s="181"/>
    </row>
    <row r="324" spans="8:9" x14ac:dyDescent="0.25">
      <c r="H324" s="181"/>
      <c r="I324" s="181"/>
    </row>
    <row r="325" spans="8:9" x14ac:dyDescent="0.25">
      <c r="H325" s="181"/>
      <c r="I325" s="181"/>
    </row>
    <row r="326" spans="8:9" x14ac:dyDescent="0.25">
      <c r="H326" s="181"/>
      <c r="I326" s="181"/>
    </row>
    <row r="327" spans="8:9" x14ac:dyDescent="0.25">
      <c r="H327" s="181"/>
      <c r="I327" s="181"/>
    </row>
    <row r="328" spans="8:9" x14ac:dyDescent="0.25">
      <c r="H328" s="181"/>
      <c r="I328" s="181"/>
    </row>
    <row r="329" spans="8:9" x14ac:dyDescent="0.25">
      <c r="H329" s="181"/>
      <c r="I329" s="181"/>
    </row>
    <row r="330" spans="8:9" x14ac:dyDescent="0.25">
      <c r="H330" s="181"/>
      <c r="I330" s="181"/>
    </row>
    <row r="331" spans="8:9" x14ac:dyDescent="0.25">
      <c r="H331" s="181"/>
      <c r="I331" s="181"/>
    </row>
    <row r="332" spans="8:9" x14ac:dyDescent="0.25">
      <c r="H332" s="181"/>
      <c r="I332" s="181"/>
    </row>
    <row r="333" spans="8:9" x14ac:dyDescent="0.25">
      <c r="H333" s="181"/>
      <c r="I333" s="181"/>
    </row>
    <row r="334" spans="8:9" x14ac:dyDescent="0.25">
      <c r="H334" s="181"/>
      <c r="I334" s="181"/>
    </row>
    <row r="335" spans="8:9" x14ac:dyDescent="0.25">
      <c r="H335" s="181"/>
      <c r="I335" s="181"/>
    </row>
    <row r="336" spans="8:9" x14ac:dyDescent="0.25">
      <c r="H336" s="181"/>
      <c r="I336" s="181"/>
    </row>
    <row r="337" spans="8:9" x14ac:dyDescent="0.25">
      <c r="H337" s="181"/>
      <c r="I337" s="181"/>
    </row>
    <row r="338" spans="8:9" x14ac:dyDescent="0.25">
      <c r="H338" s="181"/>
      <c r="I338" s="181"/>
    </row>
    <row r="339" spans="8:9" x14ac:dyDescent="0.25">
      <c r="H339" s="181"/>
      <c r="I339" s="181"/>
    </row>
    <row r="340" spans="8:9" x14ac:dyDescent="0.25">
      <c r="H340" s="181"/>
      <c r="I340" s="181"/>
    </row>
    <row r="341" spans="8:9" x14ac:dyDescent="0.25">
      <c r="H341" s="181"/>
      <c r="I341" s="181"/>
    </row>
    <row r="342" spans="8:9" x14ac:dyDescent="0.25">
      <c r="H342" s="181"/>
      <c r="I342" s="181"/>
    </row>
    <row r="343" spans="8:9" x14ac:dyDescent="0.25">
      <c r="H343" s="181"/>
      <c r="I343" s="181"/>
    </row>
    <row r="344" spans="8:9" x14ac:dyDescent="0.25">
      <c r="H344" s="181"/>
      <c r="I344" s="181"/>
    </row>
    <row r="345" spans="8:9" x14ac:dyDescent="0.25">
      <c r="H345" s="181"/>
      <c r="I345" s="181"/>
    </row>
    <row r="346" spans="8:9" x14ac:dyDescent="0.25">
      <c r="H346" s="181"/>
      <c r="I346" s="181"/>
    </row>
    <row r="347" spans="8:9" x14ac:dyDescent="0.25">
      <c r="H347" s="181"/>
      <c r="I347" s="181"/>
    </row>
    <row r="348" spans="8:9" x14ac:dyDescent="0.25">
      <c r="H348" s="181"/>
      <c r="I348" s="181"/>
    </row>
    <row r="349" spans="8:9" x14ac:dyDescent="0.25">
      <c r="H349" s="181"/>
      <c r="I349" s="181"/>
    </row>
    <row r="350" spans="8:9" x14ac:dyDescent="0.25">
      <c r="H350" s="181"/>
      <c r="I350" s="181"/>
    </row>
    <row r="351" spans="8:9" x14ac:dyDescent="0.25">
      <c r="H351" s="181"/>
      <c r="I351" s="181"/>
    </row>
    <row r="352" spans="8:9" x14ac:dyDescent="0.25">
      <c r="H352" s="181"/>
      <c r="I352" s="181"/>
    </row>
    <row r="353" spans="8:9" x14ac:dyDescent="0.25">
      <c r="H353" s="181"/>
      <c r="I353" s="181"/>
    </row>
    <row r="354" spans="8:9" x14ac:dyDescent="0.25">
      <c r="H354" s="181"/>
      <c r="I354" s="181"/>
    </row>
    <row r="355" spans="8:9" x14ac:dyDescent="0.25">
      <c r="H355" s="181"/>
      <c r="I355" s="181"/>
    </row>
    <row r="356" spans="8:9" x14ac:dyDescent="0.25">
      <c r="H356" s="181"/>
      <c r="I356" s="181"/>
    </row>
    <row r="357" spans="8:9" x14ac:dyDescent="0.25">
      <c r="H357" s="181"/>
      <c r="I357" s="181"/>
    </row>
    <row r="358" spans="8:9" x14ac:dyDescent="0.25">
      <c r="H358" s="181"/>
      <c r="I358" s="181"/>
    </row>
    <row r="359" spans="8:9" x14ac:dyDescent="0.25">
      <c r="H359" s="181"/>
      <c r="I359" s="181"/>
    </row>
  </sheetData>
  <mergeCells count="1">
    <mergeCell ref="B4:C4"/>
  </mergeCells>
  <printOptions horizontalCentered="1"/>
  <pageMargins left="0.25" right="0.25" top="0.3" bottom="0.2" header="0.25" footer="0.2"/>
  <pageSetup paperSize="9" scale="90"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11"/>
  <sheetViews>
    <sheetView workbookViewId="0">
      <selection activeCell="A3" sqref="A3"/>
    </sheetView>
  </sheetViews>
  <sheetFormatPr defaultColWidth="9.140625" defaultRowHeight="15" x14ac:dyDescent="0.25"/>
  <cols>
    <col min="1" max="1" width="19.140625" style="181" bestFit="1" customWidth="1"/>
    <col min="2" max="2" width="12.140625" style="181" bestFit="1" customWidth="1"/>
    <col min="3" max="3" width="25.28515625" style="181" customWidth="1"/>
    <col min="4" max="4" width="16.140625" style="181" bestFit="1" customWidth="1"/>
    <col min="5" max="5" width="25.5703125" style="181" bestFit="1" customWidth="1"/>
    <col min="6" max="6" width="16.5703125" style="181" customWidth="1"/>
    <col min="7" max="7" width="10.5703125" style="181" customWidth="1"/>
    <col min="8" max="8" width="9.85546875" style="181" customWidth="1"/>
    <col min="9" max="9" width="16.42578125" style="181" customWidth="1"/>
    <col min="10" max="16384" width="9.140625" style="181"/>
  </cols>
  <sheetData>
    <row r="1" spans="1:12" ht="19.5" customHeight="1" x14ac:dyDescent="0.25">
      <c r="A1" s="396"/>
      <c r="B1" s="396"/>
      <c r="C1" s="396"/>
      <c r="D1" s="396"/>
      <c r="E1" s="396"/>
      <c r="F1" s="396"/>
      <c r="G1" s="396"/>
      <c r="H1" s="396"/>
      <c r="I1" s="396"/>
      <c r="J1" s="307"/>
      <c r="K1" s="307"/>
      <c r="L1" s="307"/>
    </row>
    <row r="2" spans="1:12" ht="19.5" customHeight="1" x14ac:dyDescent="0.25">
      <c r="A2" s="244" t="s">
        <v>1755</v>
      </c>
      <c r="B2" s="396"/>
      <c r="C2" s="244"/>
      <c r="D2" s="244"/>
      <c r="E2" s="244"/>
      <c r="F2" s="244"/>
      <c r="G2" s="244"/>
      <c r="H2" s="244"/>
      <c r="I2" s="244"/>
      <c r="J2" s="41"/>
      <c r="K2" s="41"/>
      <c r="L2" s="41"/>
    </row>
    <row r="3" spans="1:12" ht="19.5" customHeight="1" x14ac:dyDescent="0.25">
      <c r="A3" s="725">
        <f>Report_Date</f>
        <v>43404</v>
      </c>
      <c r="B3" s="722"/>
      <c r="C3" s="722"/>
      <c r="D3" s="244"/>
      <c r="E3" s="244"/>
      <c r="F3" s="244"/>
      <c r="G3" s="244"/>
      <c r="H3" s="244"/>
      <c r="I3" s="244"/>
      <c r="J3" s="246"/>
      <c r="K3" s="246"/>
      <c r="L3" s="246"/>
    </row>
    <row r="5" spans="1:12" x14ac:dyDescent="0.25">
      <c r="A5" s="721" t="s">
        <v>458</v>
      </c>
      <c r="B5" s="181" t="s">
        <v>1739</v>
      </c>
    </row>
    <row r="6" spans="1:12" x14ac:dyDescent="0.25">
      <c r="A6" s="721" t="s">
        <v>1035</v>
      </c>
      <c r="B6" s="181" t="s">
        <v>537</v>
      </c>
    </row>
    <row r="8" spans="1:12" s="45" customFormat="1" x14ac:dyDescent="0.25">
      <c r="A8" s="724" t="s">
        <v>392</v>
      </c>
      <c r="B8" s="724" t="s">
        <v>0</v>
      </c>
      <c r="C8" s="724" t="s">
        <v>507</v>
      </c>
      <c r="D8" s="724" t="s">
        <v>833</v>
      </c>
      <c r="E8" s="724" t="s">
        <v>398</v>
      </c>
      <c r="F8" s="724" t="s">
        <v>457</v>
      </c>
      <c r="G8" s="45" t="s">
        <v>1407</v>
      </c>
      <c r="H8" s="45" t="s">
        <v>788</v>
      </c>
      <c r="I8"/>
    </row>
    <row r="9" spans="1:12" x14ac:dyDescent="0.25">
      <c r="A9" s="181" t="s">
        <v>378</v>
      </c>
      <c r="B9" s="181" t="s">
        <v>151</v>
      </c>
      <c r="C9" s="181" t="s">
        <v>1779</v>
      </c>
      <c r="D9" s="181" t="s">
        <v>787</v>
      </c>
      <c r="E9" s="181" t="s">
        <v>1741</v>
      </c>
      <c r="F9" s="181" t="s">
        <v>464</v>
      </c>
      <c r="G9" s="723">
        <v>86</v>
      </c>
      <c r="H9" s="723">
        <v>450</v>
      </c>
      <c r="I9"/>
    </row>
    <row r="10" spans="1:12" x14ac:dyDescent="0.25">
      <c r="A10" s="181" t="s">
        <v>378</v>
      </c>
      <c r="B10" s="181" t="s">
        <v>309</v>
      </c>
      <c r="C10" s="181" t="s">
        <v>1742</v>
      </c>
      <c r="D10" s="181" t="s">
        <v>1743</v>
      </c>
      <c r="E10" s="181" t="s">
        <v>1741</v>
      </c>
      <c r="F10" s="181" t="s">
        <v>464</v>
      </c>
      <c r="G10" s="723">
        <v>95</v>
      </c>
      <c r="H10" s="723">
        <v>499</v>
      </c>
      <c r="I10"/>
    </row>
    <row r="11" spans="1:12" x14ac:dyDescent="0.25">
      <c r="A11" s="181" t="s">
        <v>411</v>
      </c>
      <c r="G11" s="723">
        <v>181</v>
      </c>
      <c r="H11" s="723">
        <v>949</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Z184"/>
  <sheetViews>
    <sheetView showGridLines="0" showZeros="0" zoomScaleNormal="100" zoomScaleSheetLayoutView="85" workbookViewId="0">
      <pane xSplit="6" ySplit="4" topLeftCell="K125" activePane="bottomRight" state="frozen"/>
      <selection pane="topRight" activeCell="G1" sqref="G1"/>
      <selection pane="bottomLeft" activeCell="A5" sqref="A5"/>
      <selection pane="bottomRight" activeCell="M184" sqref="M184"/>
    </sheetView>
  </sheetViews>
  <sheetFormatPr defaultColWidth="9.140625" defaultRowHeight="11.25" customHeight="1" x14ac:dyDescent="0.2"/>
  <cols>
    <col min="1" max="1" width="9.140625" style="352"/>
    <col min="2" max="2" width="10.5703125" style="352" customWidth="1"/>
    <col min="3" max="3" width="9.42578125" style="352" customWidth="1"/>
    <col min="4" max="4" width="29.28515625" style="352" customWidth="1"/>
    <col min="5" max="5" width="15.85546875" style="352" customWidth="1"/>
    <col min="6" max="6" width="7.85546875" style="353" customWidth="1"/>
    <col min="7" max="7" width="8.5703125" style="352" customWidth="1"/>
    <col min="8" max="17" width="12.28515625" style="354" customWidth="1"/>
    <col min="18" max="18" width="25.28515625" style="354" customWidth="1"/>
    <col min="19" max="19" width="10" style="354" customWidth="1"/>
    <col min="20" max="20" width="9.5703125" style="354" customWidth="1"/>
    <col min="21" max="21" width="10.85546875" style="354" customWidth="1"/>
    <col min="22" max="22" width="10.5703125" style="354" customWidth="1"/>
    <col min="23" max="23" width="11.28515625" style="354" customWidth="1"/>
    <col min="24" max="24" width="10.7109375" style="354" customWidth="1"/>
    <col min="25" max="25" width="13.28515625" style="354" customWidth="1"/>
    <col min="26" max="26" width="30.7109375" style="352" customWidth="1"/>
    <col min="27" max="255" width="9.140625" style="352"/>
    <col min="256" max="256" width="9.42578125" style="352" customWidth="1"/>
    <col min="257" max="257" width="31.42578125" style="352" customWidth="1"/>
    <col min="258" max="263" width="0" style="352" hidden="1" customWidth="1"/>
    <col min="264" max="264" width="8.7109375" style="352" customWidth="1"/>
    <col min="265" max="265" width="8.140625" style="352" customWidth="1"/>
    <col min="266" max="266" width="14.42578125" style="352" customWidth="1"/>
    <col min="267" max="267" width="13.28515625" style="352" customWidth="1"/>
    <col min="268" max="268" width="9.7109375" style="352" customWidth="1"/>
    <col min="269" max="269" width="13.5703125" style="352" customWidth="1"/>
    <col min="270" max="270" width="10.5703125" style="352" customWidth="1"/>
    <col min="271" max="271" width="11.28515625" style="352" customWidth="1"/>
    <col min="272" max="272" width="8.7109375" style="352" customWidth="1"/>
    <col min="273" max="273" width="9" style="352" customWidth="1"/>
    <col min="274" max="274" width="6.7109375" style="352" customWidth="1"/>
    <col min="275" max="275" width="11.42578125" style="352" customWidth="1"/>
    <col min="276" max="276" width="12.28515625" style="352" customWidth="1"/>
    <col min="277" max="277" width="11.28515625" style="352" customWidth="1"/>
    <col min="278" max="278" width="12.42578125" style="352" customWidth="1"/>
    <col min="279" max="279" width="13" style="352" customWidth="1"/>
    <col min="280" max="280" width="9.5703125" style="352" customWidth="1"/>
    <col min="281" max="281" width="11.42578125" style="352" customWidth="1"/>
    <col min="282" max="511" width="9.140625" style="352"/>
    <col min="512" max="512" width="9.42578125" style="352" customWidth="1"/>
    <col min="513" max="513" width="31.42578125" style="352" customWidth="1"/>
    <col min="514" max="519" width="0" style="352" hidden="1" customWidth="1"/>
    <col min="520" max="520" width="8.7109375" style="352" customWidth="1"/>
    <col min="521" max="521" width="8.140625" style="352" customWidth="1"/>
    <col min="522" max="522" width="14.42578125" style="352" customWidth="1"/>
    <col min="523" max="523" width="13.28515625" style="352" customWidth="1"/>
    <col min="524" max="524" width="9.7109375" style="352" customWidth="1"/>
    <col min="525" max="525" width="13.5703125" style="352" customWidth="1"/>
    <col min="526" max="526" width="10.5703125" style="352" customWidth="1"/>
    <col min="527" max="527" width="11.28515625" style="352" customWidth="1"/>
    <col min="528" max="528" width="8.7109375" style="352" customWidth="1"/>
    <col min="529" max="529" width="9" style="352" customWidth="1"/>
    <col min="530" max="530" width="6.7109375" style="352" customWidth="1"/>
    <col min="531" max="531" width="11.42578125" style="352" customWidth="1"/>
    <col min="532" max="532" width="12.28515625" style="352" customWidth="1"/>
    <col min="533" max="533" width="11.28515625" style="352" customWidth="1"/>
    <col min="534" max="534" width="12.42578125" style="352" customWidth="1"/>
    <col min="535" max="535" width="13" style="352" customWidth="1"/>
    <col min="536" max="536" width="9.5703125" style="352" customWidth="1"/>
    <col min="537" max="537" width="11.42578125" style="352" customWidth="1"/>
    <col min="538" max="767" width="9.140625" style="352"/>
    <col min="768" max="768" width="9.42578125" style="352" customWidth="1"/>
    <col min="769" max="769" width="31.42578125" style="352" customWidth="1"/>
    <col min="770" max="775" width="0" style="352" hidden="1" customWidth="1"/>
    <col min="776" max="776" width="8.7109375" style="352" customWidth="1"/>
    <col min="777" max="777" width="8.140625" style="352" customWidth="1"/>
    <col min="778" max="778" width="14.42578125" style="352" customWidth="1"/>
    <col min="779" max="779" width="13.28515625" style="352" customWidth="1"/>
    <col min="780" max="780" width="9.7109375" style="352" customWidth="1"/>
    <col min="781" max="781" width="13.5703125" style="352" customWidth="1"/>
    <col min="782" max="782" width="10.5703125" style="352" customWidth="1"/>
    <col min="783" max="783" width="11.28515625" style="352" customWidth="1"/>
    <col min="784" max="784" width="8.7109375" style="352" customWidth="1"/>
    <col min="785" max="785" width="9" style="352" customWidth="1"/>
    <col min="786" max="786" width="6.7109375" style="352" customWidth="1"/>
    <col min="787" max="787" width="11.42578125" style="352" customWidth="1"/>
    <col min="788" max="788" width="12.28515625" style="352" customWidth="1"/>
    <col min="789" max="789" width="11.28515625" style="352" customWidth="1"/>
    <col min="790" max="790" width="12.42578125" style="352" customWidth="1"/>
    <col min="791" max="791" width="13" style="352" customWidth="1"/>
    <col min="792" max="792" width="9.5703125" style="352" customWidth="1"/>
    <col min="793" max="793" width="11.42578125" style="352" customWidth="1"/>
    <col min="794" max="1023" width="9.140625" style="352"/>
    <col min="1024" max="1024" width="9.42578125" style="352" customWidth="1"/>
    <col min="1025" max="1025" width="31.42578125" style="352" customWidth="1"/>
    <col min="1026" max="1031" width="0" style="352" hidden="1" customWidth="1"/>
    <col min="1032" max="1032" width="8.7109375" style="352" customWidth="1"/>
    <col min="1033" max="1033" width="8.140625" style="352" customWidth="1"/>
    <col min="1034" max="1034" width="14.42578125" style="352" customWidth="1"/>
    <col min="1035" max="1035" width="13.28515625" style="352" customWidth="1"/>
    <col min="1036" max="1036" width="9.7109375" style="352" customWidth="1"/>
    <col min="1037" max="1037" width="13.5703125" style="352" customWidth="1"/>
    <col min="1038" max="1038" width="10.5703125" style="352" customWidth="1"/>
    <col min="1039" max="1039" width="11.28515625" style="352" customWidth="1"/>
    <col min="1040" max="1040" width="8.7109375" style="352" customWidth="1"/>
    <col min="1041" max="1041" width="9" style="352" customWidth="1"/>
    <col min="1042" max="1042" width="6.7109375" style="352" customWidth="1"/>
    <col min="1043" max="1043" width="11.42578125" style="352" customWidth="1"/>
    <col min="1044" max="1044" width="12.28515625" style="352" customWidth="1"/>
    <col min="1045" max="1045" width="11.28515625" style="352" customWidth="1"/>
    <col min="1046" max="1046" width="12.42578125" style="352" customWidth="1"/>
    <col min="1047" max="1047" width="13" style="352" customWidth="1"/>
    <col min="1048" max="1048" width="9.5703125" style="352" customWidth="1"/>
    <col min="1049" max="1049" width="11.42578125" style="352" customWidth="1"/>
    <col min="1050" max="1279" width="9.140625" style="352"/>
    <col min="1280" max="1280" width="9.42578125" style="352" customWidth="1"/>
    <col min="1281" max="1281" width="31.42578125" style="352" customWidth="1"/>
    <col min="1282" max="1287" width="0" style="352" hidden="1" customWidth="1"/>
    <col min="1288" max="1288" width="8.7109375" style="352" customWidth="1"/>
    <col min="1289" max="1289" width="8.140625" style="352" customWidth="1"/>
    <col min="1290" max="1290" width="14.42578125" style="352" customWidth="1"/>
    <col min="1291" max="1291" width="13.28515625" style="352" customWidth="1"/>
    <col min="1292" max="1292" width="9.7109375" style="352" customWidth="1"/>
    <col min="1293" max="1293" width="13.5703125" style="352" customWidth="1"/>
    <col min="1294" max="1294" width="10.5703125" style="352" customWidth="1"/>
    <col min="1295" max="1295" width="11.28515625" style="352" customWidth="1"/>
    <col min="1296" max="1296" width="8.7109375" style="352" customWidth="1"/>
    <col min="1297" max="1297" width="9" style="352" customWidth="1"/>
    <col min="1298" max="1298" width="6.7109375" style="352" customWidth="1"/>
    <col min="1299" max="1299" width="11.42578125" style="352" customWidth="1"/>
    <col min="1300" max="1300" width="12.28515625" style="352" customWidth="1"/>
    <col min="1301" max="1301" width="11.28515625" style="352" customWidth="1"/>
    <col min="1302" max="1302" width="12.42578125" style="352" customWidth="1"/>
    <col min="1303" max="1303" width="13" style="352" customWidth="1"/>
    <col min="1304" max="1304" width="9.5703125" style="352" customWidth="1"/>
    <col min="1305" max="1305" width="11.42578125" style="352" customWidth="1"/>
    <col min="1306" max="1535" width="9.140625" style="352"/>
    <col min="1536" max="1536" width="9.42578125" style="352" customWidth="1"/>
    <col min="1537" max="1537" width="31.42578125" style="352" customWidth="1"/>
    <col min="1538" max="1543" width="0" style="352" hidden="1" customWidth="1"/>
    <col min="1544" max="1544" width="8.7109375" style="352" customWidth="1"/>
    <col min="1545" max="1545" width="8.140625" style="352" customWidth="1"/>
    <col min="1546" max="1546" width="14.42578125" style="352" customWidth="1"/>
    <col min="1547" max="1547" width="13.28515625" style="352" customWidth="1"/>
    <col min="1548" max="1548" width="9.7109375" style="352" customWidth="1"/>
    <col min="1549" max="1549" width="13.5703125" style="352" customWidth="1"/>
    <col min="1550" max="1550" width="10.5703125" style="352" customWidth="1"/>
    <col min="1551" max="1551" width="11.28515625" style="352" customWidth="1"/>
    <col min="1552" max="1552" width="8.7109375" style="352" customWidth="1"/>
    <col min="1553" max="1553" width="9" style="352" customWidth="1"/>
    <col min="1554" max="1554" width="6.7109375" style="352" customWidth="1"/>
    <col min="1555" max="1555" width="11.42578125" style="352" customWidth="1"/>
    <col min="1556" max="1556" width="12.28515625" style="352" customWidth="1"/>
    <col min="1557" max="1557" width="11.28515625" style="352" customWidth="1"/>
    <col min="1558" max="1558" width="12.42578125" style="352" customWidth="1"/>
    <col min="1559" max="1559" width="13" style="352" customWidth="1"/>
    <col min="1560" max="1560" width="9.5703125" style="352" customWidth="1"/>
    <col min="1561" max="1561" width="11.42578125" style="352" customWidth="1"/>
    <col min="1562" max="1791" width="9.140625" style="352"/>
    <col min="1792" max="1792" width="9.42578125" style="352" customWidth="1"/>
    <col min="1793" max="1793" width="31.42578125" style="352" customWidth="1"/>
    <col min="1794" max="1799" width="0" style="352" hidden="1" customWidth="1"/>
    <col min="1800" max="1800" width="8.7109375" style="352" customWidth="1"/>
    <col min="1801" max="1801" width="8.140625" style="352" customWidth="1"/>
    <col min="1802" max="1802" width="14.42578125" style="352" customWidth="1"/>
    <col min="1803" max="1803" width="13.28515625" style="352" customWidth="1"/>
    <col min="1804" max="1804" width="9.7109375" style="352" customWidth="1"/>
    <col min="1805" max="1805" width="13.5703125" style="352" customWidth="1"/>
    <col min="1806" max="1806" width="10.5703125" style="352" customWidth="1"/>
    <col min="1807" max="1807" width="11.28515625" style="352" customWidth="1"/>
    <col min="1808" max="1808" width="8.7109375" style="352" customWidth="1"/>
    <col min="1809" max="1809" width="9" style="352" customWidth="1"/>
    <col min="1810" max="1810" width="6.7109375" style="352" customWidth="1"/>
    <col min="1811" max="1811" width="11.42578125" style="352" customWidth="1"/>
    <col min="1812" max="1812" width="12.28515625" style="352" customWidth="1"/>
    <col min="1813" max="1813" width="11.28515625" style="352" customWidth="1"/>
    <col min="1814" max="1814" width="12.42578125" style="352" customWidth="1"/>
    <col min="1815" max="1815" width="13" style="352" customWidth="1"/>
    <col min="1816" max="1816" width="9.5703125" style="352" customWidth="1"/>
    <col min="1817" max="1817" width="11.42578125" style="352" customWidth="1"/>
    <col min="1818" max="2047" width="9.140625" style="352"/>
    <col min="2048" max="2048" width="9.42578125" style="352" customWidth="1"/>
    <col min="2049" max="2049" width="31.42578125" style="352" customWidth="1"/>
    <col min="2050" max="2055" width="0" style="352" hidden="1" customWidth="1"/>
    <col min="2056" max="2056" width="8.7109375" style="352" customWidth="1"/>
    <col min="2057" max="2057" width="8.140625" style="352" customWidth="1"/>
    <col min="2058" max="2058" width="14.42578125" style="352" customWidth="1"/>
    <col min="2059" max="2059" width="13.28515625" style="352" customWidth="1"/>
    <col min="2060" max="2060" width="9.7109375" style="352" customWidth="1"/>
    <col min="2061" max="2061" width="13.5703125" style="352" customWidth="1"/>
    <col min="2062" max="2062" width="10.5703125" style="352" customWidth="1"/>
    <col min="2063" max="2063" width="11.28515625" style="352" customWidth="1"/>
    <col min="2064" max="2064" width="8.7109375" style="352" customWidth="1"/>
    <col min="2065" max="2065" width="9" style="352" customWidth="1"/>
    <col min="2066" max="2066" width="6.7109375" style="352" customWidth="1"/>
    <col min="2067" max="2067" width="11.42578125" style="352" customWidth="1"/>
    <col min="2068" max="2068" width="12.28515625" style="352" customWidth="1"/>
    <col min="2069" max="2069" width="11.28515625" style="352" customWidth="1"/>
    <col min="2070" max="2070" width="12.42578125" style="352" customWidth="1"/>
    <col min="2071" max="2071" width="13" style="352" customWidth="1"/>
    <col min="2072" max="2072" width="9.5703125" style="352" customWidth="1"/>
    <col min="2073" max="2073" width="11.42578125" style="352" customWidth="1"/>
    <col min="2074" max="2303" width="9.140625" style="352"/>
    <col min="2304" max="2304" width="9.42578125" style="352" customWidth="1"/>
    <col min="2305" max="2305" width="31.42578125" style="352" customWidth="1"/>
    <col min="2306" max="2311" width="0" style="352" hidden="1" customWidth="1"/>
    <col min="2312" max="2312" width="8.7109375" style="352" customWidth="1"/>
    <col min="2313" max="2313" width="8.140625" style="352" customWidth="1"/>
    <col min="2314" max="2314" width="14.42578125" style="352" customWidth="1"/>
    <col min="2315" max="2315" width="13.28515625" style="352" customWidth="1"/>
    <col min="2316" max="2316" width="9.7109375" style="352" customWidth="1"/>
    <col min="2317" max="2317" width="13.5703125" style="352" customWidth="1"/>
    <col min="2318" max="2318" width="10.5703125" style="352" customWidth="1"/>
    <col min="2319" max="2319" width="11.28515625" style="352" customWidth="1"/>
    <col min="2320" max="2320" width="8.7109375" style="352" customWidth="1"/>
    <col min="2321" max="2321" width="9" style="352" customWidth="1"/>
    <col min="2322" max="2322" width="6.7109375" style="352" customWidth="1"/>
    <col min="2323" max="2323" width="11.42578125" style="352" customWidth="1"/>
    <col min="2324" max="2324" width="12.28515625" style="352" customWidth="1"/>
    <col min="2325" max="2325" width="11.28515625" style="352" customWidth="1"/>
    <col min="2326" max="2326" width="12.42578125" style="352" customWidth="1"/>
    <col min="2327" max="2327" width="13" style="352" customWidth="1"/>
    <col min="2328" max="2328" width="9.5703125" style="352" customWidth="1"/>
    <col min="2329" max="2329" width="11.42578125" style="352" customWidth="1"/>
    <col min="2330" max="2559" width="9.140625" style="352"/>
    <col min="2560" max="2560" width="9.42578125" style="352" customWidth="1"/>
    <col min="2561" max="2561" width="31.42578125" style="352" customWidth="1"/>
    <col min="2562" max="2567" width="0" style="352" hidden="1" customWidth="1"/>
    <col min="2568" max="2568" width="8.7109375" style="352" customWidth="1"/>
    <col min="2569" max="2569" width="8.140625" style="352" customWidth="1"/>
    <col min="2570" max="2570" width="14.42578125" style="352" customWidth="1"/>
    <col min="2571" max="2571" width="13.28515625" style="352" customWidth="1"/>
    <col min="2572" max="2572" width="9.7109375" style="352" customWidth="1"/>
    <col min="2573" max="2573" width="13.5703125" style="352" customWidth="1"/>
    <col min="2574" max="2574" width="10.5703125" style="352" customWidth="1"/>
    <col min="2575" max="2575" width="11.28515625" style="352" customWidth="1"/>
    <col min="2576" max="2576" width="8.7109375" style="352" customWidth="1"/>
    <col min="2577" max="2577" width="9" style="352" customWidth="1"/>
    <col min="2578" max="2578" width="6.7109375" style="352" customWidth="1"/>
    <col min="2579" max="2579" width="11.42578125" style="352" customWidth="1"/>
    <col min="2580" max="2580" width="12.28515625" style="352" customWidth="1"/>
    <col min="2581" max="2581" width="11.28515625" style="352" customWidth="1"/>
    <col min="2582" max="2582" width="12.42578125" style="352" customWidth="1"/>
    <col min="2583" max="2583" width="13" style="352" customWidth="1"/>
    <col min="2584" max="2584" width="9.5703125" style="352" customWidth="1"/>
    <col min="2585" max="2585" width="11.42578125" style="352" customWidth="1"/>
    <col min="2586" max="2815" width="9.140625" style="352"/>
    <col min="2816" max="2816" width="9.42578125" style="352" customWidth="1"/>
    <col min="2817" max="2817" width="31.42578125" style="352" customWidth="1"/>
    <col min="2818" max="2823" width="0" style="352" hidden="1" customWidth="1"/>
    <col min="2824" max="2824" width="8.7109375" style="352" customWidth="1"/>
    <col min="2825" max="2825" width="8.140625" style="352" customWidth="1"/>
    <col min="2826" max="2826" width="14.42578125" style="352" customWidth="1"/>
    <col min="2827" max="2827" width="13.28515625" style="352" customWidth="1"/>
    <col min="2828" max="2828" width="9.7109375" style="352" customWidth="1"/>
    <col min="2829" max="2829" width="13.5703125" style="352" customWidth="1"/>
    <col min="2830" max="2830" width="10.5703125" style="352" customWidth="1"/>
    <col min="2831" max="2831" width="11.28515625" style="352" customWidth="1"/>
    <col min="2832" max="2832" width="8.7109375" style="352" customWidth="1"/>
    <col min="2833" max="2833" width="9" style="352" customWidth="1"/>
    <col min="2834" max="2834" width="6.7109375" style="352" customWidth="1"/>
    <col min="2835" max="2835" width="11.42578125" style="352" customWidth="1"/>
    <col min="2836" max="2836" width="12.28515625" style="352" customWidth="1"/>
    <col min="2837" max="2837" width="11.28515625" style="352" customWidth="1"/>
    <col min="2838" max="2838" width="12.42578125" style="352" customWidth="1"/>
    <col min="2839" max="2839" width="13" style="352" customWidth="1"/>
    <col min="2840" max="2840" width="9.5703125" style="352" customWidth="1"/>
    <col min="2841" max="2841" width="11.42578125" style="352" customWidth="1"/>
    <col min="2842" max="3071" width="9.140625" style="352"/>
    <col min="3072" max="3072" width="9.42578125" style="352" customWidth="1"/>
    <col min="3073" max="3073" width="31.42578125" style="352" customWidth="1"/>
    <col min="3074" max="3079" width="0" style="352" hidden="1" customWidth="1"/>
    <col min="3080" max="3080" width="8.7109375" style="352" customWidth="1"/>
    <col min="3081" max="3081" width="8.140625" style="352" customWidth="1"/>
    <col min="3082" max="3082" width="14.42578125" style="352" customWidth="1"/>
    <col min="3083" max="3083" width="13.28515625" style="352" customWidth="1"/>
    <col min="3084" max="3084" width="9.7109375" style="352" customWidth="1"/>
    <col min="3085" max="3085" width="13.5703125" style="352" customWidth="1"/>
    <col min="3086" max="3086" width="10.5703125" style="352" customWidth="1"/>
    <col min="3087" max="3087" width="11.28515625" style="352" customWidth="1"/>
    <col min="3088" max="3088" width="8.7109375" style="352" customWidth="1"/>
    <col min="3089" max="3089" width="9" style="352" customWidth="1"/>
    <col min="3090" max="3090" width="6.7109375" style="352" customWidth="1"/>
    <col min="3091" max="3091" width="11.42578125" style="352" customWidth="1"/>
    <col min="3092" max="3092" width="12.28515625" style="352" customWidth="1"/>
    <col min="3093" max="3093" width="11.28515625" style="352" customWidth="1"/>
    <col min="3094" max="3094" width="12.42578125" style="352" customWidth="1"/>
    <col min="3095" max="3095" width="13" style="352" customWidth="1"/>
    <col min="3096" max="3096" width="9.5703125" style="352" customWidth="1"/>
    <col min="3097" max="3097" width="11.42578125" style="352" customWidth="1"/>
    <col min="3098" max="3327" width="9.140625" style="352"/>
    <col min="3328" max="3328" width="9.42578125" style="352" customWidth="1"/>
    <col min="3329" max="3329" width="31.42578125" style="352" customWidth="1"/>
    <col min="3330" max="3335" width="0" style="352" hidden="1" customWidth="1"/>
    <col min="3336" max="3336" width="8.7109375" style="352" customWidth="1"/>
    <col min="3337" max="3337" width="8.140625" style="352" customWidth="1"/>
    <col min="3338" max="3338" width="14.42578125" style="352" customWidth="1"/>
    <col min="3339" max="3339" width="13.28515625" style="352" customWidth="1"/>
    <col min="3340" max="3340" width="9.7109375" style="352" customWidth="1"/>
    <col min="3341" max="3341" width="13.5703125" style="352" customWidth="1"/>
    <col min="3342" max="3342" width="10.5703125" style="352" customWidth="1"/>
    <col min="3343" max="3343" width="11.28515625" style="352" customWidth="1"/>
    <col min="3344" max="3344" width="8.7109375" style="352" customWidth="1"/>
    <col min="3345" max="3345" width="9" style="352" customWidth="1"/>
    <col min="3346" max="3346" width="6.7109375" style="352" customWidth="1"/>
    <col min="3347" max="3347" width="11.42578125" style="352" customWidth="1"/>
    <col min="3348" max="3348" width="12.28515625" style="352" customWidth="1"/>
    <col min="3349" max="3349" width="11.28515625" style="352" customWidth="1"/>
    <col min="3350" max="3350" width="12.42578125" style="352" customWidth="1"/>
    <col min="3351" max="3351" width="13" style="352" customWidth="1"/>
    <col min="3352" max="3352" width="9.5703125" style="352" customWidth="1"/>
    <col min="3353" max="3353" width="11.42578125" style="352" customWidth="1"/>
    <col min="3354" max="3583" width="9.140625" style="352"/>
    <col min="3584" max="3584" width="9.42578125" style="352" customWidth="1"/>
    <col min="3585" max="3585" width="31.42578125" style="352" customWidth="1"/>
    <col min="3586" max="3591" width="0" style="352" hidden="1" customWidth="1"/>
    <col min="3592" max="3592" width="8.7109375" style="352" customWidth="1"/>
    <col min="3593" max="3593" width="8.140625" style="352" customWidth="1"/>
    <col min="3594" max="3594" width="14.42578125" style="352" customWidth="1"/>
    <col min="3595" max="3595" width="13.28515625" style="352" customWidth="1"/>
    <col min="3596" max="3596" width="9.7109375" style="352" customWidth="1"/>
    <col min="3597" max="3597" width="13.5703125" style="352" customWidth="1"/>
    <col min="3598" max="3598" width="10.5703125" style="352" customWidth="1"/>
    <col min="3599" max="3599" width="11.28515625" style="352" customWidth="1"/>
    <col min="3600" max="3600" width="8.7109375" style="352" customWidth="1"/>
    <col min="3601" max="3601" width="9" style="352" customWidth="1"/>
    <col min="3602" max="3602" width="6.7109375" style="352" customWidth="1"/>
    <col min="3603" max="3603" width="11.42578125" style="352" customWidth="1"/>
    <col min="3604" max="3604" width="12.28515625" style="352" customWidth="1"/>
    <col min="3605" max="3605" width="11.28515625" style="352" customWidth="1"/>
    <col min="3606" max="3606" width="12.42578125" style="352" customWidth="1"/>
    <col min="3607" max="3607" width="13" style="352" customWidth="1"/>
    <col min="3608" max="3608" width="9.5703125" style="352" customWidth="1"/>
    <col min="3609" max="3609" width="11.42578125" style="352" customWidth="1"/>
    <col min="3610" max="3839" width="9.140625" style="352"/>
    <col min="3840" max="3840" width="9.42578125" style="352" customWidth="1"/>
    <col min="3841" max="3841" width="31.42578125" style="352" customWidth="1"/>
    <col min="3842" max="3847" width="0" style="352" hidden="1" customWidth="1"/>
    <col min="3848" max="3848" width="8.7109375" style="352" customWidth="1"/>
    <col min="3849" max="3849" width="8.140625" style="352" customWidth="1"/>
    <col min="3850" max="3850" width="14.42578125" style="352" customWidth="1"/>
    <col min="3851" max="3851" width="13.28515625" style="352" customWidth="1"/>
    <col min="3852" max="3852" width="9.7109375" style="352" customWidth="1"/>
    <col min="3853" max="3853" width="13.5703125" style="352" customWidth="1"/>
    <col min="3854" max="3854" width="10.5703125" style="352" customWidth="1"/>
    <col min="3855" max="3855" width="11.28515625" style="352" customWidth="1"/>
    <col min="3856" max="3856" width="8.7109375" style="352" customWidth="1"/>
    <col min="3857" max="3857" width="9" style="352" customWidth="1"/>
    <col min="3858" max="3858" width="6.7109375" style="352" customWidth="1"/>
    <col min="3859" max="3859" width="11.42578125" style="352" customWidth="1"/>
    <col min="3860" max="3860" width="12.28515625" style="352" customWidth="1"/>
    <col min="3861" max="3861" width="11.28515625" style="352" customWidth="1"/>
    <col min="3862" max="3862" width="12.42578125" style="352" customWidth="1"/>
    <col min="3863" max="3863" width="13" style="352" customWidth="1"/>
    <col min="3864" max="3864" width="9.5703125" style="352" customWidth="1"/>
    <col min="3865" max="3865" width="11.42578125" style="352" customWidth="1"/>
    <col min="3866" max="4095" width="9.140625" style="352"/>
    <col min="4096" max="4096" width="9.42578125" style="352" customWidth="1"/>
    <col min="4097" max="4097" width="31.42578125" style="352" customWidth="1"/>
    <col min="4098" max="4103" width="0" style="352" hidden="1" customWidth="1"/>
    <col min="4104" max="4104" width="8.7109375" style="352" customWidth="1"/>
    <col min="4105" max="4105" width="8.140625" style="352" customWidth="1"/>
    <col min="4106" max="4106" width="14.42578125" style="352" customWidth="1"/>
    <col min="4107" max="4107" width="13.28515625" style="352" customWidth="1"/>
    <col min="4108" max="4108" width="9.7109375" style="352" customWidth="1"/>
    <col min="4109" max="4109" width="13.5703125" style="352" customWidth="1"/>
    <col min="4110" max="4110" width="10.5703125" style="352" customWidth="1"/>
    <col min="4111" max="4111" width="11.28515625" style="352" customWidth="1"/>
    <col min="4112" max="4112" width="8.7109375" style="352" customWidth="1"/>
    <col min="4113" max="4113" width="9" style="352" customWidth="1"/>
    <col min="4114" max="4114" width="6.7109375" style="352" customWidth="1"/>
    <col min="4115" max="4115" width="11.42578125" style="352" customWidth="1"/>
    <col min="4116" max="4116" width="12.28515625" style="352" customWidth="1"/>
    <col min="4117" max="4117" width="11.28515625" style="352" customWidth="1"/>
    <col min="4118" max="4118" width="12.42578125" style="352" customWidth="1"/>
    <col min="4119" max="4119" width="13" style="352" customWidth="1"/>
    <col min="4120" max="4120" width="9.5703125" style="352" customWidth="1"/>
    <col min="4121" max="4121" width="11.42578125" style="352" customWidth="1"/>
    <col min="4122" max="4351" width="9.140625" style="352"/>
    <col min="4352" max="4352" width="9.42578125" style="352" customWidth="1"/>
    <col min="4353" max="4353" width="31.42578125" style="352" customWidth="1"/>
    <col min="4354" max="4359" width="0" style="352" hidden="1" customWidth="1"/>
    <col min="4360" max="4360" width="8.7109375" style="352" customWidth="1"/>
    <col min="4361" max="4361" width="8.140625" style="352" customWidth="1"/>
    <col min="4362" max="4362" width="14.42578125" style="352" customWidth="1"/>
    <col min="4363" max="4363" width="13.28515625" style="352" customWidth="1"/>
    <col min="4364" max="4364" width="9.7109375" style="352" customWidth="1"/>
    <col min="4365" max="4365" width="13.5703125" style="352" customWidth="1"/>
    <col min="4366" max="4366" width="10.5703125" style="352" customWidth="1"/>
    <col min="4367" max="4367" width="11.28515625" style="352" customWidth="1"/>
    <col min="4368" max="4368" width="8.7109375" style="352" customWidth="1"/>
    <col min="4369" max="4369" width="9" style="352" customWidth="1"/>
    <col min="4370" max="4370" width="6.7109375" style="352" customWidth="1"/>
    <col min="4371" max="4371" width="11.42578125" style="352" customWidth="1"/>
    <col min="4372" max="4372" width="12.28515625" style="352" customWidth="1"/>
    <col min="4373" max="4373" width="11.28515625" style="352" customWidth="1"/>
    <col min="4374" max="4374" width="12.42578125" style="352" customWidth="1"/>
    <col min="4375" max="4375" width="13" style="352" customWidth="1"/>
    <col min="4376" max="4376" width="9.5703125" style="352" customWidth="1"/>
    <col min="4377" max="4377" width="11.42578125" style="352" customWidth="1"/>
    <col min="4378" max="4607" width="9.140625" style="352"/>
    <col min="4608" max="4608" width="9.42578125" style="352" customWidth="1"/>
    <col min="4609" max="4609" width="31.42578125" style="352" customWidth="1"/>
    <col min="4610" max="4615" width="0" style="352" hidden="1" customWidth="1"/>
    <col min="4616" max="4616" width="8.7109375" style="352" customWidth="1"/>
    <col min="4617" max="4617" width="8.140625" style="352" customWidth="1"/>
    <col min="4618" max="4618" width="14.42578125" style="352" customWidth="1"/>
    <col min="4619" max="4619" width="13.28515625" style="352" customWidth="1"/>
    <col min="4620" max="4620" width="9.7109375" style="352" customWidth="1"/>
    <col min="4621" max="4621" width="13.5703125" style="352" customWidth="1"/>
    <col min="4622" max="4622" width="10.5703125" style="352" customWidth="1"/>
    <col min="4623" max="4623" width="11.28515625" style="352" customWidth="1"/>
    <col min="4624" max="4624" width="8.7109375" style="352" customWidth="1"/>
    <col min="4625" max="4625" width="9" style="352" customWidth="1"/>
    <col min="4626" max="4626" width="6.7109375" style="352" customWidth="1"/>
    <col min="4627" max="4627" width="11.42578125" style="352" customWidth="1"/>
    <col min="4628" max="4628" width="12.28515625" style="352" customWidth="1"/>
    <col min="4629" max="4629" width="11.28515625" style="352" customWidth="1"/>
    <col min="4630" max="4630" width="12.42578125" style="352" customWidth="1"/>
    <col min="4631" max="4631" width="13" style="352" customWidth="1"/>
    <col min="4632" max="4632" width="9.5703125" style="352" customWidth="1"/>
    <col min="4633" max="4633" width="11.42578125" style="352" customWidth="1"/>
    <col min="4634" max="4863" width="9.140625" style="352"/>
    <col min="4864" max="4864" width="9.42578125" style="352" customWidth="1"/>
    <col min="4865" max="4865" width="31.42578125" style="352" customWidth="1"/>
    <col min="4866" max="4871" width="0" style="352" hidden="1" customWidth="1"/>
    <col min="4872" max="4872" width="8.7109375" style="352" customWidth="1"/>
    <col min="4873" max="4873" width="8.140625" style="352" customWidth="1"/>
    <col min="4874" max="4874" width="14.42578125" style="352" customWidth="1"/>
    <col min="4875" max="4875" width="13.28515625" style="352" customWidth="1"/>
    <col min="4876" max="4876" width="9.7109375" style="352" customWidth="1"/>
    <col min="4877" max="4877" width="13.5703125" style="352" customWidth="1"/>
    <col min="4878" max="4878" width="10.5703125" style="352" customWidth="1"/>
    <col min="4879" max="4879" width="11.28515625" style="352" customWidth="1"/>
    <col min="4880" max="4880" width="8.7109375" style="352" customWidth="1"/>
    <col min="4881" max="4881" width="9" style="352" customWidth="1"/>
    <col min="4882" max="4882" width="6.7109375" style="352" customWidth="1"/>
    <col min="4883" max="4883" width="11.42578125" style="352" customWidth="1"/>
    <col min="4884" max="4884" width="12.28515625" style="352" customWidth="1"/>
    <col min="4885" max="4885" width="11.28515625" style="352" customWidth="1"/>
    <col min="4886" max="4886" width="12.42578125" style="352" customWidth="1"/>
    <col min="4887" max="4887" width="13" style="352" customWidth="1"/>
    <col min="4888" max="4888" width="9.5703125" style="352" customWidth="1"/>
    <col min="4889" max="4889" width="11.42578125" style="352" customWidth="1"/>
    <col min="4890" max="5119" width="9.140625" style="352"/>
    <col min="5120" max="5120" width="9.42578125" style="352" customWidth="1"/>
    <col min="5121" max="5121" width="31.42578125" style="352" customWidth="1"/>
    <col min="5122" max="5127" width="0" style="352" hidden="1" customWidth="1"/>
    <col min="5128" max="5128" width="8.7109375" style="352" customWidth="1"/>
    <col min="5129" max="5129" width="8.140625" style="352" customWidth="1"/>
    <col min="5130" max="5130" width="14.42578125" style="352" customWidth="1"/>
    <col min="5131" max="5131" width="13.28515625" style="352" customWidth="1"/>
    <col min="5132" max="5132" width="9.7109375" style="352" customWidth="1"/>
    <col min="5133" max="5133" width="13.5703125" style="352" customWidth="1"/>
    <col min="5134" max="5134" width="10.5703125" style="352" customWidth="1"/>
    <col min="5135" max="5135" width="11.28515625" style="352" customWidth="1"/>
    <col min="5136" max="5136" width="8.7109375" style="352" customWidth="1"/>
    <col min="5137" max="5137" width="9" style="352" customWidth="1"/>
    <col min="5138" max="5138" width="6.7109375" style="352" customWidth="1"/>
    <col min="5139" max="5139" width="11.42578125" style="352" customWidth="1"/>
    <col min="5140" max="5140" width="12.28515625" style="352" customWidth="1"/>
    <col min="5141" max="5141" width="11.28515625" style="352" customWidth="1"/>
    <col min="5142" max="5142" width="12.42578125" style="352" customWidth="1"/>
    <col min="5143" max="5143" width="13" style="352" customWidth="1"/>
    <col min="5144" max="5144" width="9.5703125" style="352" customWidth="1"/>
    <col min="5145" max="5145" width="11.42578125" style="352" customWidth="1"/>
    <col min="5146" max="5375" width="9.140625" style="352"/>
    <col min="5376" max="5376" width="9.42578125" style="352" customWidth="1"/>
    <col min="5377" max="5377" width="31.42578125" style="352" customWidth="1"/>
    <col min="5378" max="5383" width="0" style="352" hidden="1" customWidth="1"/>
    <col min="5384" max="5384" width="8.7109375" style="352" customWidth="1"/>
    <col min="5385" max="5385" width="8.140625" style="352" customWidth="1"/>
    <col min="5386" max="5386" width="14.42578125" style="352" customWidth="1"/>
    <col min="5387" max="5387" width="13.28515625" style="352" customWidth="1"/>
    <col min="5388" max="5388" width="9.7109375" style="352" customWidth="1"/>
    <col min="5389" max="5389" width="13.5703125" style="352" customWidth="1"/>
    <col min="5390" max="5390" width="10.5703125" style="352" customWidth="1"/>
    <col min="5391" max="5391" width="11.28515625" style="352" customWidth="1"/>
    <col min="5392" max="5392" width="8.7109375" style="352" customWidth="1"/>
    <col min="5393" max="5393" width="9" style="352" customWidth="1"/>
    <col min="5394" max="5394" width="6.7109375" style="352" customWidth="1"/>
    <col min="5395" max="5395" width="11.42578125" style="352" customWidth="1"/>
    <col min="5396" max="5396" width="12.28515625" style="352" customWidth="1"/>
    <col min="5397" max="5397" width="11.28515625" style="352" customWidth="1"/>
    <col min="5398" max="5398" width="12.42578125" style="352" customWidth="1"/>
    <col min="5399" max="5399" width="13" style="352" customWidth="1"/>
    <col min="5400" max="5400" width="9.5703125" style="352" customWidth="1"/>
    <col min="5401" max="5401" width="11.42578125" style="352" customWidth="1"/>
    <col min="5402" max="5631" width="9.140625" style="352"/>
    <col min="5632" max="5632" width="9.42578125" style="352" customWidth="1"/>
    <col min="5633" max="5633" width="31.42578125" style="352" customWidth="1"/>
    <col min="5634" max="5639" width="0" style="352" hidden="1" customWidth="1"/>
    <col min="5640" max="5640" width="8.7109375" style="352" customWidth="1"/>
    <col min="5641" max="5641" width="8.140625" style="352" customWidth="1"/>
    <col min="5642" max="5642" width="14.42578125" style="352" customWidth="1"/>
    <col min="5643" max="5643" width="13.28515625" style="352" customWidth="1"/>
    <col min="5644" max="5644" width="9.7109375" style="352" customWidth="1"/>
    <col min="5645" max="5645" width="13.5703125" style="352" customWidth="1"/>
    <col min="5646" max="5646" width="10.5703125" style="352" customWidth="1"/>
    <col min="5647" max="5647" width="11.28515625" style="352" customWidth="1"/>
    <col min="5648" max="5648" width="8.7109375" style="352" customWidth="1"/>
    <col min="5649" max="5649" width="9" style="352" customWidth="1"/>
    <col min="5650" max="5650" width="6.7109375" style="352" customWidth="1"/>
    <col min="5651" max="5651" width="11.42578125" style="352" customWidth="1"/>
    <col min="5652" max="5652" width="12.28515625" style="352" customWidth="1"/>
    <col min="5653" max="5653" width="11.28515625" style="352" customWidth="1"/>
    <col min="5654" max="5654" width="12.42578125" style="352" customWidth="1"/>
    <col min="5655" max="5655" width="13" style="352" customWidth="1"/>
    <col min="5656" max="5656" width="9.5703125" style="352" customWidth="1"/>
    <col min="5657" max="5657" width="11.42578125" style="352" customWidth="1"/>
    <col min="5658" max="5887" width="9.140625" style="352"/>
    <col min="5888" max="5888" width="9.42578125" style="352" customWidth="1"/>
    <col min="5889" max="5889" width="31.42578125" style="352" customWidth="1"/>
    <col min="5890" max="5895" width="0" style="352" hidden="1" customWidth="1"/>
    <col min="5896" max="5896" width="8.7109375" style="352" customWidth="1"/>
    <col min="5897" max="5897" width="8.140625" style="352" customWidth="1"/>
    <col min="5898" max="5898" width="14.42578125" style="352" customWidth="1"/>
    <col min="5899" max="5899" width="13.28515625" style="352" customWidth="1"/>
    <col min="5900" max="5900" width="9.7109375" style="352" customWidth="1"/>
    <col min="5901" max="5901" width="13.5703125" style="352" customWidth="1"/>
    <col min="5902" max="5902" width="10.5703125" style="352" customWidth="1"/>
    <col min="5903" max="5903" width="11.28515625" style="352" customWidth="1"/>
    <col min="5904" max="5904" width="8.7109375" style="352" customWidth="1"/>
    <col min="5905" max="5905" width="9" style="352" customWidth="1"/>
    <col min="5906" max="5906" width="6.7109375" style="352" customWidth="1"/>
    <col min="5907" max="5907" width="11.42578125" style="352" customWidth="1"/>
    <col min="5908" max="5908" width="12.28515625" style="352" customWidth="1"/>
    <col min="5909" max="5909" width="11.28515625" style="352" customWidth="1"/>
    <col min="5910" max="5910" width="12.42578125" style="352" customWidth="1"/>
    <col min="5911" max="5911" width="13" style="352" customWidth="1"/>
    <col min="5912" max="5912" width="9.5703125" style="352" customWidth="1"/>
    <col min="5913" max="5913" width="11.42578125" style="352" customWidth="1"/>
    <col min="5914" max="6143" width="9.140625" style="352"/>
    <col min="6144" max="6144" width="9.42578125" style="352" customWidth="1"/>
    <col min="6145" max="6145" width="31.42578125" style="352" customWidth="1"/>
    <col min="6146" max="6151" width="0" style="352" hidden="1" customWidth="1"/>
    <col min="6152" max="6152" width="8.7109375" style="352" customWidth="1"/>
    <col min="6153" max="6153" width="8.140625" style="352" customWidth="1"/>
    <col min="6154" max="6154" width="14.42578125" style="352" customWidth="1"/>
    <col min="6155" max="6155" width="13.28515625" style="352" customWidth="1"/>
    <col min="6156" max="6156" width="9.7109375" style="352" customWidth="1"/>
    <col min="6157" max="6157" width="13.5703125" style="352" customWidth="1"/>
    <col min="6158" max="6158" width="10.5703125" style="352" customWidth="1"/>
    <col min="6159" max="6159" width="11.28515625" style="352" customWidth="1"/>
    <col min="6160" max="6160" width="8.7109375" style="352" customWidth="1"/>
    <col min="6161" max="6161" width="9" style="352" customWidth="1"/>
    <col min="6162" max="6162" width="6.7109375" style="352" customWidth="1"/>
    <col min="6163" max="6163" width="11.42578125" style="352" customWidth="1"/>
    <col min="6164" max="6164" width="12.28515625" style="352" customWidth="1"/>
    <col min="6165" max="6165" width="11.28515625" style="352" customWidth="1"/>
    <col min="6166" max="6166" width="12.42578125" style="352" customWidth="1"/>
    <col min="6167" max="6167" width="13" style="352" customWidth="1"/>
    <col min="6168" max="6168" width="9.5703125" style="352" customWidth="1"/>
    <col min="6169" max="6169" width="11.42578125" style="352" customWidth="1"/>
    <col min="6170" max="6399" width="9.140625" style="352"/>
    <col min="6400" max="6400" width="9.42578125" style="352" customWidth="1"/>
    <col min="6401" max="6401" width="31.42578125" style="352" customWidth="1"/>
    <col min="6402" max="6407" width="0" style="352" hidden="1" customWidth="1"/>
    <col min="6408" max="6408" width="8.7109375" style="352" customWidth="1"/>
    <col min="6409" max="6409" width="8.140625" style="352" customWidth="1"/>
    <col min="6410" max="6410" width="14.42578125" style="352" customWidth="1"/>
    <col min="6411" max="6411" width="13.28515625" style="352" customWidth="1"/>
    <col min="6412" max="6412" width="9.7109375" style="352" customWidth="1"/>
    <col min="6413" max="6413" width="13.5703125" style="352" customWidth="1"/>
    <col min="6414" max="6414" width="10.5703125" style="352" customWidth="1"/>
    <col min="6415" max="6415" width="11.28515625" style="352" customWidth="1"/>
    <col min="6416" max="6416" width="8.7109375" style="352" customWidth="1"/>
    <col min="6417" max="6417" width="9" style="352" customWidth="1"/>
    <col min="6418" max="6418" width="6.7109375" style="352" customWidth="1"/>
    <col min="6419" max="6419" width="11.42578125" style="352" customWidth="1"/>
    <col min="6420" max="6420" width="12.28515625" style="352" customWidth="1"/>
    <col min="6421" max="6421" width="11.28515625" style="352" customWidth="1"/>
    <col min="6422" max="6422" width="12.42578125" style="352" customWidth="1"/>
    <col min="6423" max="6423" width="13" style="352" customWidth="1"/>
    <col min="6424" max="6424" width="9.5703125" style="352" customWidth="1"/>
    <col min="6425" max="6425" width="11.42578125" style="352" customWidth="1"/>
    <col min="6426" max="6655" width="9.140625" style="352"/>
    <col min="6656" max="6656" width="9.42578125" style="352" customWidth="1"/>
    <col min="6657" max="6657" width="31.42578125" style="352" customWidth="1"/>
    <col min="6658" max="6663" width="0" style="352" hidden="1" customWidth="1"/>
    <col min="6664" max="6664" width="8.7109375" style="352" customWidth="1"/>
    <col min="6665" max="6665" width="8.140625" style="352" customWidth="1"/>
    <col min="6666" max="6666" width="14.42578125" style="352" customWidth="1"/>
    <col min="6667" max="6667" width="13.28515625" style="352" customWidth="1"/>
    <col min="6668" max="6668" width="9.7109375" style="352" customWidth="1"/>
    <col min="6669" max="6669" width="13.5703125" style="352" customWidth="1"/>
    <col min="6670" max="6670" width="10.5703125" style="352" customWidth="1"/>
    <col min="6671" max="6671" width="11.28515625" style="352" customWidth="1"/>
    <col min="6672" max="6672" width="8.7109375" style="352" customWidth="1"/>
    <col min="6673" max="6673" width="9" style="352" customWidth="1"/>
    <col min="6674" max="6674" width="6.7109375" style="352" customWidth="1"/>
    <col min="6675" max="6675" width="11.42578125" style="352" customWidth="1"/>
    <col min="6676" max="6676" width="12.28515625" style="352" customWidth="1"/>
    <col min="6677" max="6677" width="11.28515625" style="352" customWidth="1"/>
    <col min="6678" max="6678" width="12.42578125" style="352" customWidth="1"/>
    <col min="6679" max="6679" width="13" style="352" customWidth="1"/>
    <col min="6680" max="6680" width="9.5703125" style="352" customWidth="1"/>
    <col min="6681" max="6681" width="11.42578125" style="352" customWidth="1"/>
    <col min="6682" max="6911" width="9.140625" style="352"/>
    <col min="6912" max="6912" width="9.42578125" style="352" customWidth="1"/>
    <col min="6913" max="6913" width="31.42578125" style="352" customWidth="1"/>
    <col min="6914" max="6919" width="0" style="352" hidden="1" customWidth="1"/>
    <col min="6920" max="6920" width="8.7109375" style="352" customWidth="1"/>
    <col min="6921" max="6921" width="8.140625" style="352" customWidth="1"/>
    <col min="6922" max="6922" width="14.42578125" style="352" customWidth="1"/>
    <col min="6923" max="6923" width="13.28515625" style="352" customWidth="1"/>
    <col min="6924" max="6924" width="9.7109375" style="352" customWidth="1"/>
    <col min="6925" max="6925" width="13.5703125" style="352" customWidth="1"/>
    <col min="6926" max="6926" width="10.5703125" style="352" customWidth="1"/>
    <col min="6927" max="6927" width="11.28515625" style="352" customWidth="1"/>
    <col min="6928" max="6928" width="8.7109375" style="352" customWidth="1"/>
    <col min="6929" max="6929" width="9" style="352" customWidth="1"/>
    <col min="6930" max="6930" width="6.7109375" style="352" customWidth="1"/>
    <col min="6931" max="6931" width="11.42578125" style="352" customWidth="1"/>
    <col min="6932" max="6932" width="12.28515625" style="352" customWidth="1"/>
    <col min="6933" max="6933" width="11.28515625" style="352" customWidth="1"/>
    <col min="6934" max="6934" width="12.42578125" style="352" customWidth="1"/>
    <col min="6935" max="6935" width="13" style="352" customWidth="1"/>
    <col min="6936" max="6936" width="9.5703125" style="352" customWidth="1"/>
    <col min="6937" max="6937" width="11.42578125" style="352" customWidth="1"/>
    <col min="6938" max="7167" width="9.140625" style="352"/>
    <col min="7168" max="7168" width="9.42578125" style="352" customWidth="1"/>
    <col min="7169" max="7169" width="31.42578125" style="352" customWidth="1"/>
    <col min="7170" max="7175" width="0" style="352" hidden="1" customWidth="1"/>
    <col min="7176" max="7176" width="8.7109375" style="352" customWidth="1"/>
    <col min="7177" max="7177" width="8.140625" style="352" customWidth="1"/>
    <col min="7178" max="7178" width="14.42578125" style="352" customWidth="1"/>
    <col min="7179" max="7179" width="13.28515625" style="352" customWidth="1"/>
    <col min="7180" max="7180" width="9.7109375" style="352" customWidth="1"/>
    <col min="7181" max="7181" width="13.5703125" style="352" customWidth="1"/>
    <col min="7182" max="7182" width="10.5703125" style="352" customWidth="1"/>
    <col min="7183" max="7183" width="11.28515625" style="352" customWidth="1"/>
    <col min="7184" max="7184" width="8.7109375" style="352" customWidth="1"/>
    <col min="7185" max="7185" width="9" style="352" customWidth="1"/>
    <col min="7186" max="7186" width="6.7109375" style="352" customWidth="1"/>
    <col min="7187" max="7187" width="11.42578125" style="352" customWidth="1"/>
    <col min="7188" max="7188" width="12.28515625" style="352" customWidth="1"/>
    <col min="7189" max="7189" width="11.28515625" style="352" customWidth="1"/>
    <col min="7190" max="7190" width="12.42578125" style="352" customWidth="1"/>
    <col min="7191" max="7191" width="13" style="352" customWidth="1"/>
    <col min="7192" max="7192" width="9.5703125" style="352" customWidth="1"/>
    <col min="7193" max="7193" width="11.42578125" style="352" customWidth="1"/>
    <col min="7194" max="7423" width="9.140625" style="352"/>
    <col min="7424" max="7424" width="9.42578125" style="352" customWidth="1"/>
    <col min="7425" max="7425" width="31.42578125" style="352" customWidth="1"/>
    <col min="7426" max="7431" width="0" style="352" hidden="1" customWidth="1"/>
    <col min="7432" max="7432" width="8.7109375" style="352" customWidth="1"/>
    <col min="7433" max="7433" width="8.140625" style="352" customWidth="1"/>
    <col min="7434" max="7434" width="14.42578125" style="352" customWidth="1"/>
    <col min="7435" max="7435" width="13.28515625" style="352" customWidth="1"/>
    <col min="7436" max="7436" width="9.7109375" style="352" customWidth="1"/>
    <col min="7437" max="7437" width="13.5703125" style="352" customWidth="1"/>
    <col min="7438" max="7438" width="10.5703125" style="352" customWidth="1"/>
    <col min="7439" max="7439" width="11.28515625" style="352" customWidth="1"/>
    <col min="7440" max="7440" width="8.7109375" style="352" customWidth="1"/>
    <col min="7441" max="7441" width="9" style="352" customWidth="1"/>
    <col min="7442" max="7442" width="6.7109375" style="352" customWidth="1"/>
    <col min="7443" max="7443" width="11.42578125" style="352" customWidth="1"/>
    <col min="7444" max="7444" width="12.28515625" style="352" customWidth="1"/>
    <col min="7445" max="7445" width="11.28515625" style="352" customWidth="1"/>
    <col min="7446" max="7446" width="12.42578125" style="352" customWidth="1"/>
    <col min="7447" max="7447" width="13" style="352" customWidth="1"/>
    <col min="7448" max="7448" width="9.5703125" style="352" customWidth="1"/>
    <col min="7449" max="7449" width="11.42578125" style="352" customWidth="1"/>
    <col min="7450" max="7679" width="9.140625" style="352"/>
    <col min="7680" max="7680" width="9.42578125" style="352" customWidth="1"/>
    <col min="7681" max="7681" width="31.42578125" style="352" customWidth="1"/>
    <col min="7682" max="7687" width="0" style="352" hidden="1" customWidth="1"/>
    <col min="7688" max="7688" width="8.7109375" style="352" customWidth="1"/>
    <col min="7689" max="7689" width="8.140625" style="352" customWidth="1"/>
    <col min="7690" max="7690" width="14.42578125" style="352" customWidth="1"/>
    <col min="7691" max="7691" width="13.28515625" style="352" customWidth="1"/>
    <col min="7692" max="7692" width="9.7109375" style="352" customWidth="1"/>
    <col min="7693" max="7693" width="13.5703125" style="352" customWidth="1"/>
    <col min="7694" max="7694" width="10.5703125" style="352" customWidth="1"/>
    <col min="7695" max="7695" width="11.28515625" style="352" customWidth="1"/>
    <col min="7696" max="7696" width="8.7109375" style="352" customWidth="1"/>
    <col min="7697" max="7697" width="9" style="352" customWidth="1"/>
    <col min="7698" max="7698" width="6.7109375" style="352" customWidth="1"/>
    <col min="7699" max="7699" width="11.42578125" style="352" customWidth="1"/>
    <col min="7700" max="7700" width="12.28515625" style="352" customWidth="1"/>
    <col min="7701" max="7701" width="11.28515625" style="352" customWidth="1"/>
    <col min="7702" max="7702" width="12.42578125" style="352" customWidth="1"/>
    <col min="7703" max="7703" width="13" style="352" customWidth="1"/>
    <col min="7704" max="7704" width="9.5703125" style="352" customWidth="1"/>
    <col min="7705" max="7705" width="11.42578125" style="352" customWidth="1"/>
    <col min="7706" max="7935" width="9.140625" style="352"/>
    <col min="7936" max="7936" width="9.42578125" style="352" customWidth="1"/>
    <col min="7937" max="7937" width="31.42578125" style="352" customWidth="1"/>
    <col min="7938" max="7943" width="0" style="352" hidden="1" customWidth="1"/>
    <col min="7944" max="7944" width="8.7109375" style="352" customWidth="1"/>
    <col min="7945" max="7945" width="8.140625" style="352" customWidth="1"/>
    <col min="7946" max="7946" width="14.42578125" style="352" customWidth="1"/>
    <col min="7947" max="7947" width="13.28515625" style="352" customWidth="1"/>
    <col min="7948" max="7948" width="9.7109375" style="352" customWidth="1"/>
    <col min="7949" max="7949" width="13.5703125" style="352" customWidth="1"/>
    <col min="7950" max="7950" width="10.5703125" style="352" customWidth="1"/>
    <col min="7951" max="7951" width="11.28515625" style="352" customWidth="1"/>
    <col min="7952" max="7952" width="8.7109375" style="352" customWidth="1"/>
    <col min="7953" max="7953" width="9" style="352" customWidth="1"/>
    <col min="7954" max="7954" width="6.7109375" style="352" customWidth="1"/>
    <col min="7955" max="7955" width="11.42578125" style="352" customWidth="1"/>
    <col min="7956" max="7956" width="12.28515625" style="352" customWidth="1"/>
    <col min="7957" max="7957" width="11.28515625" style="352" customWidth="1"/>
    <col min="7958" max="7958" width="12.42578125" style="352" customWidth="1"/>
    <col min="7959" max="7959" width="13" style="352" customWidth="1"/>
    <col min="7960" max="7960" width="9.5703125" style="352" customWidth="1"/>
    <col min="7961" max="7961" width="11.42578125" style="352" customWidth="1"/>
    <col min="7962" max="8191" width="9.140625" style="352"/>
    <col min="8192" max="8192" width="9.42578125" style="352" customWidth="1"/>
    <col min="8193" max="8193" width="31.42578125" style="352" customWidth="1"/>
    <col min="8194" max="8199" width="0" style="352" hidden="1" customWidth="1"/>
    <col min="8200" max="8200" width="8.7109375" style="352" customWidth="1"/>
    <col min="8201" max="8201" width="8.140625" style="352" customWidth="1"/>
    <col min="8202" max="8202" width="14.42578125" style="352" customWidth="1"/>
    <col min="8203" max="8203" width="13.28515625" style="352" customWidth="1"/>
    <col min="8204" max="8204" width="9.7109375" style="352" customWidth="1"/>
    <col min="8205" max="8205" width="13.5703125" style="352" customWidth="1"/>
    <col min="8206" max="8206" width="10.5703125" style="352" customWidth="1"/>
    <col min="8207" max="8207" width="11.28515625" style="352" customWidth="1"/>
    <col min="8208" max="8208" width="8.7109375" style="352" customWidth="1"/>
    <col min="8209" max="8209" width="9" style="352" customWidth="1"/>
    <col min="8210" max="8210" width="6.7109375" style="352" customWidth="1"/>
    <col min="8211" max="8211" width="11.42578125" style="352" customWidth="1"/>
    <col min="8212" max="8212" width="12.28515625" style="352" customWidth="1"/>
    <col min="8213" max="8213" width="11.28515625" style="352" customWidth="1"/>
    <col min="8214" max="8214" width="12.42578125" style="352" customWidth="1"/>
    <col min="8215" max="8215" width="13" style="352" customWidth="1"/>
    <col min="8216" max="8216" width="9.5703125" style="352" customWidth="1"/>
    <col min="8217" max="8217" width="11.42578125" style="352" customWidth="1"/>
    <col min="8218" max="8447" width="9.140625" style="352"/>
    <col min="8448" max="8448" width="9.42578125" style="352" customWidth="1"/>
    <col min="8449" max="8449" width="31.42578125" style="352" customWidth="1"/>
    <col min="8450" max="8455" width="0" style="352" hidden="1" customWidth="1"/>
    <col min="8456" max="8456" width="8.7109375" style="352" customWidth="1"/>
    <col min="8457" max="8457" width="8.140625" style="352" customWidth="1"/>
    <col min="8458" max="8458" width="14.42578125" style="352" customWidth="1"/>
    <col min="8459" max="8459" width="13.28515625" style="352" customWidth="1"/>
    <col min="8460" max="8460" width="9.7109375" style="352" customWidth="1"/>
    <col min="8461" max="8461" width="13.5703125" style="352" customWidth="1"/>
    <col min="8462" max="8462" width="10.5703125" style="352" customWidth="1"/>
    <col min="8463" max="8463" width="11.28515625" style="352" customWidth="1"/>
    <col min="8464" max="8464" width="8.7109375" style="352" customWidth="1"/>
    <col min="8465" max="8465" width="9" style="352" customWidth="1"/>
    <col min="8466" max="8466" width="6.7109375" style="352" customWidth="1"/>
    <col min="8467" max="8467" width="11.42578125" style="352" customWidth="1"/>
    <col min="8468" max="8468" width="12.28515625" style="352" customWidth="1"/>
    <col min="8469" max="8469" width="11.28515625" style="352" customWidth="1"/>
    <col min="8470" max="8470" width="12.42578125" style="352" customWidth="1"/>
    <col min="8471" max="8471" width="13" style="352" customWidth="1"/>
    <col min="8472" max="8472" width="9.5703125" style="352" customWidth="1"/>
    <col min="8473" max="8473" width="11.42578125" style="352" customWidth="1"/>
    <col min="8474" max="8703" width="9.140625" style="352"/>
    <col min="8704" max="8704" width="9.42578125" style="352" customWidth="1"/>
    <col min="8705" max="8705" width="31.42578125" style="352" customWidth="1"/>
    <col min="8706" max="8711" width="0" style="352" hidden="1" customWidth="1"/>
    <col min="8712" max="8712" width="8.7109375" style="352" customWidth="1"/>
    <col min="8713" max="8713" width="8.140625" style="352" customWidth="1"/>
    <col min="8714" max="8714" width="14.42578125" style="352" customWidth="1"/>
    <col min="8715" max="8715" width="13.28515625" style="352" customWidth="1"/>
    <col min="8716" max="8716" width="9.7109375" style="352" customWidth="1"/>
    <col min="8717" max="8717" width="13.5703125" style="352" customWidth="1"/>
    <col min="8718" max="8718" width="10.5703125" style="352" customWidth="1"/>
    <col min="8719" max="8719" width="11.28515625" style="352" customWidth="1"/>
    <col min="8720" max="8720" width="8.7109375" style="352" customWidth="1"/>
    <col min="8721" max="8721" width="9" style="352" customWidth="1"/>
    <col min="8722" max="8722" width="6.7109375" style="352" customWidth="1"/>
    <col min="8723" max="8723" width="11.42578125" style="352" customWidth="1"/>
    <col min="8724" max="8724" width="12.28515625" style="352" customWidth="1"/>
    <col min="8725" max="8725" width="11.28515625" style="352" customWidth="1"/>
    <col min="8726" max="8726" width="12.42578125" style="352" customWidth="1"/>
    <col min="8727" max="8727" width="13" style="352" customWidth="1"/>
    <col min="8728" max="8728" width="9.5703125" style="352" customWidth="1"/>
    <col min="8729" max="8729" width="11.42578125" style="352" customWidth="1"/>
    <col min="8730" max="8959" width="9.140625" style="352"/>
    <col min="8960" max="8960" width="9.42578125" style="352" customWidth="1"/>
    <col min="8961" max="8961" width="31.42578125" style="352" customWidth="1"/>
    <col min="8962" max="8967" width="0" style="352" hidden="1" customWidth="1"/>
    <col min="8968" max="8968" width="8.7109375" style="352" customWidth="1"/>
    <col min="8969" max="8969" width="8.140625" style="352" customWidth="1"/>
    <col min="8970" max="8970" width="14.42578125" style="352" customWidth="1"/>
    <col min="8971" max="8971" width="13.28515625" style="352" customWidth="1"/>
    <col min="8972" max="8972" width="9.7109375" style="352" customWidth="1"/>
    <col min="8973" max="8973" width="13.5703125" style="352" customWidth="1"/>
    <col min="8974" max="8974" width="10.5703125" style="352" customWidth="1"/>
    <col min="8975" max="8975" width="11.28515625" style="352" customWidth="1"/>
    <col min="8976" max="8976" width="8.7109375" style="352" customWidth="1"/>
    <col min="8977" max="8977" width="9" style="352" customWidth="1"/>
    <col min="8978" max="8978" width="6.7109375" style="352" customWidth="1"/>
    <col min="8979" max="8979" width="11.42578125" style="352" customWidth="1"/>
    <col min="8980" max="8980" width="12.28515625" style="352" customWidth="1"/>
    <col min="8981" max="8981" width="11.28515625" style="352" customWidth="1"/>
    <col min="8982" max="8982" width="12.42578125" style="352" customWidth="1"/>
    <col min="8983" max="8983" width="13" style="352" customWidth="1"/>
    <col min="8984" max="8984" width="9.5703125" style="352" customWidth="1"/>
    <col min="8985" max="8985" width="11.42578125" style="352" customWidth="1"/>
    <col min="8986" max="9215" width="9.140625" style="352"/>
    <col min="9216" max="9216" width="9.42578125" style="352" customWidth="1"/>
    <col min="9217" max="9217" width="31.42578125" style="352" customWidth="1"/>
    <col min="9218" max="9223" width="0" style="352" hidden="1" customWidth="1"/>
    <col min="9224" max="9224" width="8.7109375" style="352" customWidth="1"/>
    <col min="9225" max="9225" width="8.140625" style="352" customWidth="1"/>
    <col min="9226" max="9226" width="14.42578125" style="352" customWidth="1"/>
    <col min="9227" max="9227" width="13.28515625" style="352" customWidth="1"/>
    <col min="9228" max="9228" width="9.7109375" style="352" customWidth="1"/>
    <col min="9229" max="9229" width="13.5703125" style="352" customWidth="1"/>
    <col min="9230" max="9230" width="10.5703125" style="352" customWidth="1"/>
    <col min="9231" max="9231" width="11.28515625" style="352" customWidth="1"/>
    <col min="9232" max="9232" width="8.7109375" style="352" customWidth="1"/>
    <col min="9233" max="9233" width="9" style="352" customWidth="1"/>
    <col min="9234" max="9234" width="6.7109375" style="352" customWidth="1"/>
    <col min="9235" max="9235" width="11.42578125" style="352" customWidth="1"/>
    <col min="9236" max="9236" width="12.28515625" style="352" customWidth="1"/>
    <col min="9237" max="9237" width="11.28515625" style="352" customWidth="1"/>
    <col min="9238" max="9238" width="12.42578125" style="352" customWidth="1"/>
    <col min="9239" max="9239" width="13" style="352" customWidth="1"/>
    <col min="9240" max="9240" width="9.5703125" style="352" customWidth="1"/>
    <col min="9241" max="9241" width="11.42578125" style="352" customWidth="1"/>
    <col min="9242" max="9471" width="9.140625" style="352"/>
    <col min="9472" max="9472" width="9.42578125" style="352" customWidth="1"/>
    <col min="9473" max="9473" width="31.42578125" style="352" customWidth="1"/>
    <col min="9474" max="9479" width="0" style="352" hidden="1" customWidth="1"/>
    <col min="9480" max="9480" width="8.7109375" style="352" customWidth="1"/>
    <col min="9481" max="9481" width="8.140625" style="352" customWidth="1"/>
    <col min="9482" max="9482" width="14.42578125" style="352" customWidth="1"/>
    <col min="9483" max="9483" width="13.28515625" style="352" customWidth="1"/>
    <col min="9484" max="9484" width="9.7109375" style="352" customWidth="1"/>
    <col min="9485" max="9485" width="13.5703125" style="352" customWidth="1"/>
    <col min="9486" max="9486" width="10.5703125" style="352" customWidth="1"/>
    <col min="9487" max="9487" width="11.28515625" style="352" customWidth="1"/>
    <col min="9488" max="9488" width="8.7109375" style="352" customWidth="1"/>
    <col min="9489" max="9489" width="9" style="352" customWidth="1"/>
    <col min="9490" max="9490" width="6.7109375" style="352" customWidth="1"/>
    <col min="9491" max="9491" width="11.42578125" style="352" customWidth="1"/>
    <col min="9492" max="9492" width="12.28515625" style="352" customWidth="1"/>
    <col min="9493" max="9493" width="11.28515625" style="352" customWidth="1"/>
    <col min="9494" max="9494" width="12.42578125" style="352" customWidth="1"/>
    <col min="9495" max="9495" width="13" style="352" customWidth="1"/>
    <col min="9496" max="9496" width="9.5703125" style="352" customWidth="1"/>
    <col min="9497" max="9497" width="11.42578125" style="352" customWidth="1"/>
    <col min="9498" max="9727" width="9.140625" style="352"/>
    <col min="9728" max="9728" width="9.42578125" style="352" customWidth="1"/>
    <col min="9729" max="9729" width="31.42578125" style="352" customWidth="1"/>
    <col min="9730" max="9735" width="0" style="352" hidden="1" customWidth="1"/>
    <col min="9736" max="9736" width="8.7109375" style="352" customWidth="1"/>
    <col min="9737" max="9737" width="8.140625" style="352" customWidth="1"/>
    <col min="9738" max="9738" width="14.42578125" style="352" customWidth="1"/>
    <col min="9739" max="9739" width="13.28515625" style="352" customWidth="1"/>
    <col min="9740" max="9740" width="9.7109375" style="352" customWidth="1"/>
    <col min="9741" max="9741" width="13.5703125" style="352" customWidth="1"/>
    <col min="9742" max="9742" width="10.5703125" style="352" customWidth="1"/>
    <col min="9743" max="9743" width="11.28515625" style="352" customWidth="1"/>
    <col min="9744" max="9744" width="8.7109375" style="352" customWidth="1"/>
    <col min="9745" max="9745" width="9" style="352" customWidth="1"/>
    <col min="9746" max="9746" width="6.7109375" style="352" customWidth="1"/>
    <col min="9747" max="9747" width="11.42578125" style="352" customWidth="1"/>
    <col min="9748" max="9748" width="12.28515625" style="352" customWidth="1"/>
    <col min="9749" max="9749" width="11.28515625" style="352" customWidth="1"/>
    <col min="9750" max="9750" width="12.42578125" style="352" customWidth="1"/>
    <col min="9751" max="9751" width="13" style="352" customWidth="1"/>
    <col min="9752" max="9752" width="9.5703125" style="352" customWidth="1"/>
    <col min="9753" max="9753" width="11.42578125" style="352" customWidth="1"/>
    <col min="9754" max="9983" width="9.140625" style="352"/>
    <col min="9984" max="9984" width="9.42578125" style="352" customWidth="1"/>
    <col min="9985" max="9985" width="31.42578125" style="352" customWidth="1"/>
    <col min="9986" max="9991" width="0" style="352" hidden="1" customWidth="1"/>
    <col min="9992" max="9992" width="8.7109375" style="352" customWidth="1"/>
    <col min="9993" max="9993" width="8.140625" style="352" customWidth="1"/>
    <col min="9994" max="9994" width="14.42578125" style="352" customWidth="1"/>
    <col min="9995" max="9995" width="13.28515625" style="352" customWidth="1"/>
    <col min="9996" max="9996" width="9.7109375" style="352" customWidth="1"/>
    <col min="9997" max="9997" width="13.5703125" style="352" customWidth="1"/>
    <col min="9998" max="9998" width="10.5703125" style="352" customWidth="1"/>
    <col min="9999" max="9999" width="11.28515625" style="352" customWidth="1"/>
    <col min="10000" max="10000" width="8.7109375" style="352" customWidth="1"/>
    <col min="10001" max="10001" width="9" style="352" customWidth="1"/>
    <col min="10002" max="10002" width="6.7109375" style="352" customWidth="1"/>
    <col min="10003" max="10003" width="11.42578125" style="352" customWidth="1"/>
    <col min="10004" max="10004" width="12.28515625" style="352" customWidth="1"/>
    <col min="10005" max="10005" width="11.28515625" style="352" customWidth="1"/>
    <col min="10006" max="10006" width="12.42578125" style="352" customWidth="1"/>
    <col min="10007" max="10007" width="13" style="352" customWidth="1"/>
    <col min="10008" max="10008" width="9.5703125" style="352" customWidth="1"/>
    <col min="10009" max="10009" width="11.42578125" style="352" customWidth="1"/>
    <col min="10010" max="10239" width="9.140625" style="352"/>
    <col min="10240" max="10240" width="9.42578125" style="352" customWidth="1"/>
    <col min="10241" max="10241" width="31.42578125" style="352" customWidth="1"/>
    <col min="10242" max="10247" width="0" style="352" hidden="1" customWidth="1"/>
    <col min="10248" max="10248" width="8.7109375" style="352" customWidth="1"/>
    <col min="10249" max="10249" width="8.140625" style="352" customWidth="1"/>
    <col min="10250" max="10250" width="14.42578125" style="352" customWidth="1"/>
    <col min="10251" max="10251" width="13.28515625" style="352" customWidth="1"/>
    <col min="10252" max="10252" width="9.7109375" style="352" customWidth="1"/>
    <col min="10253" max="10253" width="13.5703125" style="352" customWidth="1"/>
    <col min="10254" max="10254" width="10.5703125" style="352" customWidth="1"/>
    <col min="10255" max="10255" width="11.28515625" style="352" customWidth="1"/>
    <col min="10256" max="10256" width="8.7109375" style="352" customWidth="1"/>
    <col min="10257" max="10257" width="9" style="352" customWidth="1"/>
    <col min="10258" max="10258" width="6.7109375" style="352" customWidth="1"/>
    <col min="10259" max="10259" width="11.42578125" style="352" customWidth="1"/>
    <col min="10260" max="10260" width="12.28515625" style="352" customWidth="1"/>
    <col min="10261" max="10261" width="11.28515625" style="352" customWidth="1"/>
    <col min="10262" max="10262" width="12.42578125" style="352" customWidth="1"/>
    <col min="10263" max="10263" width="13" style="352" customWidth="1"/>
    <col min="10264" max="10264" width="9.5703125" style="352" customWidth="1"/>
    <col min="10265" max="10265" width="11.42578125" style="352" customWidth="1"/>
    <col min="10266" max="10495" width="9.140625" style="352"/>
    <col min="10496" max="10496" width="9.42578125" style="352" customWidth="1"/>
    <col min="10497" max="10497" width="31.42578125" style="352" customWidth="1"/>
    <col min="10498" max="10503" width="0" style="352" hidden="1" customWidth="1"/>
    <col min="10504" max="10504" width="8.7109375" style="352" customWidth="1"/>
    <col min="10505" max="10505" width="8.140625" style="352" customWidth="1"/>
    <col min="10506" max="10506" width="14.42578125" style="352" customWidth="1"/>
    <col min="10507" max="10507" width="13.28515625" style="352" customWidth="1"/>
    <col min="10508" max="10508" width="9.7109375" style="352" customWidth="1"/>
    <col min="10509" max="10509" width="13.5703125" style="352" customWidth="1"/>
    <col min="10510" max="10510" width="10.5703125" style="352" customWidth="1"/>
    <col min="10511" max="10511" width="11.28515625" style="352" customWidth="1"/>
    <col min="10512" max="10512" width="8.7109375" style="352" customWidth="1"/>
    <col min="10513" max="10513" width="9" style="352" customWidth="1"/>
    <col min="10514" max="10514" width="6.7109375" style="352" customWidth="1"/>
    <col min="10515" max="10515" width="11.42578125" style="352" customWidth="1"/>
    <col min="10516" max="10516" width="12.28515625" style="352" customWidth="1"/>
    <col min="10517" max="10517" width="11.28515625" style="352" customWidth="1"/>
    <col min="10518" max="10518" width="12.42578125" style="352" customWidth="1"/>
    <col min="10519" max="10519" width="13" style="352" customWidth="1"/>
    <col min="10520" max="10520" width="9.5703125" style="352" customWidth="1"/>
    <col min="10521" max="10521" width="11.42578125" style="352" customWidth="1"/>
    <col min="10522" max="10751" width="9.140625" style="352"/>
    <col min="10752" max="10752" width="9.42578125" style="352" customWidth="1"/>
    <col min="10753" max="10753" width="31.42578125" style="352" customWidth="1"/>
    <col min="10754" max="10759" width="0" style="352" hidden="1" customWidth="1"/>
    <col min="10760" max="10760" width="8.7109375" style="352" customWidth="1"/>
    <col min="10761" max="10761" width="8.140625" style="352" customWidth="1"/>
    <col min="10762" max="10762" width="14.42578125" style="352" customWidth="1"/>
    <col min="10763" max="10763" width="13.28515625" style="352" customWidth="1"/>
    <col min="10764" max="10764" width="9.7109375" style="352" customWidth="1"/>
    <col min="10765" max="10765" width="13.5703125" style="352" customWidth="1"/>
    <col min="10766" max="10766" width="10.5703125" style="352" customWidth="1"/>
    <col min="10767" max="10767" width="11.28515625" style="352" customWidth="1"/>
    <col min="10768" max="10768" width="8.7109375" style="352" customWidth="1"/>
    <col min="10769" max="10769" width="9" style="352" customWidth="1"/>
    <col min="10770" max="10770" width="6.7109375" style="352" customWidth="1"/>
    <col min="10771" max="10771" width="11.42578125" style="352" customWidth="1"/>
    <col min="10772" max="10772" width="12.28515625" style="352" customWidth="1"/>
    <col min="10773" max="10773" width="11.28515625" style="352" customWidth="1"/>
    <col min="10774" max="10774" width="12.42578125" style="352" customWidth="1"/>
    <col min="10775" max="10775" width="13" style="352" customWidth="1"/>
    <col min="10776" max="10776" width="9.5703125" style="352" customWidth="1"/>
    <col min="10777" max="10777" width="11.42578125" style="352" customWidth="1"/>
    <col min="10778" max="11007" width="9.140625" style="352"/>
    <col min="11008" max="11008" width="9.42578125" style="352" customWidth="1"/>
    <col min="11009" max="11009" width="31.42578125" style="352" customWidth="1"/>
    <col min="11010" max="11015" width="0" style="352" hidden="1" customWidth="1"/>
    <col min="11016" max="11016" width="8.7109375" style="352" customWidth="1"/>
    <col min="11017" max="11017" width="8.140625" style="352" customWidth="1"/>
    <col min="11018" max="11018" width="14.42578125" style="352" customWidth="1"/>
    <col min="11019" max="11019" width="13.28515625" style="352" customWidth="1"/>
    <col min="11020" max="11020" width="9.7109375" style="352" customWidth="1"/>
    <col min="11021" max="11021" width="13.5703125" style="352" customWidth="1"/>
    <col min="11022" max="11022" width="10.5703125" style="352" customWidth="1"/>
    <col min="11023" max="11023" width="11.28515625" style="352" customWidth="1"/>
    <col min="11024" max="11024" width="8.7109375" style="352" customWidth="1"/>
    <col min="11025" max="11025" width="9" style="352" customWidth="1"/>
    <col min="11026" max="11026" width="6.7109375" style="352" customWidth="1"/>
    <col min="11027" max="11027" width="11.42578125" style="352" customWidth="1"/>
    <col min="11028" max="11028" width="12.28515625" style="352" customWidth="1"/>
    <col min="11029" max="11029" width="11.28515625" style="352" customWidth="1"/>
    <col min="11030" max="11030" width="12.42578125" style="352" customWidth="1"/>
    <col min="11031" max="11031" width="13" style="352" customWidth="1"/>
    <col min="11032" max="11032" width="9.5703125" style="352" customWidth="1"/>
    <col min="11033" max="11033" width="11.42578125" style="352" customWidth="1"/>
    <col min="11034" max="11263" width="9.140625" style="352"/>
    <col min="11264" max="11264" width="9.42578125" style="352" customWidth="1"/>
    <col min="11265" max="11265" width="31.42578125" style="352" customWidth="1"/>
    <col min="11266" max="11271" width="0" style="352" hidden="1" customWidth="1"/>
    <col min="11272" max="11272" width="8.7109375" style="352" customWidth="1"/>
    <col min="11273" max="11273" width="8.140625" style="352" customWidth="1"/>
    <col min="11274" max="11274" width="14.42578125" style="352" customWidth="1"/>
    <col min="11275" max="11275" width="13.28515625" style="352" customWidth="1"/>
    <col min="11276" max="11276" width="9.7109375" style="352" customWidth="1"/>
    <col min="11277" max="11277" width="13.5703125" style="352" customWidth="1"/>
    <col min="11278" max="11278" width="10.5703125" style="352" customWidth="1"/>
    <col min="11279" max="11279" width="11.28515625" style="352" customWidth="1"/>
    <col min="11280" max="11280" width="8.7109375" style="352" customWidth="1"/>
    <col min="11281" max="11281" width="9" style="352" customWidth="1"/>
    <col min="11282" max="11282" width="6.7109375" style="352" customWidth="1"/>
    <col min="11283" max="11283" width="11.42578125" style="352" customWidth="1"/>
    <col min="11284" max="11284" width="12.28515625" style="352" customWidth="1"/>
    <col min="11285" max="11285" width="11.28515625" style="352" customWidth="1"/>
    <col min="11286" max="11286" width="12.42578125" style="352" customWidth="1"/>
    <col min="11287" max="11287" width="13" style="352" customWidth="1"/>
    <col min="11288" max="11288" width="9.5703125" style="352" customWidth="1"/>
    <col min="11289" max="11289" width="11.42578125" style="352" customWidth="1"/>
    <col min="11290" max="11519" width="9.140625" style="352"/>
    <col min="11520" max="11520" width="9.42578125" style="352" customWidth="1"/>
    <col min="11521" max="11521" width="31.42578125" style="352" customWidth="1"/>
    <col min="11522" max="11527" width="0" style="352" hidden="1" customWidth="1"/>
    <col min="11528" max="11528" width="8.7109375" style="352" customWidth="1"/>
    <col min="11529" max="11529" width="8.140625" style="352" customWidth="1"/>
    <col min="11530" max="11530" width="14.42578125" style="352" customWidth="1"/>
    <col min="11531" max="11531" width="13.28515625" style="352" customWidth="1"/>
    <col min="11532" max="11532" width="9.7109375" style="352" customWidth="1"/>
    <col min="11533" max="11533" width="13.5703125" style="352" customWidth="1"/>
    <col min="11534" max="11534" width="10.5703125" style="352" customWidth="1"/>
    <col min="11535" max="11535" width="11.28515625" style="352" customWidth="1"/>
    <col min="11536" max="11536" width="8.7109375" style="352" customWidth="1"/>
    <col min="11537" max="11537" width="9" style="352" customWidth="1"/>
    <col min="11538" max="11538" width="6.7109375" style="352" customWidth="1"/>
    <col min="11539" max="11539" width="11.42578125" style="352" customWidth="1"/>
    <col min="11540" max="11540" width="12.28515625" style="352" customWidth="1"/>
    <col min="11541" max="11541" width="11.28515625" style="352" customWidth="1"/>
    <col min="11542" max="11542" width="12.42578125" style="352" customWidth="1"/>
    <col min="11543" max="11543" width="13" style="352" customWidth="1"/>
    <col min="11544" max="11544" width="9.5703125" style="352" customWidth="1"/>
    <col min="11545" max="11545" width="11.42578125" style="352" customWidth="1"/>
    <col min="11546" max="11775" width="9.140625" style="352"/>
    <col min="11776" max="11776" width="9.42578125" style="352" customWidth="1"/>
    <col min="11777" max="11777" width="31.42578125" style="352" customWidth="1"/>
    <col min="11778" max="11783" width="0" style="352" hidden="1" customWidth="1"/>
    <col min="11784" max="11784" width="8.7109375" style="352" customWidth="1"/>
    <col min="11785" max="11785" width="8.140625" style="352" customWidth="1"/>
    <col min="11786" max="11786" width="14.42578125" style="352" customWidth="1"/>
    <col min="11787" max="11787" width="13.28515625" style="352" customWidth="1"/>
    <col min="11788" max="11788" width="9.7109375" style="352" customWidth="1"/>
    <col min="11789" max="11789" width="13.5703125" style="352" customWidth="1"/>
    <col min="11790" max="11790" width="10.5703125" style="352" customWidth="1"/>
    <col min="11791" max="11791" width="11.28515625" style="352" customWidth="1"/>
    <col min="11792" max="11792" width="8.7109375" style="352" customWidth="1"/>
    <col min="11793" max="11793" width="9" style="352" customWidth="1"/>
    <col min="11794" max="11794" width="6.7109375" style="352" customWidth="1"/>
    <col min="11795" max="11795" width="11.42578125" style="352" customWidth="1"/>
    <col min="11796" max="11796" width="12.28515625" style="352" customWidth="1"/>
    <col min="11797" max="11797" width="11.28515625" style="352" customWidth="1"/>
    <col min="11798" max="11798" width="12.42578125" style="352" customWidth="1"/>
    <col min="11799" max="11799" width="13" style="352" customWidth="1"/>
    <col min="11800" max="11800" width="9.5703125" style="352" customWidth="1"/>
    <col min="11801" max="11801" width="11.42578125" style="352" customWidth="1"/>
    <col min="11802" max="12031" width="9.140625" style="352"/>
    <col min="12032" max="12032" width="9.42578125" style="352" customWidth="1"/>
    <col min="12033" max="12033" width="31.42578125" style="352" customWidth="1"/>
    <col min="12034" max="12039" width="0" style="352" hidden="1" customWidth="1"/>
    <col min="12040" max="12040" width="8.7109375" style="352" customWidth="1"/>
    <col min="12041" max="12041" width="8.140625" style="352" customWidth="1"/>
    <col min="12042" max="12042" width="14.42578125" style="352" customWidth="1"/>
    <col min="12043" max="12043" width="13.28515625" style="352" customWidth="1"/>
    <col min="12044" max="12044" width="9.7109375" style="352" customWidth="1"/>
    <col min="12045" max="12045" width="13.5703125" style="352" customWidth="1"/>
    <col min="12046" max="12046" width="10.5703125" style="352" customWidth="1"/>
    <col min="12047" max="12047" width="11.28515625" style="352" customWidth="1"/>
    <col min="12048" max="12048" width="8.7109375" style="352" customWidth="1"/>
    <col min="12049" max="12049" width="9" style="352" customWidth="1"/>
    <col min="12050" max="12050" width="6.7109375" style="352" customWidth="1"/>
    <col min="12051" max="12051" width="11.42578125" style="352" customWidth="1"/>
    <col min="12052" max="12052" width="12.28515625" style="352" customWidth="1"/>
    <col min="12053" max="12053" width="11.28515625" style="352" customWidth="1"/>
    <col min="12054" max="12054" width="12.42578125" style="352" customWidth="1"/>
    <col min="12055" max="12055" width="13" style="352" customWidth="1"/>
    <col min="12056" max="12056" width="9.5703125" style="352" customWidth="1"/>
    <col min="12057" max="12057" width="11.42578125" style="352" customWidth="1"/>
    <col min="12058" max="12287" width="9.140625" style="352"/>
    <col min="12288" max="12288" width="9.42578125" style="352" customWidth="1"/>
    <col min="12289" max="12289" width="31.42578125" style="352" customWidth="1"/>
    <col min="12290" max="12295" width="0" style="352" hidden="1" customWidth="1"/>
    <col min="12296" max="12296" width="8.7109375" style="352" customWidth="1"/>
    <col min="12297" max="12297" width="8.140625" style="352" customWidth="1"/>
    <col min="12298" max="12298" width="14.42578125" style="352" customWidth="1"/>
    <col min="12299" max="12299" width="13.28515625" style="352" customWidth="1"/>
    <col min="12300" max="12300" width="9.7109375" style="352" customWidth="1"/>
    <col min="12301" max="12301" width="13.5703125" style="352" customWidth="1"/>
    <col min="12302" max="12302" width="10.5703125" style="352" customWidth="1"/>
    <col min="12303" max="12303" width="11.28515625" style="352" customWidth="1"/>
    <col min="12304" max="12304" width="8.7109375" style="352" customWidth="1"/>
    <col min="12305" max="12305" width="9" style="352" customWidth="1"/>
    <col min="12306" max="12306" width="6.7109375" style="352" customWidth="1"/>
    <col min="12307" max="12307" width="11.42578125" style="352" customWidth="1"/>
    <col min="12308" max="12308" width="12.28515625" style="352" customWidth="1"/>
    <col min="12309" max="12309" width="11.28515625" style="352" customWidth="1"/>
    <col min="12310" max="12310" width="12.42578125" style="352" customWidth="1"/>
    <col min="12311" max="12311" width="13" style="352" customWidth="1"/>
    <col min="12312" max="12312" width="9.5703125" style="352" customWidth="1"/>
    <col min="12313" max="12313" width="11.42578125" style="352" customWidth="1"/>
    <col min="12314" max="12543" width="9.140625" style="352"/>
    <col min="12544" max="12544" width="9.42578125" style="352" customWidth="1"/>
    <col min="12545" max="12545" width="31.42578125" style="352" customWidth="1"/>
    <col min="12546" max="12551" width="0" style="352" hidden="1" customWidth="1"/>
    <col min="12552" max="12552" width="8.7109375" style="352" customWidth="1"/>
    <col min="12553" max="12553" width="8.140625" style="352" customWidth="1"/>
    <col min="12554" max="12554" width="14.42578125" style="352" customWidth="1"/>
    <col min="12555" max="12555" width="13.28515625" style="352" customWidth="1"/>
    <col min="12556" max="12556" width="9.7109375" style="352" customWidth="1"/>
    <col min="12557" max="12557" width="13.5703125" style="352" customWidth="1"/>
    <col min="12558" max="12558" width="10.5703125" style="352" customWidth="1"/>
    <col min="12559" max="12559" width="11.28515625" style="352" customWidth="1"/>
    <col min="12560" max="12560" width="8.7109375" style="352" customWidth="1"/>
    <col min="12561" max="12561" width="9" style="352" customWidth="1"/>
    <col min="12562" max="12562" width="6.7109375" style="352" customWidth="1"/>
    <col min="12563" max="12563" width="11.42578125" style="352" customWidth="1"/>
    <col min="12564" max="12564" width="12.28515625" style="352" customWidth="1"/>
    <col min="12565" max="12565" width="11.28515625" style="352" customWidth="1"/>
    <col min="12566" max="12566" width="12.42578125" style="352" customWidth="1"/>
    <col min="12567" max="12567" width="13" style="352" customWidth="1"/>
    <col min="12568" max="12568" width="9.5703125" style="352" customWidth="1"/>
    <col min="12569" max="12569" width="11.42578125" style="352" customWidth="1"/>
    <col min="12570" max="12799" width="9.140625" style="352"/>
    <col min="12800" max="12800" width="9.42578125" style="352" customWidth="1"/>
    <col min="12801" max="12801" width="31.42578125" style="352" customWidth="1"/>
    <col min="12802" max="12807" width="0" style="352" hidden="1" customWidth="1"/>
    <col min="12808" max="12808" width="8.7109375" style="352" customWidth="1"/>
    <col min="12809" max="12809" width="8.140625" style="352" customWidth="1"/>
    <col min="12810" max="12810" width="14.42578125" style="352" customWidth="1"/>
    <col min="12811" max="12811" width="13.28515625" style="352" customWidth="1"/>
    <col min="12812" max="12812" width="9.7109375" style="352" customWidth="1"/>
    <col min="12813" max="12813" width="13.5703125" style="352" customWidth="1"/>
    <col min="12814" max="12814" width="10.5703125" style="352" customWidth="1"/>
    <col min="12815" max="12815" width="11.28515625" style="352" customWidth="1"/>
    <col min="12816" max="12816" width="8.7109375" style="352" customWidth="1"/>
    <col min="12817" max="12817" width="9" style="352" customWidth="1"/>
    <col min="12818" max="12818" width="6.7109375" style="352" customWidth="1"/>
    <col min="12819" max="12819" width="11.42578125" style="352" customWidth="1"/>
    <col min="12820" max="12820" width="12.28515625" style="352" customWidth="1"/>
    <col min="12821" max="12821" width="11.28515625" style="352" customWidth="1"/>
    <col min="12822" max="12822" width="12.42578125" style="352" customWidth="1"/>
    <col min="12823" max="12823" width="13" style="352" customWidth="1"/>
    <col min="12824" max="12824" width="9.5703125" style="352" customWidth="1"/>
    <col min="12825" max="12825" width="11.42578125" style="352" customWidth="1"/>
    <col min="12826" max="13055" width="9.140625" style="352"/>
    <col min="13056" max="13056" width="9.42578125" style="352" customWidth="1"/>
    <col min="13057" max="13057" width="31.42578125" style="352" customWidth="1"/>
    <col min="13058" max="13063" width="0" style="352" hidden="1" customWidth="1"/>
    <col min="13064" max="13064" width="8.7109375" style="352" customWidth="1"/>
    <col min="13065" max="13065" width="8.140625" style="352" customWidth="1"/>
    <col min="13066" max="13066" width="14.42578125" style="352" customWidth="1"/>
    <col min="13067" max="13067" width="13.28515625" style="352" customWidth="1"/>
    <col min="13068" max="13068" width="9.7109375" style="352" customWidth="1"/>
    <col min="13069" max="13069" width="13.5703125" style="352" customWidth="1"/>
    <col min="13070" max="13070" width="10.5703125" style="352" customWidth="1"/>
    <col min="13071" max="13071" width="11.28515625" style="352" customWidth="1"/>
    <col min="13072" max="13072" width="8.7109375" style="352" customWidth="1"/>
    <col min="13073" max="13073" width="9" style="352" customWidth="1"/>
    <col min="13074" max="13074" width="6.7109375" style="352" customWidth="1"/>
    <col min="13075" max="13075" width="11.42578125" style="352" customWidth="1"/>
    <col min="13076" max="13076" width="12.28515625" style="352" customWidth="1"/>
    <col min="13077" max="13077" width="11.28515625" style="352" customWidth="1"/>
    <col min="13078" max="13078" width="12.42578125" style="352" customWidth="1"/>
    <col min="13079" max="13079" width="13" style="352" customWidth="1"/>
    <col min="13080" max="13080" width="9.5703125" style="352" customWidth="1"/>
    <col min="13081" max="13081" width="11.42578125" style="352" customWidth="1"/>
    <col min="13082" max="13311" width="9.140625" style="352"/>
    <col min="13312" max="13312" width="9.42578125" style="352" customWidth="1"/>
    <col min="13313" max="13313" width="31.42578125" style="352" customWidth="1"/>
    <col min="13314" max="13319" width="0" style="352" hidden="1" customWidth="1"/>
    <col min="13320" max="13320" width="8.7109375" style="352" customWidth="1"/>
    <col min="13321" max="13321" width="8.140625" style="352" customWidth="1"/>
    <col min="13322" max="13322" width="14.42578125" style="352" customWidth="1"/>
    <col min="13323" max="13323" width="13.28515625" style="352" customWidth="1"/>
    <col min="13324" max="13324" width="9.7109375" style="352" customWidth="1"/>
    <col min="13325" max="13325" width="13.5703125" style="352" customWidth="1"/>
    <col min="13326" max="13326" width="10.5703125" style="352" customWidth="1"/>
    <col min="13327" max="13327" width="11.28515625" style="352" customWidth="1"/>
    <col min="13328" max="13328" width="8.7109375" style="352" customWidth="1"/>
    <col min="13329" max="13329" width="9" style="352" customWidth="1"/>
    <col min="13330" max="13330" width="6.7109375" style="352" customWidth="1"/>
    <col min="13331" max="13331" width="11.42578125" style="352" customWidth="1"/>
    <col min="13332" max="13332" width="12.28515625" style="352" customWidth="1"/>
    <col min="13333" max="13333" width="11.28515625" style="352" customWidth="1"/>
    <col min="13334" max="13334" width="12.42578125" style="352" customWidth="1"/>
    <col min="13335" max="13335" width="13" style="352" customWidth="1"/>
    <col min="13336" max="13336" width="9.5703125" style="352" customWidth="1"/>
    <col min="13337" max="13337" width="11.42578125" style="352" customWidth="1"/>
    <col min="13338" max="13567" width="9.140625" style="352"/>
    <col min="13568" max="13568" width="9.42578125" style="352" customWidth="1"/>
    <col min="13569" max="13569" width="31.42578125" style="352" customWidth="1"/>
    <col min="13570" max="13575" width="0" style="352" hidden="1" customWidth="1"/>
    <col min="13576" max="13576" width="8.7109375" style="352" customWidth="1"/>
    <col min="13577" max="13577" width="8.140625" style="352" customWidth="1"/>
    <col min="13578" max="13578" width="14.42578125" style="352" customWidth="1"/>
    <col min="13579" max="13579" width="13.28515625" style="352" customWidth="1"/>
    <col min="13580" max="13580" width="9.7109375" style="352" customWidth="1"/>
    <col min="13581" max="13581" width="13.5703125" style="352" customWidth="1"/>
    <col min="13582" max="13582" width="10.5703125" style="352" customWidth="1"/>
    <col min="13583" max="13583" width="11.28515625" style="352" customWidth="1"/>
    <col min="13584" max="13584" width="8.7109375" style="352" customWidth="1"/>
    <col min="13585" max="13585" width="9" style="352" customWidth="1"/>
    <col min="13586" max="13586" width="6.7109375" style="352" customWidth="1"/>
    <col min="13587" max="13587" width="11.42578125" style="352" customWidth="1"/>
    <col min="13588" max="13588" width="12.28515625" style="352" customWidth="1"/>
    <col min="13589" max="13589" width="11.28515625" style="352" customWidth="1"/>
    <col min="13590" max="13590" width="12.42578125" style="352" customWidth="1"/>
    <col min="13591" max="13591" width="13" style="352" customWidth="1"/>
    <col min="13592" max="13592" width="9.5703125" style="352" customWidth="1"/>
    <col min="13593" max="13593" width="11.42578125" style="352" customWidth="1"/>
    <col min="13594" max="13823" width="9.140625" style="352"/>
    <col min="13824" max="13824" width="9.42578125" style="352" customWidth="1"/>
    <col min="13825" max="13825" width="31.42578125" style="352" customWidth="1"/>
    <col min="13826" max="13831" width="0" style="352" hidden="1" customWidth="1"/>
    <col min="13832" max="13832" width="8.7109375" style="352" customWidth="1"/>
    <col min="13833" max="13833" width="8.140625" style="352" customWidth="1"/>
    <col min="13834" max="13834" width="14.42578125" style="352" customWidth="1"/>
    <col min="13835" max="13835" width="13.28515625" style="352" customWidth="1"/>
    <col min="13836" max="13836" width="9.7109375" style="352" customWidth="1"/>
    <col min="13837" max="13837" width="13.5703125" style="352" customWidth="1"/>
    <col min="13838" max="13838" width="10.5703125" style="352" customWidth="1"/>
    <col min="13839" max="13839" width="11.28515625" style="352" customWidth="1"/>
    <col min="13840" max="13840" width="8.7109375" style="352" customWidth="1"/>
    <col min="13841" max="13841" width="9" style="352" customWidth="1"/>
    <col min="13842" max="13842" width="6.7109375" style="352" customWidth="1"/>
    <col min="13843" max="13843" width="11.42578125" style="352" customWidth="1"/>
    <col min="13844" max="13844" width="12.28515625" style="352" customWidth="1"/>
    <col min="13845" max="13845" width="11.28515625" style="352" customWidth="1"/>
    <col min="13846" max="13846" width="12.42578125" style="352" customWidth="1"/>
    <col min="13847" max="13847" width="13" style="352" customWidth="1"/>
    <col min="13848" max="13848" width="9.5703125" style="352" customWidth="1"/>
    <col min="13849" max="13849" width="11.42578125" style="352" customWidth="1"/>
    <col min="13850" max="14079" width="9.140625" style="352"/>
    <col min="14080" max="14080" width="9.42578125" style="352" customWidth="1"/>
    <col min="14081" max="14081" width="31.42578125" style="352" customWidth="1"/>
    <col min="14082" max="14087" width="0" style="352" hidden="1" customWidth="1"/>
    <col min="14088" max="14088" width="8.7109375" style="352" customWidth="1"/>
    <col min="14089" max="14089" width="8.140625" style="352" customWidth="1"/>
    <col min="14090" max="14090" width="14.42578125" style="352" customWidth="1"/>
    <col min="14091" max="14091" width="13.28515625" style="352" customWidth="1"/>
    <col min="14092" max="14092" width="9.7109375" style="352" customWidth="1"/>
    <col min="14093" max="14093" width="13.5703125" style="352" customWidth="1"/>
    <col min="14094" max="14094" width="10.5703125" style="352" customWidth="1"/>
    <col min="14095" max="14095" width="11.28515625" style="352" customWidth="1"/>
    <col min="14096" max="14096" width="8.7109375" style="352" customWidth="1"/>
    <col min="14097" max="14097" width="9" style="352" customWidth="1"/>
    <col min="14098" max="14098" width="6.7109375" style="352" customWidth="1"/>
    <col min="14099" max="14099" width="11.42578125" style="352" customWidth="1"/>
    <col min="14100" max="14100" width="12.28515625" style="352" customWidth="1"/>
    <col min="14101" max="14101" width="11.28515625" style="352" customWidth="1"/>
    <col min="14102" max="14102" width="12.42578125" style="352" customWidth="1"/>
    <col min="14103" max="14103" width="13" style="352" customWidth="1"/>
    <col min="14104" max="14104" width="9.5703125" style="352" customWidth="1"/>
    <col min="14105" max="14105" width="11.42578125" style="352" customWidth="1"/>
    <col min="14106" max="14335" width="9.140625" style="352"/>
    <col min="14336" max="14336" width="9.42578125" style="352" customWidth="1"/>
    <col min="14337" max="14337" width="31.42578125" style="352" customWidth="1"/>
    <col min="14338" max="14343" width="0" style="352" hidden="1" customWidth="1"/>
    <col min="14344" max="14344" width="8.7109375" style="352" customWidth="1"/>
    <col min="14345" max="14345" width="8.140625" style="352" customWidth="1"/>
    <col min="14346" max="14346" width="14.42578125" style="352" customWidth="1"/>
    <col min="14347" max="14347" width="13.28515625" style="352" customWidth="1"/>
    <col min="14348" max="14348" width="9.7109375" style="352" customWidth="1"/>
    <col min="14349" max="14349" width="13.5703125" style="352" customWidth="1"/>
    <col min="14350" max="14350" width="10.5703125" style="352" customWidth="1"/>
    <col min="14351" max="14351" width="11.28515625" style="352" customWidth="1"/>
    <col min="14352" max="14352" width="8.7109375" style="352" customWidth="1"/>
    <col min="14353" max="14353" width="9" style="352" customWidth="1"/>
    <col min="14354" max="14354" width="6.7109375" style="352" customWidth="1"/>
    <col min="14355" max="14355" width="11.42578125" style="352" customWidth="1"/>
    <col min="14356" max="14356" width="12.28515625" style="352" customWidth="1"/>
    <col min="14357" max="14357" width="11.28515625" style="352" customWidth="1"/>
    <col min="14358" max="14358" width="12.42578125" style="352" customWidth="1"/>
    <col min="14359" max="14359" width="13" style="352" customWidth="1"/>
    <col min="14360" max="14360" width="9.5703125" style="352" customWidth="1"/>
    <col min="14361" max="14361" width="11.42578125" style="352" customWidth="1"/>
    <col min="14362" max="14591" width="9.140625" style="352"/>
    <col min="14592" max="14592" width="9.42578125" style="352" customWidth="1"/>
    <col min="14593" max="14593" width="31.42578125" style="352" customWidth="1"/>
    <col min="14594" max="14599" width="0" style="352" hidden="1" customWidth="1"/>
    <col min="14600" max="14600" width="8.7109375" style="352" customWidth="1"/>
    <col min="14601" max="14601" width="8.140625" style="352" customWidth="1"/>
    <col min="14602" max="14602" width="14.42578125" style="352" customWidth="1"/>
    <col min="14603" max="14603" width="13.28515625" style="352" customWidth="1"/>
    <col min="14604" max="14604" width="9.7109375" style="352" customWidth="1"/>
    <col min="14605" max="14605" width="13.5703125" style="352" customWidth="1"/>
    <col min="14606" max="14606" width="10.5703125" style="352" customWidth="1"/>
    <col min="14607" max="14607" width="11.28515625" style="352" customWidth="1"/>
    <col min="14608" max="14608" width="8.7109375" style="352" customWidth="1"/>
    <col min="14609" max="14609" width="9" style="352" customWidth="1"/>
    <col min="14610" max="14610" width="6.7109375" style="352" customWidth="1"/>
    <col min="14611" max="14611" width="11.42578125" style="352" customWidth="1"/>
    <col min="14612" max="14612" width="12.28515625" style="352" customWidth="1"/>
    <col min="14613" max="14613" width="11.28515625" style="352" customWidth="1"/>
    <col min="14614" max="14614" width="12.42578125" style="352" customWidth="1"/>
    <col min="14615" max="14615" width="13" style="352" customWidth="1"/>
    <col min="14616" max="14616" width="9.5703125" style="352" customWidth="1"/>
    <col min="14617" max="14617" width="11.42578125" style="352" customWidth="1"/>
    <col min="14618" max="14847" width="9.140625" style="352"/>
    <col min="14848" max="14848" width="9.42578125" style="352" customWidth="1"/>
    <col min="14849" max="14849" width="31.42578125" style="352" customWidth="1"/>
    <col min="14850" max="14855" width="0" style="352" hidden="1" customWidth="1"/>
    <col min="14856" max="14856" width="8.7109375" style="352" customWidth="1"/>
    <col min="14857" max="14857" width="8.140625" style="352" customWidth="1"/>
    <col min="14858" max="14858" width="14.42578125" style="352" customWidth="1"/>
    <col min="14859" max="14859" width="13.28515625" style="352" customWidth="1"/>
    <col min="14860" max="14860" width="9.7109375" style="352" customWidth="1"/>
    <col min="14861" max="14861" width="13.5703125" style="352" customWidth="1"/>
    <col min="14862" max="14862" width="10.5703125" style="352" customWidth="1"/>
    <col min="14863" max="14863" width="11.28515625" style="352" customWidth="1"/>
    <col min="14864" max="14864" width="8.7109375" style="352" customWidth="1"/>
    <col min="14865" max="14865" width="9" style="352" customWidth="1"/>
    <col min="14866" max="14866" width="6.7109375" style="352" customWidth="1"/>
    <col min="14867" max="14867" width="11.42578125" style="352" customWidth="1"/>
    <col min="14868" max="14868" width="12.28515625" style="352" customWidth="1"/>
    <col min="14869" max="14869" width="11.28515625" style="352" customWidth="1"/>
    <col min="14870" max="14870" width="12.42578125" style="352" customWidth="1"/>
    <col min="14871" max="14871" width="13" style="352" customWidth="1"/>
    <col min="14872" max="14872" width="9.5703125" style="352" customWidth="1"/>
    <col min="14873" max="14873" width="11.42578125" style="352" customWidth="1"/>
    <col min="14874" max="15103" width="9.140625" style="352"/>
    <col min="15104" max="15104" width="9.42578125" style="352" customWidth="1"/>
    <col min="15105" max="15105" width="31.42578125" style="352" customWidth="1"/>
    <col min="15106" max="15111" width="0" style="352" hidden="1" customWidth="1"/>
    <col min="15112" max="15112" width="8.7109375" style="352" customWidth="1"/>
    <col min="15113" max="15113" width="8.140625" style="352" customWidth="1"/>
    <col min="15114" max="15114" width="14.42578125" style="352" customWidth="1"/>
    <col min="15115" max="15115" width="13.28515625" style="352" customWidth="1"/>
    <col min="15116" max="15116" width="9.7109375" style="352" customWidth="1"/>
    <col min="15117" max="15117" width="13.5703125" style="352" customWidth="1"/>
    <col min="15118" max="15118" width="10.5703125" style="352" customWidth="1"/>
    <col min="15119" max="15119" width="11.28515625" style="352" customWidth="1"/>
    <col min="15120" max="15120" width="8.7109375" style="352" customWidth="1"/>
    <col min="15121" max="15121" width="9" style="352" customWidth="1"/>
    <col min="15122" max="15122" width="6.7109375" style="352" customWidth="1"/>
    <col min="15123" max="15123" width="11.42578125" style="352" customWidth="1"/>
    <col min="15124" max="15124" width="12.28515625" style="352" customWidth="1"/>
    <col min="15125" max="15125" width="11.28515625" style="352" customWidth="1"/>
    <col min="15126" max="15126" width="12.42578125" style="352" customWidth="1"/>
    <col min="15127" max="15127" width="13" style="352" customWidth="1"/>
    <col min="15128" max="15128" width="9.5703125" style="352" customWidth="1"/>
    <col min="15129" max="15129" width="11.42578125" style="352" customWidth="1"/>
    <col min="15130" max="15359" width="9.140625" style="352"/>
    <col min="15360" max="15360" width="9.42578125" style="352" customWidth="1"/>
    <col min="15361" max="15361" width="31.42578125" style="352" customWidth="1"/>
    <col min="15362" max="15367" width="0" style="352" hidden="1" customWidth="1"/>
    <col min="15368" max="15368" width="8.7109375" style="352" customWidth="1"/>
    <col min="15369" max="15369" width="8.140625" style="352" customWidth="1"/>
    <col min="15370" max="15370" width="14.42578125" style="352" customWidth="1"/>
    <col min="15371" max="15371" width="13.28515625" style="352" customWidth="1"/>
    <col min="15372" max="15372" width="9.7109375" style="352" customWidth="1"/>
    <col min="15373" max="15373" width="13.5703125" style="352" customWidth="1"/>
    <col min="15374" max="15374" width="10.5703125" style="352" customWidth="1"/>
    <col min="15375" max="15375" width="11.28515625" style="352" customWidth="1"/>
    <col min="15376" max="15376" width="8.7109375" style="352" customWidth="1"/>
    <col min="15377" max="15377" width="9" style="352" customWidth="1"/>
    <col min="15378" max="15378" width="6.7109375" style="352" customWidth="1"/>
    <col min="15379" max="15379" width="11.42578125" style="352" customWidth="1"/>
    <col min="15380" max="15380" width="12.28515625" style="352" customWidth="1"/>
    <col min="15381" max="15381" width="11.28515625" style="352" customWidth="1"/>
    <col min="15382" max="15382" width="12.42578125" style="352" customWidth="1"/>
    <col min="15383" max="15383" width="13" style="352" customWidth="1"/>
    <col min="15384" max="15384" width="9.5703125" style="352" customWidth="1"/>
    <col min="15385" max="15385" width="11.42578125" style="352" customWidth="1"/>
    <col min="15386" max="15615" width="9.140625" style="352"/>
    <col min="15616" max="15616" width="9.42578125" style="352" customWidth="1"/>
    <col min="15617" max="15617" width="31.42578125" style="352" customWidth="1"/>
    <col min="15618" max="15623" width="0" style="352" hidden="1" customWidth="1"/>
    <col min="15624" max="15624" width="8.7109375" style="352" customWidth="1"/>
    <col min="15625" max="15625" width="8.140625" style="352" customWidth="1"/>
    <col min="15626" max="15626" width="14.42578125" style="352" customWidth="1"/>
    <col min="15627" max="15627" width="13.28515625" style="352" customWidth="1"/>
    <col min="15628" max="15628" width="9.7109375" style="352" customWidth="1"/>
    <col min="15629" max="15629" width="13.5703125" style="352" customWidth="1"/>
    <col min="15630" max="15630" width="10.5703125" style="352" customWidth="1"/>
    <col min="15631" max="15631" width="11.28515625" style="352" customWidth="1"/>
    <col min="15632" max="15632" width="8.7109375" style="352" customWidth="1"/>
    <col min="15633" max="15633" width="9" style="352" customWidth="1"/>
    <col min="15634" max="15634" width="6.7109375" style="352" customWidth="1"/>
    <col min="15635" max="15635" width="11.42578125" style="352" customWidth="1"/>
    <col min="15636" max="15636" width="12.28515625" style="352" customWidth="1"/>
    <col min="15637" max="15637" width="11.28515625" style="352" customWidth="1"/>
    <col min="15638" max="15638" width="12.42578125" style="352" customWidth="1"/>
    <col min="15639" max="15639" width="13" style="352" customWidth="1"/>
    <col min="15640" max="15640" width="9.5703125" style="352" customWidth="1"/>
    <col min="15641" max="15641" width="11.42578125" style="352" customWidth="1"/>
    <col min="15642" max="15871" width="9.140625" style="352"/>
    <col min="15872" max="15872" width="9.42578125" style="352" customWidth="1"/>
    <col min="15873" max="15873" width="31.42578125" style="352" customWidth="1"/>
    <col min="15874" max="15879" width="0" style="352" hidden="1" customWidth="1"/>
    <col min="15880" max="15880" width="8.7109375" style="352" customWidth="1"/>
    <col min="15881" max="15881" width="8.140625" style="352" customWidth="1"/>
    <col min="15882" max="15882" width="14.42578125" style="352" customWidth="1"/>
    <col min="15883" max="15883" width="13.28515625" style="352" customWidth="1"/>
    <col min="15884" max="15884" width="9.7109375" style="352" customWidth="1"/>
    <col min="15885" max="15885" width="13.5703125" style="352" customWidth="1"/>
    <col min="15886" max="15886" width="10.5703125" style="352" customWidth="1"/>
    <col min="15887" max="15887" width="11.28515625" style="352" customWidth="1"/>
    <col min="15888" max="15888" width="8.7109375" style="352" customWidth="1"/>
    <col min="15889" max="15889" width="9" style="352" customWidth="1"/>
    <col min="15890" max="15890" width="6.7109375" style="352" customWidth="1"/>
    <col min="15891" max="15891" width="11.42578125" style="352" customWidth="1"/>
    <col min="15892" max="15892" width="12.28515625" style="352" customWidth="1"/>
    <col min="15893" max="15893" width="11.28515625" style="352" customWidth="1"/>
    <col min="15894" max="15894" width="12.42578125" style="352" customWidth="1"/>
    <col min="15895" max="15895" width="13" style="352" customWidth="1"/>
    <col min="15896" max="15896" width="9.5703125" style="352" customWidth="1"/>
    <col min="15897" max="15897" width="11.42578125" style="352" customWidth="1"/>
    <col min="15898" max="16127" width="9.140625" style="352"/>
    <col min="16128" max="16128" width="9.42578125" style="352" customWidth="1"/>
    <col min="16129" max="16129" width="31.42578125" style="352" customWidth="1"/>
    <col min="16130" max="16135" width="0" style="352" hidden="1" customWidth="1"/>
    <col min="16136" max="16136" width="8.7109375" style="352" customWidth="1"/>
    <col min="16137" max="16137" width="8.140625" style="352" customWidth="1"/>
    <col min="16138" max="16138" width="14.42578125" style="352" customWidth="1"/>
    <col min="16139" max="16139" width="13.28515625" style="352" customWidth="1"/>
    <col min="16140" max="16140" width="9.7109375" style="352" customWidth="1"/>
    <col min="16141" max="16141" width="13.5703125" style="352" customWidth="1"/>
    <col min="16142" max="16142" width="10.5703125" style="352" customWidth="1"/>
    <col min="16143" max="16143" width="11.28515625" style="352" customWidth="1"/>
    <col min="16144" max="16144" width="8.7109375" style="352" customWidth="1"/>
    <col min="16145" max="16145" width="9" style="352" customWidth="1"/>
    <col min="16146" max="16146" width="6.7109375" style="352" customWidth="1"/>
    <col min="16147" max="16147" width="11.42578125" style="352" customWidth="1"/>
    <col min="16148" max="16148" width="12.28515625" style="352" customWidth="1"/>
    <col min="16149" max="16149" width="11.28515625" style="352" customWidth="1"/>
    <col min="16150" max="16150" width="12.42578125" style="352" customWidth="1"/>
    <col min="16151" max="16151" width="13" style="352" customWidth="1"/>
    <col min="16152" max="16152" width="9.5703125" style="352" customWidth="1"/>
    <col min="16153" max="16153" width="11.42578125" style="352" customWidth="1"/>
    <col min="16154" max="16384" width="9.140625" style="352"/>
  </cols>
  <sheetData>
    <row r="1" spans="1:26" s="325" customFormat="1" ht="60" customHeight="1" thickBot="1" x14ac:dyDescent="0.25">
      <c r="A1" s="779" t="s">
        <v>1795</v>
      </c>
      <c r="B1" s="779"/>
      <c r="C1" s="779"/>
      <c r="D1" s="779"/>
      <c r="E1" s="779"/>
      <c r="F1" s="779"/>
      <c r="G1" s="779"/>
      <c r="H1" s="779"/>
      <c r="I1" s="779"/>
      <c r="J1" s="779"/>
      <c r="K1" s="779"/>
      <c r="L1" s="779"/>
      <c r="M1" s="779"/>
      <c r="N1" s="779"/>
      <c r="O1" s="779"/>
      <c r="P1" s="779"/>
      <c r="Q1" s="779"/>
      <c r="R1" s="779"/>
      <c r="S1" s="779"/>
      <c r="T1" s="779"/>
      <c r="U1" s="779"/>
      <c r="V1" s="779"/>
      <c r="W1" s="780"/>
      <c r="X1" s="683"/>
      <c r="Y1" s="683"/>
    </row>
    <row r="2" spans="1:26" s="325" customFormat="1" ht="17.25" customHeight="1" thickBot="1" x14ac:dyDescent="0.25">
      <c r="A2" s="781" t="s">
        <v>392</v>
      </c>
      <c r="B2" s="783" t="s">
        <v>1289</v>
      </c>
      <c r="C2" s="783" t="s">
        <v>0</v>
      </c>
      <c r="D2" s="783" t="s">
        <v>507</v>
      </c>
      <c r="E2" s="783" t="s">
        <v>1290</v>
      </c>
      <c r="F2" s="783" t="s">
        <v>1508</v>
      </c>
      <c r="G2" s="785" t="s">
        <v>1291</v>
      </c>
      <c r="H2" s="787" t="s">
        <v>1575</v>
      </c>
      <c r="I2" s="788"/>
      <c r="J2" s="788"/>
      <c r="K2" s="788"/>
      <c r="L2" s="789"/>
      <c r="M2" s="790" t="s">
        <v>1738</v>
      </c>
      <c r="N2" s="791"/>
      <c r="O2" s="791"/>
      <c r="P2" s="791"/>
      <c r="Q2" s="791"/>
      <c r="R2" s="792"/>
      <c r="S2" s="776" t="s">
        <v>1576</v>
      </c>
      <c r="T2" s="777"/>
      <c r="U2" s="777"/>
      <c r="V2" s="777"/>
      <c r="W2" s="778"/>
      <c r="X2" s="774" t="s">
        <v>1715</v>
      </c>
      <c r="Y2" s="774" t="s">
        <v>1714</v>
      </c>
      <c r="Z2" s="326" t="s">
        <v>894</v>
      </c>
    </row>
    <row r="3" spans="1:26" s="325" customFormat="1" ht="17.25" customHeight="1" x14ac:dyDescent="0.2">
      <c r="A3" s="782"/>
      <c r="B3" s="784"/>
      <c r="C3" s="784"/>
      <c r="D3" s="784"/>
      <c r="E3" s="784"/>
      <c r="F3" s="784"/>
      <c r="G3" s="786"/>
      <c r="H3" s="651" t="s">
        <v>1292</v>
      </c>
      <c r="I3" s="652" t="s">
        <v>1293</v>
      </c>
      <c r="J3" s="652" t="s">
        <v>1294</v>
      </c>
      <c r="K3" s="652" t="s">
        <v>1295</v>
      </c>
      <c r="L3" s="653" t="s">
        <v>1296</v>
      </c>
      <c r="M3" s="627" t="s">
        <v>1292</v>
      </c>
      <c r="N3" s="628" t="s">
        <v>1293</v>
      </c>
      <c r="O3" s="628" t="s">
        <v>1294</v>
      </c>
      <c r="P3" s="628" t="s">
        <v>1295</v>
      </c>
      <c r="Q3" s="628" t="s">
        <v>1296</v>
      </c>
      <c r="R3" s="629" t="s">
        <v>1297</v>
      </c>
      <c r="S3" s="630" t="s">
        <v>1292</v>
      </c>
      <c r="T3" s="631" t="s">
        <v>1293</v>
      </c>
      <c r="U3" s="631" t="s">
        <v>1294</v>
      </c>
      <c r="V3" s="631" t="s">
        <v>1295</v>
      </c>
      <c r="W3" s="632" t="s">
        <v>1296</v>
      </c>
      <c r="X3" s="775"/>
      <c r="Y3" s="775"/>
      <c r="Z3" s="469"/>
    </row>
    <row r="4" spans="1:26" s="325" customFormat="1" ht="17.25" customHeight="1" x14ac:dyDescent="0.2">
      <c r="A4" s="782"/>
      <c r="B4" s="784"/>
      <c r="C4" s="784"/>
      <c r="D4" s="784"/>
      <c r="E4" s="784"/>
      <c r="F4" s="784"/>
      <c r="G4" s="786"/>
      <c r="H4" s="633" t="s">
        <v>1298</v>
      </c>
      <c r="I4" s="634" t="s">
        <v>1298</v>
      </c>
      <c r="J4" s="634" t="s">
        <v>1298</v>
      </c>
      <c r="K4" s="634" t="s">
        <v>1298</v>
      </c>
      <c r="L4" s="635" t="s">
        <v>1298</v>
      </c>
      <c r="M4" s="633" t="s">
        <v>1298</v>
      </c>
      <c r="N4" s="634" t="s">
        <v>1298</v>
      </c>
      <c r="O4" s="634" t="s">
        <v>1298</v>
      </c>
      <c r="P4" s="634" t="s">
        <v>1298</v>
      </c>
      <c r="Q4" s="634" t="s">
        <v>1298</v>
      </c>
      <c r="R4" s="635" t="s">
        <v>1299</v>
      </c>
      <c r="S4" s="636" t="s">
        <v>1298</v>
      </c>
      <c r="T4" s="637" t="s">
        <v>1298</v>
      </c>
      <c r="U4" s="637" t="s">
        <v>1298</v>
      </c>
      <c r="V4" s="637" t="s">
        <v>1298</v>
      </c>
      <c r="W4" s="638" t="s">
        <v>1298</v>
      </c>
      <c r="X4" s="775"/>
      <c r="Y4" s="775"/>
      <c r="Z4" s="469"/>
    </row>
    <row r="5" spans="1:26" s="325" customFormat="1" ht="11.25" customHeight="1" x14ac:dyDescent="0.2">
      <c r="A5" s="328" t="s">
        <v>378</v>
      </c>
      <c r="B5" s="329" t="s">
        <v>1300</v>
      </c>
      <c r="C5" s="329" t="s">
        <v>5</v>
      </c>
      <c r="D5" s="329" t="s">
        <v>6</v>
      </c>
      <c r="E5" s="329" t="s">
        <v>4</v>
      </c>
      <c r="F5" s="330" t="s">
        <v>464</v>
      </c>
      <c r="G5" s="344"/>
      <c r="H5" s="639">
        <v>30</v>
      </c>
      <c r="I5" s="640">
        <v>0</v>
      </c>
      <c r="J5" s="640">
        <v>60</v>
      </c>
      <c r="K5" s="640">
        <v>0</v>
      </c>
      <c r="L5" s="641">
        <v>0</v>
      </c>
      <c r="M5" s="639"/>
      <c r="N5" s="338"/>
      <c r="O5" s="338">
        <v>60</v>
      </c>
      <c r="P5" s="338"/>
      <c r="Q5" s="338"/>
      <c r="R5" s="642" t="s">
        <v>778</v>
      </c>
      <c r="S5" s="643">
        <f t="shared" ref="S5:S13" si="0">H5-M5</f>
        <v>30</v>
      </c>
      <c r="T5" s="643">
        <f t="shared" ref="T5:T13" si="1">I5-N5</f>
        <v>0</v>
      </c>
      <c r="U5" s="643">
        <f t="shared" ref="U5:U13" si="2">J5-O5</f>
        <v>0</v>
      </c>
      <c r="V5" s="643">
        <f t="shared" ref="V5:V13" si="3">K5-P5</f>
        <v>0</v>
      </c>
      <c r="W5" s="684">
        <f t="shared" ref="W5:W13" si="4">L5-Q5</f>
        <v>0</v>
      </c>
      <c r="X5" s="346"/>
      <c r="Y5" s="346"/>
      <c r="Z5" s="469"/>
    </row>
    <row r="6" spans="1:26" s="325" customFormat="1" ht="11.25" customHeight="1" x14ac:dyDescent="0.2">
      <c r="A6" s="328" t="s">
        <v>378</v>
      </c>
      <c r="B6" s="329" t="s">
        <v>424</v>
      </c>
      <c r="C6" s="329" t="s">
        <v>5</v>
      </c>
      <c r="D6" s="329" t="s">
        <v>465</v>
      </c>
      <c r="E6" s="329" t="s">
        <v>375</v>
      </c>
      <c r="F6" s="330" t="s">
        <v>464</v>
      </c>
      <c r="G6" s="465"/>
      <c r="H6" s="742">
        <v>0</v>
      </c>
      <c r="I6" s="743">
        <v>0</v>
      </c>
      <c r="J6" s="743"/>
      <c r="K6" s="744"/>
      <c r="L6" s="641">
        <v>0</v>
      </c>
      <c r="M6" s="639"/>
      <c r="N6" s="338"/>
      <c r="O6" s="338"/>
      <c r="P6" s="338"/>
      <c r="Q6" s="338"/>
      <c r="R6" s="642"/>
      <c r="S6" s="643">
        <f t="shared" si="0"/>
        <v>0</v>
      </c>
      <c r="T6" s="643">
        <f t="shared" si="1"/>
        <v>0</v>
      </c>
      <c r="U6" s="643">
        <f t="shared" si="2"/>
        <v>0</v>
      </c>
      <c r="V6" s="643">
        <f t="shared" si="3"/>
        <v>0</v>
      </c>
      <c r="W6" s="684">
        <f t="shared" si="4"/>
        <v>0</v>
      </c>
      <c r="X6" s="346"/>
      <c r="Y6" s="346"/>
      <c r="Z6" s="469"/>
    </row>
    <row r="7" spans="1:26" s="325" customFormat="1" ht="11.25" customHeight="1" x14ac:dyDescent="0.2">
      <c r="A7" s="328" t="s">
        <v>378</v>
      </c>
      <c r="B7" s="329" t="s">
        <v>424</v>
      </c>
      <c r="C7" s="329" t="s">
        <v>5</v>
      </c>
      <c r="D7" s="329" t="s">
        <v>14</v>
      </c>
      <c r="E7" s="329" t="s">
        <v>13</v>
      </c>
      <c r="F7" s="330" t="s">
        <v>464</v>
      </c>
      <c r="G7" s="465" t="s">
        <v>1265</v>
      </c>
      <c r="H7" s="644"/>
      <c r="I7" s="640"/>
      <c r="J7" s="640">
        <v>5</v>
      </c>
      <c r="K7" s="640">
        <v>16</v>
      </c>
      <c r="L7" s="641">
        <v>0</v>
      </c>
      <c r="M7" s="639"/>
      <c r="N7" s="338"/>
      <c r="O7" s="338"/>
      <c r="P7" s="338">
        <v>16</v>
      </c>
      <c r="Q7" s="338"/>
      <c r="R7" s="642" t="s">
        <v>1599</v>
      </c>
      <c r="S7" s="643">
        <f t="shared" si="0"/>
        <v>0</v>
      </c>
      <c r="T7" s="643">
        <f t="shared" si="1"/>
        <v>0</v>
      </c>
      <c r="U7" s="643">
        <f t="shared" si="2"/>
        <v>5</v>
      </c>
      <c r="V7" s="643">
        <f t="shared" si="3"/>
        <v>0</v>
      </c>
      <c r="W7" s="684">
        <f t="shared" si="4"/>
        <v>0</v>
      </c>
      <c r="X7" s="346"/>
      <c r="Y7" s="346"/>
      <c r="Z7" s="469" t="s">
        <v>1302</v>
      </c>
    </row>
    <row r="8" spans="1:26" s="325" customFormat="1" ht="11.25" customHeight="1" x14ac:dyDescent="0.2">
      <c r="A8" s="328" t="s">
        <v>378</v>
      </c>
      <c r="B8" s="329" t="s">
        <v>462</v>
      </c>
      <c r="C8" s="329" t="s">
        <v>5</v>
      </c>
      <c r="D8" s="339" t="s">
        <v>1303</v>
      </c>
      <c r="E8" s="339" t="s">
        <v>17</v>
      </c>
      <c r="F8" s="330" t="s">
        <v>464</v>
      </c>
      <c r="G8" s="345"/>
      <c r="H8" s="639">
        <v>23</v>
      </c>
      <c r="I8" s="338">
        <v>23</v>
      </c>
      <c r="J8" s="640">
        <v>20</v>
      </c>
      <c r="K8" s="640">
        <v>30</v>
      </c>
      <c r="L8" s="641"/>
      <c r="M8" s="639">
        <v>5</v>
      </c>
      <c r="N8" s="338">
        <v>5</v>
      </c>
      <c r="O8" s="338">
        <v>5</v>
      </c>
      <c r="P8" s="338">
        <v>56</v>
      </c>
      <c r="Q8" s="338">
        <v>0</v>
      </c>
      <c r="R8" s="642" t="s">
        <v>1598</v>
      </c>
      <c r="S8" s="643">
        <f t="shared" si="0"/>
        <v>18</v>
      </c>
      <c r="T8" s="643">
        <f t="shared" si="1"/>
        <v>18</v>
      </c>
      <c r="U8" s="643">
        <f t="shared" si="2"/>
        <v>15</v>
      </c>
      <c r="V8" s="643">
        <f t="shared" si="3"/>
        <v>-26</v>
      </c>
      <c r="W8" s="684">
        <f t="shared" si="4"/>
        <v>0</v>
      </c>
      <c r="X8" s="346"/>
      <c r="Y8" s="346"/>
      <c r="Z8" s="469" t="s">
        <v>1573</v>
      </c>
    </row>
    <row r="9" spans="1:26" s="325" customFormat="1" ht="11.25" customHeight="1" x14ac:dyDescent="0.2">
      <c r="A9" s="328" t="s">
        <v>378</v>
      </c>
      <c r="B9" s="329" t="s">
        <v>462</v>
      </c>
      <c r="C9" s="329" t="s">
        <v>5</v>
      </c>
      <c r="D9" s="329" t="s">
        <v>8</v>
      </c>
      <c r="E9" s="329" t="s">
        <v>7</v>
      </c>
      <c r="F9" s="330" t="s">
        <v>464</v>
      </c>
      <c r="G9" s="465"/>
      <c r="H9" s="639">
        <v>0</v>
      </c>
      <c r="I9" s="338">
        <v>8</v>
      </c>
      <c r="J9" s="338"/>
      <c r="K9" s="338">
        <v>5</v>
      </c>
      <c r="L9" s="642">
        <v>0</v>
      </c>
      <c r="M9" s="639">
        <v>0</v>
      </c>
      <c r="N9" s="329">
        <v>5</v>
      </c>
      <c r="O9" s="338"/>
      <c r="P9" s="329">
        <v>14</v>
      </c>
      <c r="Q9" s="338">
        <v>0</v>
      </c>
      <c r="R9" s="642" t="s">
        <v>1598</v>
      </c>
      <c r="S9" s="643">
        <f t="shared" si="0"/>
        <v>0</v>
      </c>
      <c r="T9" s="643">
        <f t="shared" si="1"/>
        <v>3</v>
      </c>
      <c r="U9" s="643">
        <f t="shared" si="2"/>
        <v>0</v>
      </c>
      <c r="V9" s="643">
        <f t="shared" si="3"/>
        <v>-9</v>
      </c>
      <c r="W9" s="684">
        <f t="shared" si="4"/>
        <v>0</v>
      </c>
      <c r="X9" s="346"/>
      <c r="Y9" s="346"/>
      <c r="Z9" s="469"/>
    </row>
    <row r="10" spans="1:26" s="325" customFormat="1" ht="11.25" customHeight="1" x14ac:dyDescent="0.2">
      <c r="A10" s="328" t="s">
        <v>378</v>
      </c>
      <c r="B10" s="329" t="s">
        <v>1300</v>
      </c>
      <c r="C10" s="329" t="s">
        <v>5</v>
      </c>
      <c r="D10" s="329" t="s">
        <v>20</v>
      </c>
      <c r="E10" s="329" t="s">
        <v>19</v>
      </c>
      <c r="F10" s="330" t="s">
        <v>464</v>
      </c>
      <c r="G10" s="465"/>
      <c r="H10" s="644"/>
      <c r="I10" s="640">
        <v>0</v>
      </c>
      <c r="J10" s="640">
        <v>0</v>
      </c>
      <c r="K10" s="640">
        <v>0</v>
      </c>
      <c r="L10" s="642"/>
      <c r="M10" s="639"/>
      <c r="N10" s="338"/>
      <c r="O10" s="338"/>
      <c r="P10" s="338"/>
      <c r="Q10" s="338"/>
      <c r="R10" s="642"/>
      <c r="S10" s="643">
        <f t="shared" si="0"/>
        <v>0</v>
      </c>
      <c r="T10" s="643">
        <f t="shared" si="1"/>
        <v>0</v>
      </c>
      <c r="U10" s="643">
        <f t="shared" si="2"/>
        <v>0</v>
      </c>
      <c r="V10" s="643">
        <f t="shared" si="3"/>
        <v>0</v>
      </c>
      <c r="W10" s="684">
        <f t="shared" si="4"/>
        <v>0</v>
      </c>
      <c r="X10" s="346"/>
      <c r="Y10" s="346"/>
      <c r="Z10" s="469"/>
    </row>
    <row r="11" spans="1:26" s="325" customFormat="1" ht="10.9" customHeight="1" x14ac:dyDescent="0.2">
      <c r="A11" s="328" t="s">
        <v>378</v>
      </c>
      <c r="B11" s="329" t="s">
        <v>424</v>
      </c>
      <c r="C11" s="329" t="s">
        <v>5</v>
      </c>
      <c r="D11" s="329" t="s">
        <v>364</v>
      </c>
      <c r="E11" s="329" t="s">
        <v>374</v>
      </c>
      <c r="F11" s="330" t="s">
        <v>464</v>
      </c>
      <c r="G11" s="465" t="s">
        <v>1304</v>
      </c>
      <c r="H11" s="644">
        <v>31</v>
      </c>
      <c r="I11" s="640">
        <v>31</v>
      </c>
      <c r="J11" s="640">
        <v>30</v>
      </c>
      <c r="K11" s="640">
        <v>15</v>
      </c>
      <c r="L11" s="641">
        <v>0</v>
      </c>
      <c r="M11" s="639">
        <v>30</v>
      </c>
      <c r="N11" s="338">
        <v>30</v>
      </c>
      <c r="O11" s="338">
        <v>30</v>
      </c>
      <c r="P11" s="338">
        <v>15</v>
      </c>
      <c r="Q11" s="338"/>
      <c r="R11" s="642" t="s">
        <v>1944</v>
      </c>
      <c r="S11" s="643">
        <f t="shared" si="0"/>
        <v>1</v>
      </c>
      <c r="T11" s="643">
        <f t="shared" si="1"/>
        <v>1</v>
      </c>
      <c r="U11" s="643">
        <f t="shared" si="2"/>
        <v>0</v>
      </c>
      <c r="V11" s="643">
        <f t="shared" si="3"/>
        <v>0</v>
      </c>
      <c r="W11" s="684">
        <f t="shared" si="4"/>
        <v>0</v>
      </c>
      <c r="X11" s="346"/>
      <c r="Y11" s="346"/>
      <c r="Z11" s="469" t="s">
        <v>1302</v>
      </c>
    </row>
    <row r="12" spans="1:26" s="325" customFormat="1" ht="11.25" customHeight="1" x14ac:dyDescent="0.2">
      <c r="A12" s="328" t="s">
        <v>378</v>
      </c>
      <c r="B12" s="329" t="s">
        <v>424</v>
      </c>
      <c r="C12" s="329" t="s">
        <v>5</v>
      </c>
      <c r="D12" s="329" t="s">
        <v>22</v>
      </c>
      <c r="E12" s="329" t="s">
        <v>21</v>
      </c>
      <c r="F12" s="330" t="s">
        <v>464</v>
      </c>
      <c r="G12" s="465" t="s">
        <v>1265</v>
      </c>
      <c r="H12" s="644">
        <v>122</v>
      </c>
      <c r="I12" s="640">
        <v>140</v>
      </c>
      <c r="J12" s="640">
        <v>30</v>
      </c>
      <c r="K12" s="640">
        <v>50</v>
      </c>
      <c r="L12" s="641">
        <v>0</v>
      </c>
      <c r="M12" s="639">
        <v>85</v>
      </c>
      <c r="N12" s="338">
        <v>85</v>
      </c>
      <c r="O12" s="338">
        <v>21</v>
      </c>
      <c r="P12" s="338"/>
      <c r="Q12" s="338"/>
      <c r="R12" s="642" t="s">
        <v>1945</v>
      </c>
      <c r="S12" s="643">
        <f t="shared" si="0"/>
        <v>37</v>
      </c>
      <c r="T12" s="643">
        <f t="shared" si="1"/>
        <v>55</v>
      </c>
      <c r="U12" s="643">
        <f t="shared" si="2"/>
        <v>9</v>
      </c>
      <c r="V12" s="643">
        <f t="shared" si="3"/>
        <v>50</v>
      </c>
      <c r="W12" s="684">
        <f t="shared" si="4"/>
        <v>0</v>
      </c>
      <c r="X12" s="346"/>
      <c r="Y12" s="346"/>
      <c r="Z12" s="469"/>
    </row>
    <row r="13" spans="1:26" s="325" customFormat="1" ht="11.25" customHeight="1" x14ac:dyDescent="0.2">
      <c r="A13" s="328" t="s">
        <v>378</v>
      </c>
      <c r="B13" s="329" t="s">
        <v>462</v>
      </c>
      <c r="C13" s="329" t="s">
        <v>5</v>
      </c>
      <c r="D13" s="329" t="s">
        <v>26</v>
      </c>
      <c r="E13" s="329" t="s">
        <v>25</v>
      </c>
      <c r="F13" s="330" t="s">
        <v>464</v>
      </c>
      <c r="G13" s="465"/>
      <c r="H13" s="639">
        <v>0</v>
      </c>
      <c r="I13" s="338">
        <v>0</v>
      </c>
      <c r="J13" s="338"/>
      <c r="K13" s="338"/>
      <c r="L13" s="642">
        <v>0</v>
      </c>
      <c r="M13" s="639">
        <v>0</v>
      </c>
      <c r="N13" s="338">
        <v>0</v>
      </c>
      <c r="O13" s="338">
        <v>0</v>
      </c>
      <c r="P13" s="338">
        <v>0</v>
      </c>
      <c r="Q13" s="338">
        <v>0</v>
      </c>
      <c r="R13" s="642"/>
      <c r="S13" s="643">
        <f t="shared" si="0"/>
        <v>0</v>
      </c>
      <c r="T13" s="643">
        <f t="shared" si="1"/>
        <v>0</v>
      </c>
      <c r="U13" s="643">
        <f t="shared" si="2"/>
        <v>0</v>
      </c>
      <c r="V13" s="643">
        <f t="shared" si="3"/>
        <v>0</v>
      </c>
      <c r="W13" s="684">
        <f t="shared" si="4"/>
        <v>0</v>
      </c>
      <c r="X13" s="346"/>
      <c r="Y13" s="346"/>
      <c r="Z13" s="469"/>
    </row>
    <row r="14" spans="1:26" s="325" customFormat="1" ht="11.25" customHeight="1" x14ac:dyDescent="0.2">
      <c r="A14" s="331" t="s">
        <v>3</v>
      </c>
      <c r="B14" s="332"/>
      <c r="C14" s="332"/>
      <c r="D14" s="333"/>
      <c r="E14" s="334"/>
      <c r="F14" s="335"/>
      <c r="G14" s="472"/>
      <c r="H14" s="336">
        <f t="shared" ref="H14:Y14" si="5">SUM(H5:H13)</f>
        <v>206</v>
      </c>
      <c r="I14" s="336">
        <f t="shared" si="5"/>
        <v>202</v>
      </c>
      <c r="J14" s="336">
        <f t="shared" si="5"/>
        <v>145</v>
      </c>
      <c r="K14" s="336">
        <f t="shared" si="5"/>
        <v>116</v>
      </c>
      <c r="L14" s="336">
        <f t="shared" si="5"/>
        <v>0</v>
      </c>
      <c r="M14" s="336">
        <f t="shared" si="5"/>
        <v>120</v>
      </c>
      <c r="N14" s="336">
        <f t="shared" si="5"/>
        <v>125</v>
      </c>
      <c r="O14" s="336">
        <f t="shared" si="5"/>
        <v>116</v>
      </c>
      <c r="P14" s="336">
        <f t="shared" si="5"/>
        <v>101</v>
      </c>
      <c r="Q14" s="336">
        <f t="shared" si="5"/>
        <v>0</v>
      </c>
      <c r="R14" s="336">
        <f t="shared" si="5"/>
        <v>0</v>
      </c>
      <c r="S14" s="336">
        <f t="shared" si="5"/>
        <v>86</v>
      </c>
      <c r="T14" s="336">
        <f t="shared" si="5"/>
        <v>77</v>
      </c>
      <c r="U14" s="336">
        <f t="shared" si="5"/>
        <v>29</v>
      </c>
      <c r="V14" s="336">
        <f t="shared" si="5"/>
        <v>15</v>
      </c>
      <c r="W14" s="336">
        <f t="shared" si="5"/>
        <v>0</v>
      </c>
      <c r="X14" s="336">
        <f t="shared" si="5"/>
        <v>0</v>
      </c>
      <c r="Y14" s="336">
        <f t="shared" si="5"/>
        <v>0</v>
      </c>
      <c r="Z14" s="469"/>
    </row>
    <row r="15" spans="1:26" s="325" customFormat="1" ht="11.25" customHeight="1" x14ac:dyDescent="0.2">
      <c r="A15" s="328" t="s">
        <v>378</v>
      </c>
      <c r="B15" s="329" t="s">
        <v>462</v>
      </c>
      <c r="C15" s="329" t="s">
        <v>27</v>
      </c>
      <c r="D15" s="329" t="s">
        <v>28</v>
      </c>
      <c r="E15" s="329" t="s">
        <v>30</v>
      </c>
      <c r="F15" s="330" t="s">
        <v>464</v>
      </c>
      <c r="G15" s="344"/>
      <c r="H15" s="639">
        <v>60</v>
      </c>
      <c r="I15" s="338">
        <v>60</v>
      </c>
      <c r="J15" s="338">
        <v>20</v>
      </c>
      <c r="K15" s="338">
        <v>40</v>
      </c>
      <c r="L15" s="642">
        <v>1</v>
      </c>
      <c r="M15" s="639">
        <v>50</v>
      </c>
      <c r="N15" s="338">
        <v>50</v>
      </c>
      <c r="O15" s="329">
        <v>18</v>
      </c>
      <c r="P15" s="329">
        <v>20</v>
      </c>
      <c r="Q15" s="338"/>
      <c r="R15" s="642" t="s">
        <v>1766</v>
      </c>
      <c r="S15" s="643">
        <f t="shared" ref="S15:W19" si="6">H15-M15</f>
        <v>10</v>
      </c>
      <c r="T15" s="643">
        <f t="shared" si="6"/>
        <v>10</v>
      </c>
      <c r="U15" s="643">
        <f t="shared" si="6"/>
        <v>2</v>
      </c>
      <c r="V15" s="643">
        <f t="shared" si="6"/>
        <v>20</v>
      </c>
      <c r="W15" s="684">
        <f t="shared" si="6"/>
        <v>1</v>
      </c>
      <c r="X15" s="346"/>
      <c r="Y15" s="346"/>
      <c r="Z15" s="469"/>
    </row>
    <row r="16" spans="1:26" s="325" customFormat="1" ht="11.25" customHeight="1" x14ac:dyDescent="0.2">
      <c r="A16" s="328" t="s">
        <v>378</v>
      </c>
      <c r="B16" s="329" t="s">
        <v>462</v>
      </c>
      <c r="C16" s="329" t="s">
        <v>27</v>
      </c>
      <c r="D16" s="329" t="s">
        <v>363</v>
      </c>
      <c r="E16" s="329" t="s">
        <v>376</v>
      </c>
      <c r="F16" s="330" t="s">
        <v>464</v>
      </c>
      <c r="G16" s="465"/>
      <c r="H16" s="639">
        <v>30</v>
      </c>
      <c r="I16" s="338">
        <v>30</v>
      </c>
      <c r="J16" s="338">
        <v>20</v>
      </c>
      <c r="K16" s="338">
        <v>50</v>
      </c>
      <c r="L16" s="642">
        <v>0</v>
      </c>
      <c r="M16" s="639">
        <v>20</v>
      </c>
      <c r="N16" s="338">
        <v>20</v>
      </c>
      <c r="O16" s="329">
        <v>8</v>
      </c>
      <c r="P16" s="329">
        <v>35</v>
      </c>
      <c r="Q16" s="338"/>
      <c r="R16" s="642" t="s">
        <v>1766</v>
      </c>
      <c r="S16" s="643">
        <f t="shared" si="6"/>
        <v>10</v>
      </c>
      <c r="T16" s="643">
        <f t="shared" si="6"/>
        <v>10</v>
      </c>
      <c r="U16" s="643">
        <f t="shared" si="6"/>
        <v>12</v>
      </c>
      <c r="V16" s="643">
        <f t="shared" si="6"/>
        <v>15</v>
      </c>
      <c r="W16" s="684">
        <f t="shared" si="6"/>
        <v>0</v>
      </c>
      <c r="X16" s="346"/>
      <c r="Y16" s="346"/>
      <c r="Z16" s="469"/>
    </row>
    <row r="17" spans="1:26" s="325" customFormat="1" ht="11.25" customHeight="1" x14ac:dyDescent="0.2">
      <c r="A17" s="328" t="s">
        <v>378</v>
      </c>
      <c r="B17" s="329" t="s">
        <v>1305</v>
      </c>
      <c r="C17" s="329" t="s">
        <v>27</v>
      </c>
      <c r="D17" s="329" t="s">
        <v>790</v>
      </c>
      <c r="E17" s="329" t="s">
        <v>789</v>
      </c>
      <c r="F17" s="330" t="s">
        <v>464</v>
      </c>
      <c r="G17" s="344"/>
      <c r="H17" s="639"/>
      <c r="I17" s="640">
        <v>0</v>
      </c>
      <c r="J17" s="640">
        <v>0</v>
      </c>
      <c r="K17" s="640">
        <v>0</v>
      </c>
      <c r="L17" s="641">
        <v>0</v>
      </c>
      <c r="M17" s="639"/>
      <c r="N17" s="338"/>
      <c r="O17" s="338"/>
      <c r="P17" s="338"/>
      <c r="Q17" s="338"/>
      <c r="R17" s="642"/>
      <c r="S17" s="643">
        <f t="shared" si="6"/>
        <v>0</v>
      </c>
      <c r="T17" s="643">
        <f t="shared" si="6"/>
        <v>0</v>
      </c>
      <c r="U17" s="643">
        <f t="shared" si="6"/>
        <v>0</v>
      </c>
      <c r="V17" s="643">
        <f t="shared" si="6"/>
        <v>0</v>
      </c>
      <c r="W17" s="684">
        <f t="shared" si="6"/>
        <v>0</v>
      </c>
      <c r="X17" s="346"/>
      <c r="Y17" s="346"/>
      <c r="Z17" s="469"/>
    </row>
    <row r="18" spans="1:26" s="325" customFormat="1" ht="11.25" customHeight="1" x14ac:dyDescent="0.2">
      <c r="A18" s="328" t="s">
        <v>378</v>
      </c>
      <c r="B18" s="329" t="s">
        <v>424</v>
      </c>
      <c r="C18" s="329" t="s">
        <v>27</v>
      </c>
      <c r="D18" s="329" t="s">
        <v>362</v>
      </c>
      <c r="E18" s="329" t="s">
        <v>29</v>
      </c>
      <c r="F18" s="330" t="s">
        <v>466</v>
      </c>
      <c r="G18" s="344" t="s">
        <v>1265</v>
      </c>
      <c r="H18" s="645">
        <v>26</v>
      </c>
      <c r="I18" s="646">
        <v>26</v>
      </c>
      <c r="J18" s="646"/>
      <c r="K18" s="646"/>
      <c r="L18" s="647"/>
      <c r="M18" s="639"/>
      <c r="N18" s="338"/>
      <c r="O18" s="338"/>
      <c r="P18" s="338"/>
      <c r="Q18" s="338"/>
      <c r="R18" s="642"/>
      <c r="S18" s="643">
        <f t="shared" si="6"/>
        <v>26</v>
      </c>
      <c r="T18" s="643">
        <f t="shared" si="6"/>
        <v>26</v>
      </c>
      <c r="U18" s="643">
        <f t="shared" si="6"/>
        <v>0</v>
      </c>
      <c r="V18" s="643">
        <f t="shared" si="6"/>
        <v>0</v>
      </c>
      <c r="W18" s="684">
        <f t="shared" si="6"/>
        <v>0</v>
      </c>
      <c r="X18" s="346"/>
      <c r="Y18" s="346"/>
      <c r="Z18" s="469"/>
    </row>
    <row r="19" spans="1:26" s="325" customFormat="1" ht="11.25" customHeight="1" x14ac:dyDescent="0.2">
      <c r="A19" s="328" t="s">
        <v>378</v>
      </c>
      <c r="B19" s="329" t="s">
        <v>1305</v>
      </c>
      <c r="C19" s="329" t="s">
        <v>27</v>
      </c>
      <c r="D19" s="329" t="s">
        <v>874</v>
      </c>
      <c r="E19" s="329" t="s">
        <v>875</v>
      </c>
      <c r="F19" s="330" t="s">
        <v>464</v>
      </c>
      <c r="G19" s="463"/>
      <c r="H19" s="645"/>
      <c r="I19" s="646"/>
      <c r="J19" s="646"/>
      <c r="K19" s="646"/>
      <c r="L19" s="647"/>
      <c r="M19" s="639"/>
      <c r="N19" s="338"/>
      <c r="O19" s="338"/>
      <c r="P19" s="338"/>
      <c r="Q19" s="338"/>
      <c r="R19" s="642"/>
      <c r="S19" s="643">
        <f t="shared" si="6"/>
        <v>0</v>
      </c>
      <c r="T19" s="643">
        <f t="shared" si="6"/>
        <v>0</v>
      </c>
      <c r="U19" s="643">
        <f t="shared" si="6"/>
        <v>0</v>
      </c>
      <c r="V19" s="643">
        <f t="shared" si="6"/>
        <v>0</v>
      </c>
      <c r="W19" s="684">
        <f t="shared" si="6"/>
        <v>0</v>
      </c>
      <c r="X19" s="346"/>
      <c r="Y19" s="346"/>
      <c r="Z19" s="469"/>
    </row>
    <row r="20" spans="1:26" s="325" customFormat="1" ht="11.25" customHeight="1" x14ac:dyDescent="0.2">
      <c r="A20" s="331" t="s">
        <v>3</v>
      </c>
      <c r="B20" s="332"/>
      <c r="C20" s="332"/>
      <c r="D20" s="333"/>
      <c r="E20" s="334"/>
      <c r="F20" s="335"/>
      <c r="G20" s="472"/>
      <c r="H20" s="336">
        <f t="shared" ref="H20:Y20" si="7">SUM(H15:H19)</f>
        <v>116</v>
      </c>
      <c r="I20" s="336">
        <f t="shared" si="7"/>
        <v>116</v>
      </c>
      <c r="J20" s="336">
        <f t="shared" si="7"/>
        <v>40</v>
      </c>
      <c r="K20" s="336">
        <f t="shared" si="7"/>
        <v>90</v>
      </c>
      <c r="L20" s="336">
        <f t="shared" si="7"/>
        <v>1</v>
      </c>
      <c r="M20" s="336">
        <f t="shared" si="7"/>
        <v>70</v>
      </c>
      <c r="N20" s="336">
        <f t="shared" si="7"/>
        <v>70</v>
      </c>
      <c r="O20" s="336">
        <f t="shared" si="7"/>
        <v>26</v>
      </c>
      <c r="P20" s="336">
        <f t="shared" si="7"/>
        <v>55</v>
      </c>
      <c r="Q20" s="336">
        <f t="shared" si="7"/>
        <v>0</v>
      </c>
      <c r="R20" s="336">
        <f t="shared" si="7"/>
        <v>0</v>
      </c>
      <c r="S20" s="336">
        <f t="shared" si="7"/>
        <v>46</v>
      </c>
      <c r="T20" s="336">
        <f t="shared" si="7"/>
        <v>46</v>
      </c>
      <c r="U20" s="336">
        <f t="shared" si="7"/>
        <v>14</v>
      </c>
      <c r="V20" s="336">
        <f t="shared" si="7"/>
        <v>35</v>
      </c>
      <c r="W20" s="336">
        <f t="shared" si="7"/>
        <v>1</v>
      </c>
      <c r="X20" s="336">
        <f t="shared" si="7"/>
        <v>0</v>
      </c>
      <c r="Y20" s="336">
        <f t="shared" si="7"/>
        <v>0</v>
      </c>
      <c r="Z20" s="469"/>
    </row>
    <row r="21" spans="1:26" s="325" customFormat="1" ht="11.25" customHeight="1" x14ac:dyDescent="0.2">
      <c r="A21" s="328" t="s">
        <v>378</v>
      </c>
      <c r="B21" s="329" t="s">
        <v>424</v>
      </c>
      <c r="C21" s="329" t="s">
        <v>480</v>
      </c>
      <c r="D21" s="338" t="s">
        <v>1276</v>
      </c>
      <c r="E21" s="329" t="s">
        <v>1267</v>
      </c>
      <c r="F21" s="330" t="s">
        <v>464</v>
      </c>
      <c r="G21" s="344" t="s">
        <v>1304</v>
      </c>
      <c r="H21" s="639"/>
      <c r="I21" s="640"/>
      <c r="J21" s="640"/>
      <c r="K21" s="338"/>
      <c r="L21" s="641"/>
      <c r="M21" s="639"/>
      <c r="N21" s="338"/>
      <c r="O21" s="338"/>
      <c r="P21" s="338"/>
      <c r="Q21" s="338"/>
      <c r="R21" s="642"/>
      <c r="S21" s="643">
        <f t="shared" ref="S21:S39" si="8">H21-M21</f>
        <v>0</v>
      </c>
      <c r="T21" s="643">
        <f t="shared" ref="T21:T39" si="9">I21-N21</f>
        <v>0</v>
      </c>
      <c r="U21" s="643">
        <f t="shared" ref="U21:U38" si="10">J21-O21</f>
        <v>0</v>
      </c>
      <c r="V21" s="643">
        <f t="shared" ref="V21:V38" si="11">K21-P21</f>
        <v>0</v>
      </c>
      <c r="W21" s="684">
        <f t="shared" ref="W21:W38" si="12">L21-Q21</f>
        <v>0</v>
      </c>
      <c r="X21" s="346"/>
      <c r="Y21" s="346"/>
      <c r="Z21" s="469"/>
    </row>
    <row r="22" spans="1:26" s="325" customFormat="1" ht="11.25" customHeight="1" x14ac:dyDescent="0.2">
      <c r="A22" s="328" t="s">
        <v>378</v>
      </c>
      <c r="B22" s="329" t="s">
        <v>462</v>
      </c>
      <c r="C22" s="329" t="s">
        <v>480</v>
      </c>
      <c r="D22" s="338" t="s">
        <v>41</v>
      </c>
      <c r="E22" s="329" t="s">
        <v>40</v>
      </c>
      <c r="F22" s="330" t="s">
        <v>464</v>
      </c>
      <c r="G22" s="465"/>
      <c r="H22" s="639">
        <v>5</v>
      </c>
      <c r="I22" s="640">
        <v>5</v>
      </c>
      <c r="J22" s="640">
        <v>10</v>
      </c>
      <c r="K22" s="338">
        <v>20</v>
      </c>
      <c r="L22" s="641">
        <v>0</v>
      </c>
      <c r="M22" s="639"/>
      <c r="N22" s="338"/>
      <c r="O22" s="329">
        <v>10</v>
      </c>
      <c r="P22" s="329">
        <v>15</v>
      </c>
      <c r="Q22" s="338"/>
      <c r="R22" s="642" t="s">
        <v>1598</v>
      </c>
      <c r="S22" s="643">
        <f t="shared" si="8"/>
        <v>5</v>
      </c>
      <c r="T22" s="643">
        <f t="shared" si="9"/>
        <v>5</v>
      </c>
      <c r="U22" s="643">
        <f t="shared" si="10"/>
        <v>0</v>
      </c>
      <c r="V22" s="643">
        <f t="shared" si="11"/>
        <v>5</v>
      </c>
      <c r="W22" s="684">
        <f t="shared" si="12"/>
        <v>0</v>
      </c>
      <c r="X22" s="346"/>
      <c r="Y22" s="346"/>
      <c r="Z22" s="469"/>
    </row>
    <row r="23" spans="1:26" s="325" customFormat="1" ht="11.25" customHeight="1" x14ac:dyDescent="0.2">
      <c r="A23" s="328" t="s">
        <v>378</v>
      </c>
      <c r="B23" s="329" t="s">
        <v>462</v>
      </c>
      <c r="C23" s="329" t="s">
        <v>480</v>
      </c>
      <c r="D23" s="338" t="s">
        <v>72</v>
      </c>
      <c r="E23" s="329" t="s">
        <v>71</v>
      </c>
      <c r="F23" s="330" t="s">
        <v>464</v>
      </c>
      <c r="G23" s="344"/>
      <c r="H23" s="639">
        <v>0</v>
      </c>
      <c r="I23" s="338">
        <v>0</v>
      </c>
      <c r="J23" s="338"/>
      <c r="K23" s="329">
        <v>2</v>
      </c>
      <c r="L23" s="642"/>
      <c r="M23" s="639"/>
      <c r="N23" s="338"/>
      <c r="O23" s="329"/>
      <c r="P23" s="329">
        <v>2</v>
      </c>
      <c r="Q23" s="338"/>
      <c r="R23" s="642" t="s">
        <v>1598</v>
      </c>
      <c r="S23" s="643">
        <f t="shared" si="8"/>
        <v>0</v>
      </c>
      <c r="T23" s="643">
        <f t="shared" si="9"/>
        <v>0</v>
      </c>
      <c r="U23" s="643">
        <f t="shared" si="10"/>
        <v>0</v>
      </c>
      <c r="V23" s="643">
        <f t="shared" si="11"/>
        <v>0</v>
      </c>
      <c r="W23" s="684">
        <f t="shared" si="12"/>
        <v>0</v>
      </c>
      <c r="X23" s="346"/>
      <c r="Y23" s="346"/>
      <c r="Z23" s="469"/>
    </row>
    <row r="24" spans="1:26" s="325" customFormat="1" ht="11.25" customHeight="1" x14ac:dyDescent="0.2">
      <c r="A24" s="328" t="s">
        <v>378</v>
      </c>
      <c r="B24" s="329" t="s">
        <v>462</v>
      </c>
      <c r="C24" s="329" t="s">
        <v>480</v>
      </c>
      <c r="D24" s="338" t="s">
        <v>43</v>
      </c>
      <c r="E24" s="329" t="s">
        <v>42</v>
      </c>
      <c r="F24" s="330" t="s">
        <v>464</v>
      </c>
      <c r="G24" s="465"/>
      <c r="H24" s="639"/>
      <c r="I24" s="338"/>
      <c r="J24" s="338"/>
      <c r="K24" s="338">
        <v>10</v>
      </c>
      <c r="L24" s="642"/>
      <c r="M24" s="639"/>
      <c r="N24" s="338"/>
      <c r="O24" s="329"/>
      <c r="P24" s="329">
        <v>5</v>
      </c>
      <c r="Q24" s="338"/>
      <c r="R24" s="642" t="s">
        <v>1757</v>
      </c>
      <c r="S24" s="643">
        <f t="shared" si="8"/>
        <v>0</v>
      </c>
      <c r="T24" s="643">
        <f t="shared" si="9"/>
        <v>0</v>
      </c>
      <c r="U24" s="643">
        <f t="shared" si="10"/>
        <v>0</v>
      </c>
      <c r="V24" s="643">
        <f t="shared" si="11"/>
        <v>5</v>
      </c>
      <c r="W24" s="684">
        <f t="shared" si="12"/>
        <v>0</v>
      </c>
      <c r="X24" s="346"/>
      <c r="Y24" s="346"/>
      <c r="Z24" s="469"/>
    </row>
    <row r="25" spans="1:26" s="325" customFormat="1" ht="11.25" customHeight="1" x14ac:dyDescent="0.2">
      <c r="A25" s="328" t="s">
        <v>378</v>
      </c>
      <c r="B25" s="329" t="s">
        <v>462</v>
      </c>
      <c r="C25" s="339" t="s">
        <v>480</v>
      </c>
      <c r="D25" s="521" t="s">
        <v>1306</v>
      </c>
      <c r="E25" s="339" t="s">
        <v>75</v>
      </c>
      <c r="F25" s="343" t="s">
        <v>464</v>
      </c>
      <c r="G25" s="345"/>
      <c r="H25" s="639">
        <v>5</v>
      </c>
      <c r="I25" s="338">
        <v>5</v>
      </c>
      <c r="J25" s="338">
        <v>21</v>
      </c>
      <c r="K25" s="338">
        <v>30</v>
      </c>
      <c r="L25" s="642">
        <v>0</v>
      </c>
      <c r="M25" s="328">
        <v>5</v>
      </c>
      <c r="N25" s="338"/>
      <c r="O25" s="329">
        <v>10</v>
      </c>
      <c r="P25" s="329">
        <v>20</v>
      </c>
      <c r="Q25" s="338"/>
      <c r="R25" s="642" t="s">
        <v>1598</v>
      </c>
      <c r="S25" s="643">
        <f t="shared" si="8"/>
        <v>0</v>
      </c>
      <c r="T25" s="643">
        <f t="shared" si="9"/>
        <v>5</v>
      </c>
      <c r="U25" s="643">
        <f t="shared" si="10"/>
        <v>11</v>
      </c>
      <c r="V25" s="643">
        <f t="shared" si="11"/>
        <v>10</v>
      </c>
      <c r="W25" s="684">
        <f t="shared" si="12"/>
        <v>0</v>
      </c>
      <c r="X25" s="346"/>
      <c r="Y25" s="346"/>
      <c r="Z25" s="469"/>
    </row>
    <row r="26" spans="1:26" s="325" customFormat="1" ht="11.25" customHeight="1" x14ac:dyDescent="0.2">
      <c r="A26" s="328" t="s">
        <v>378</v>
      </c>
      <c r="B26" s="329" t="s">
        <v>462</v>
      </c>
      <c r="C26" s="329" t="s">
        <v>480</v>
      </c>
      <c r="D26" s="338" t="s">
        <v>44</v>
      </c>
      <c r="E26" s="329" t="s">
        <v>45</v>
      </c>
      <c r="F26" s="330" t="s">
        <v>464</v>
      </c>
      <c r="G26" s="465"/>
      <c r="H26" s="639">
        <v>0</v>
      </c>
      <c r="I26" s="338">
        <v>0</v>
      </c>
      <c r="J26" s="338"/>
      <c r="K26" s="338"/>
      <c r="L26" s="642">
        <v>0</v>
      </c>
      <c r="M26" s="639"/>
      <c r="N26" s="338"/>
      <c r="O26" s="329"/>
      <c r="P26" s="329"/>
      <c r="Q26" s="338"/>
      <c r="R26" s="642"/>
      <c r="S26" s="643">
        <f t="shared" si="8"/>
        <v>0</v>
      </c>
      <c r="T26" s="643">
        <f t="shared" si="9"/>
        <v>0</v>
      </c>
      <c r="U26" s="643">
        <f t="shared" si="10"/>
        <v>0</v>
      </c>
      <c r="V26" s="643">
        <f t="shared" si="11"/>
        <v>0</v>
      </c>
      <c r="W26" s="684">
        <f t="shared" si="12"/>
        <v>0</v>
      </c>
      <c r="X26" s="346"/>
      <c r="Y26" s="346"/>
      <c r="Z26" s="469"/>
    </row>
    <row r="27" spans="1:26" s="325" customFormat="1" ht="11.25" customHeight="1" x14ac:dyDescent="0.2">
      <c r="A27" s="328" t="s">
        <v>378</v>
      </c>
      <c r="B27" s="329" t="s">
        <v>424</v>
      </c>
      <c r="C27" s="329" t="s">
        <v>480</v>
      </c>
      <c r="D27" s="338" t="s">
        <v>52</v>
      </c>
      <c r="E27" s="329" t="s">
        <v>51</v>
      </c>
      <c r="F27" s="330" t="s">
        <v>464</v>
      </c>
      <c r="G27" s="465" t="s">
        <v>1304</v>
      </c>
      <c r="H27" s="639"/>
      <c r="I27" s="338"/>
      <c r="J27" s="338"/>
      <c r="K27" s="338"/>
      <c r="L27" s="642"/>
      <c r="M27" s="639">
        <v>0</v>
      </c>
      <c r="N27" s="338">
        <v>0</v>
      </c>
      <c r="O27" s="329">
        <v>0</v>
      </c>
      <c r="P27" s="329">
        <v>0</v>
      </c>
      <c r="Q27" s="338">
        <v>0</v>
      </c>
      <c r="R27" s="642"/>
      <c r="S27" s="643">
        <f t="shared" si="8"/>
        <v>0</v>
      </c>
      <c r="T27" s="643">
        <f t="shared" si="9"/>
        <v>0</v>
      </c>
      <c r="U27" s="643">
        <f t="shared" si="10"/>
        <v>0</v>
      </c>
      <c r="V27" s="643">
        <f t="shared" si="11"/>
        <v>0</v>
      </c>
      <c r="W27" s="684">
        <f t="shared" si="12"/>
        <v>0</v>
      </c>
      <c r="X27" s="346"/>
      <c r="Y27" s="346"/>
      <c r="Z27" s="469"/>
    </row>
    <row r="28" spans="1:26" s="325" customFormat="1" ht="11.25" customHeight="1" x14ac:dyDescent="0.2">
      <c r="A28" s="328" t="s">
        <v>378</v>
      </c>
      <c r="B28" s="329" t="s">
        <v>462</v>
      </c>
      <c r="C28" s="329" t="s">
        <v>480</v>
      </c>
      <c r="D28" s="338" t="s">
        <v>1307</v>
      </c>
      <c r="E28" s="329" t="s">
        <v>89</v>
      </c>
      <c r="F28" s="330" t="s">
        <v>464</v>
      </c>
      <c r="G28" s="465"/>
      <c r="H28" s="639">
        <v>0</v>
      </c>
      <c r="I28" s="338">
        <v>0</v>
      </c>
      <c r="J28" s="338">
        <v>15</v>
      </c>
      <c r="K28" s="338">
        <v>10</v>
      </c>
      <c r="L28" s="642">
        <v>0</v>
      </c>
      <c r="M28" s="639"/>
      <c r="N28" s="338"/>
      <c r="O28" s="338">
        <v>5</v>
      </c>
      <c r="P28" s="338">
        <v>5</v>
      </c>
      <c r="Q28" s="338"/>
      <c r="R28" s="642" t="s">
        <v>1757</v>
      </c>
      <c r="S28" s="643">
        <f t="shared" si="8"/>
        <v>0</v>
      </c>
      <c r="T28" s="643">
        <f t="shared" si="9"/>
        <v>0</v>
      </c>
      <c r="U28" s="643">
        <f t="shared" si="10"/>
        <v>10</v>
      </c>
      <c r="V28" s="643">
        <f t="shared" si="11"/>
        <v>5</v>
      </c>
      <c r="W28" s="684">
        <f t="shared" si="12"/>
        <v>0</v>
      </c>
      <c r="X28" s="346"/>
      <c r="Y28" s="346"/>
      <c r="Z28" s="469"/>
    </row>
    <row r="29" spans="1:26" s="325" customFormat="1" ht="11.25" customHeight="1" x14ac:dyDescent="0.2">
      <c r="A29" s="328" t="s">
        <v>378</v>
      </c>
      <c r="B29" s="329" t="s">
        <v>462</v>
      </c>
      <c r="C29" s="329" t="s">
        <v>480</v>
      </c>
      <c r="D29" s="338" t="s">
        <v>92</v>
      </c>
      <c r="E29" s="329" t="s">
        <v>91</v>
      </c>
      <c r="F29" s="330" t="s">
        <v>464</v>
      </c>
      <c r="G29" s="344"/>
      <c r="H29" s="639"/>
      <c r="I29" s="338"/>
      <c r="J29" s="338">
        <v>10</v>
      </c>
      <c r="K29" s="338">
        <v>10</v>
      </c>
      <c r="L29" s="642"/>
      <c r="M29" s="639"/>
      <c r="N29" s="338"/>
      <c r="O29" s="338"/>
      <c r="P29" s="338"/>
      <c r="Q29" s="338"/>
      <c r="R29" s="642"/>
      <c r="S29" s="643">
        <f t="shared" si="8"/>
        <v>0</v>
      </c>
      <c r="T29" s="643">
        <f t="shared" si="9"/>
        <v>0</v>
      </c>
      <c r="U29" s="643">
        <f t="shared" si="10"/>
        <v>10</v>
      </c>
      <c r="V29" s="643">
        <f t="shared" si="11"/>
        <v>10</v>
      </c>
      <c r="W29" s="684">
        <f t="shared" si="12"/>
        <v>0</v>
      </c>
      <c r="X29" s="346"/>
      <c r="Y29" s="346"/>
      <c r="Z29" s="469"/>
    </row>
    <row r="30" spans="1:26" s="325" customFormat="1" ht="11.25" customHeight="1" x14ac:dyDescent="0.2">
      <c r="A30" s="328" t="s">
        <v>378</v>
      </c>
      <c r="B30" s="329" t="s">
        <v>462</v>
      </c>
      <c r="C30" s="329" t="s">
        <v>480</v>
      </c>
      <c r="D30" s="338" t="s">
        <v>100</v>
      </c>
      <c r="E30" s="329" t="s">
        <v>99</v>
      </c>
      <c r="F30" s="330" t="s">
        <v>464</v>
      </c>
      <c r="G30" s="465"/>
      <c r="H30" s="639"/>
      <c r="I30" s="338"/>
      <c r="J30" s="338">
        <v>0</v>
      </c>
      <c r="K30" s="338">
        <v>4</v>
      </c>
      <c r="L30" s="642">
        <v>0</v>
      </c>
      <c r="M30" s="639"/>
      <c r="N30" s="338"/>
      <c r="O30" s="338"/>
      <c r="P30" s="338"/>
      <c r="Q30" s="338"/>
      <c r="R30" s="642"/>
      <c r="S30" s="643">
        <f t="shared" si="8"/>
        <v>0</v>
      </c>
      <c r="T30" s="643">
        <f t="shared" si="9"/>
        <v>0</v>
      </c>
      <c r="U30" s="643">
        <f t="shared" si="10"/>
        <v>0</v>
      </c>
      <c r="V30" s="643">
        <f t="shared" si="11"/>
        <v>4</v>
      </c>
      <c r="W30" s="684">
        <f t="shared" si="12"/>
        <v>0</v>
      </c>
      <c r="X30" s="346"/>
      <c r="Y30" s="346"/>
      <c r="Z30" s="469"/>
    </row>
    <row r="31" spans="1:26" s="325" customFormat="1" ht="11.25" customHeight="1" x14ac:dyDescent="0.2">
      <c r="A31" s="328" t="s">
        <v>378</v>
      </c>
      <c r="B31" s="329" t="s">
        <v>462</v>
      </c>
      <c r="C31" s="329" t="s">
        <v>480</v>
      </c>
      <c r="D31" s="338" t="s">
        <v>551</v>
      </c>
      <c r="E31" s="329" t="s">
        <v>46</v>
      </c>
      <c r="F31" s="330" t="s">
        <v>464</v>
      </c>
      <c r="G31" s="344"/>
      <c r="H31" s="639">
        <v>0</v>
      </c>
      <c r="I31" s="338">
        <v>0</v>
      </c>
      <c r="J31" s="338">
        <v>0</v>
      </c>
      <c r="K31" s="338">
        <v>10</v>
      </c>
      <c r="L31" s="642">
        <v>0</v>
      </c>
      <c r="M31" s="639"/>
      <c r="N31" s="338"/>
      <c r="O31" s="338"/>
      <c r="P31" s="338">
        <v>3</v>
      </c>
      <c r="Q31" s="338"/>
      <c r="R31" s="642" t="s">
        <v>1757</v>
      </c>
      <c r="S31" s="643">
        <f t="shared" si="8"/>
        <v>0</v>
      </c>
      <c r="T31" s="643">
        <f t="shared" si="9"/>
        <v>0</v>
      </c>
      <c r="U31" s="643">
        <f t="shared" si="10"/>
        <v>0</v>
      </c>
      <c r="V31" s="643">
        <f t="shared" si="11"/>
        <v>7</v>
      </c>
      <c r="W31" s="684">
        <f t="shared" si="12"/>
        <v>0</v>
      </c>
      <c r="X31" s="346"/>
      <c r="Y31" s="346"/>
      <c r="Z31" s="469"/>
    </row>
    <row r="32" spans="1:26" s="325" customFormat="1" ht="11.25" customHeight="1" x14ac:dyDescent="0.2">
      <c r="A32" s="328" t="s">
        <v>378</v>
      </c>
      <c r="B32" s="329" t="s">
        <v>1305</v>
      </c>
      <c r="C32" s="329" t="s">
        <v>480</v>
      </c>
      <c r="D32" s="338" t="s">
        <v>1308</v>
      </c>
      <c r="E32" s="329" t="s">
        <v>107</v>
      </c>
      <c r="F32" s="330" t="s">
        <v>464</v>
      </c>
      <c r="G32" s="345"/>
      <c r="H32" s="726"/>
      <c r="I32" s="338">
        <v>53</v>
      </c>
      <c r="J32" s="640">
        <v>26</v>
      </c>
      <c r="K32" s="640">
        <v>0</v>
      </c>
      <c r="L32" s="641"/>
      <c r="M32" s="639"/>
      <c r="N32" s="338">
        <v>53</v>
      </c>
      <c r="O32" s="338">
        <v>26</v>
      </c>
      <c r="P32" s="338"/>
      <c r="Q32" s="338"/>
      <c r="R32" s="642" t="s">
        <v>1561</v>
      </c>
      <c r="S32" s="643">
        <f t="shared" si="8"/>
        <v>0</v>
      </c>
      <c r="T32" s="643">
        <f t="shared" si="9"/>
        <v>0</v>
      </c>
      <c r="U32" s="643">
        <f t="shared" si="10"/>
        <v>0</v>
      </c>
      <c r="V32" s="643">
        <f t="shared" si="11"/>
        <v>0</v>
      </c>
      <c r="W32" s="684">
        <f t="shared" si="12"/>
        <v>0</v>
      </c>
      <c r="X32" s="346"/>
      <c r="Y32" s="346"/>
      <c r="Z32" s="469"/>
    </row>
    <row r="33" spans="1:26" s="325" customFormat="1" ht="11.25" customHeight="1" x14ac:dyDescent="0.2">
      <c r="A33" s="328" t="s">
        <v>378</v>
      </c>
      <c r="B33" s="329" t="s">
        <v>462</v>
      </c>
      <c r="C33" s="329" t="s">
        <v>480</v>
      </c>
      <c r="D33" s="338" t="s">
        <v>1309</v>
      </c>
      <c r="E33" s="329" t="s">
        <v>117</v>
      </c>
      <c r="F33" s="330" t="s">
        <v>464</v>
      </c>
      <c r="G33" s="344"/>
      <c r="H33" s="639">
        <v>0</v>
      </c>
      <c r="I33" s="338">
        <v>0</v>
      </c>
      <c r="J33" s="338">
        <v>0</v>
      </c>
      <c r="K33" s="338">
        <v>5</v>
      </c>
      <c r="L33" s="642">
        <v>0</v>
      </c>
      <c r="M33" s="639"/>
      <c r="N33" s="338"/>
      <c r="O33" s="338"/>
      <c r="P33" s="329">
        <v>4</v>
      </c>
      <c r="Q33" s="338"/>
      <c r="R33" s="642" t="s">
        <v>1598</v>
      </c>
      <c r="S33" s="643">
        <f t="shared" si="8"/>
        <v>0</v>
      </c>
      <c r="T33" s="643">
        <f t="shared" si="9"/>
        <v>0</v>
      </c>
      <c r="U33" s="643">
        <f t="shared" si="10"/>
        <v>0</v>
      </c>
      <c r="V33" s="643">
        <f t="shared" si="11"/>
        <v>1</v>
      </c>
      <c r="W33" s="684">
        <f t="shared" si="12"/>
        <v>0</v>
      </c>
      <c r="X33" s="346"/>
      <c r="Y33" s="346"/>
      <c r="Z33" s="469"/>
    </row>
    <row r="34" spans="1:26" s="341" customFormat="1" ht="11.25" customHeight="1" x14ac:dyDescent="0.2">
      <c r="A34" s="328" t="s">
        <v>378</v>
      </c>
      <c r="B34" s="329"/>
      <c r="C34" s="338" t="s">
        <v>480</v>
      </c>
      <c r="D34" s="338" t="s">
        <v>1156</v>
      </c>
      <c r="E34" s="329" t="s">
        <v>1162</v>
      </c>
      <c r="F34" s="340" t="s">
        <v>464</v>
      </c>
      <c r="G34" s="345"/>
      <c r="H34" s="644"/>
      <c r="I34" s="640"/>
      <c r="J34" s="640">
        <v>0</v>
      </c>
      <c r="K34" s="640">
        <v>0</v>
      </c>
      <c r="L34" s="641">
        <v>0</v>
      </c>
      <c r="M34" s="639"/>
      <c r="N34" s="338"/>
      <c r="O34" s="338"/>
      <c r="P34" s="338"/>
      <c r="Q34" s="338"/>
      <c r="R34" s="642"/>
      <c r="S34" s="643">
        <f t="shared" si="8"/>
        <v>0</v>
      </c>
      <c r="T34" s="643">
        <f t="shared" si="9"/>
        <v>0</v>
      </c>
      <c r="U34" s="643">
        <f t="shared" si="10"/>
        <v>0</v>
      </c>
      <c r="V34" s="643">
        <f t="shared" si="11"/>
        <v>0</v>
      </c>
      <c r="W34" s="684">
        <f t="shared" si="12"/>
        <v>0</v>
      </c>
      <c r="X34" s="346"/>
      <c r="Y34" s="346"/>
      <c r="Z34" s="686"/>
    </row>
    <row r="35" spans="1:26" s="325" customFormat="1" ht="11.25" customHeight="1" x14ac:dyDescent="0.2">
      <c r="A35" s="328" t="s">
        <v>378</v>
      </c>
      <c r="B35" s="329" t="s">
        <v>424</v>
      </c>
      <c r="C35" s="329" t="s">
        <v>480</v>
      </c>
      <c r="D35" s="338" t="s">
        <v>1310</v>
      </c>
      <c r="E35" s="329" t="s">
        <v>125</v>
      </c>
      <c r="F35" s="330" t="s">
        <v>464</v>
      </c>
      <c r="G35" s="466" t="s">
        <v>1304</v>
      </c>
      <c r="H35" s="644"/>
      <c r="I35" s="338"/>
      <c r="J35" s="640">
        <v>0</v>
      </c>
      <c r="K35" s="640">
        <v>0</v>
      </c>
      <c r="L35" s="641">
        <v>0</v>
      </c>
      <c r="M35" s="639"/>
      <c r="N35" s="338"/>
      <c r="O35" s="338"/>
      <c r="P35" s="338"/>
      <c r="Q35" s="338"/>
      <c r="R35" s="642"/>
      <c r="S35" s="643">
        <f t="shared" si="8"/>
        <v>0</v>
      </c>
      <c r="T35" s="643">
        <f t="shared" si="9"/>
        <v>0</v>
      </c>
      <c r="U35" s="643">
        <f t="shared" si="10"/>
        <v>0</v>
      </c>
      <c r="V35" s="643">
        <f t="shared" si="11"/>
        <v>0</v>
      </c>
      <c r="W35" s="684">
        <f t="shared" si="12"/>
        <v>0</v>
      </c>
      <c r="X35" s="346"/>
      <c r="Y35" s="346"/>
      <c r="Z35" s="469"/>
    </row>
    <row r="36" spans="1:26" s="325" customFormat="1" ht="11.25" customHeight="1" x14ac:dyDescent="0.2">
      <c r="A36" s="328" t="s">
        <v>378</v>
      </c>
      <c r="B36" s="329" t="s">
        <v>424</v>
      </c>
      <c r="C36" s="329" t="s">
        <v>480</v>
      </c>
      <c r="D36" s="338" t="s">
        <v>1311</v>
      </c>
      <c r="E36" s="329" t="s">
        <v>139</v>
      </c>
      <c r="F36" s="330" t="s">
        <v>464</v>
      </c>
      <c r="G36" s="466" t="s">
        <v>1304</v>
      </c>
      <c r="H36" s="644">
        <v>8</v>
      </c>
      <c r="I36" s="338">
        <v>8</v>
      </c>
      <c r="J36" s="640"/>
      <c r="K36" s="640">
        <v>0</v>
      </c>
      <c r="L36" s="641">
        <v>0</v>
      </c>
      <c r="M36" s="639"/>
      <c r="N36" s="338"/>
      <c r="O36" s="338"/>
      <c r="P36" s="338"/>
      <c r="Q36" s="338"/>
      <c r="R36" s="642"/>
      <c r="S36" s="643">
        <f t="shared" si="8"/>
        <v>8</v>
      </c>
      <c r="T36" s="643">
        <f t="shared" si="9"/>
        <v>8</v>
      </c>
      <c r="U36" s="643">
        <f t="shared" si="10"/>
        <v>0</v>
      </c>
      <c r="V36" s="643">
        <f t="shared" si="11"/>
        <v>0</v>
      </c>
      <c r="W36" s="684">
        <f t="shared" si="12"/>
        <v>0</v>
      </c>
      <c r="X36" s="346"/>
      <c r="Y36" s="346"/>
      <c r="Z36" s="469" t="s">
        <v>1302</v>
      </c>
    </row>
    <row r="37" spans="1:26" s="325" customFormat="1" ht="11.25" customHeight="1" x14ac:dyDescent="0.2">
      <c r="A37" s="328" t="s">
        <v>378</v>
      </c>
      <c r="B37" s="329" t="s">
        <v>424</v>
      </c>
      <c r="C37" s="329" t="s">
        <v>480</v>
      </c>
      <c r="D37" s="338" t="s">
        <v>914</v>
      </c>
      <c r="E37" s="329" t="s">
        <v>915</v>
      </c>
      <c r="F37" s="330" t="s">
        <v>464</v>
      </c>
      <c r="G37" s="344" t="s">
        <v>1304</v>
      </c>
      <c r="H37" s="644"/>
      <c r="I37" s="640"/>
      <c r="J37" s="640"/>
      <c r="K37" s="640">
        <v>20</v>
      </c>
      <c r="L37" s="641"/>
      <c r="M37" s="639"/>
      <c r="N37" s="338"/>
      <c r="O37" s="338"/>
      <c r="P37" s="338"/>
      <c r="Q37" s="338"/>
      <c r="R37" s="642"/>
      <c r="S37" s="643">
        <f t="shared" si="8"/>
        <v>0</v>
      </c>
      <c r="T37" s="643">
        <f t="shared" si="9"/>
        <v>0</v>
      </c>
      <c r="U37" s="643">
        <f t="shared" si="10"/>
        <v>0</v>
      </c>
      <c r="V37" s="643">
        <f t="shared" si="11"/>
        <v>20</v>
      </c>
      <c r="W37" s="684">
        <f t="shared" si="12"/>
        <v>0</v>
      </c>
      <c r="X37" s="346"/>
      <c r="Y37" s="346"/>
      <c r="Z37" s="469"/>
    </row>
    <row r="38" spans="1:26" s="325" customFormat="1" ht="11.25" customHeight="1" x14ac:dyDescent="0.2">
      <c r="A38" s="328" t="s">
        <v>378</v>
      </c>
      <c r="B38" s="329" t="s">
        <v>1305</v>
      </c>
      <c r="C38" s="329" t="s">
        <v>480</v>
      </c>
      <c r="D38" s="338" t="s">
        <v>1312</v>
      </c>
      <c r="E38" s="329" t="s">
        <v>119</v>
      </c>
      <c r="F38" s="330" t="s">
        <v>464</v>
      </c>
      <c r="G38" s="344" t="s">
        <v>1304</v>
      </c>
      <c r="H38" s="639">
        <v>68</v>
      </c>
      <c r="I38" s="338">
        <v>68</v>
      </c>
      <c r="J38" s="640"/>
      <c r="K38" s="640">
        <v>72</v>
      </c>
      <c r="L38" s="641">
        <v>0</v>
      </c>
      <c r="M38" s="639">
        <v>53</v>
      </c>
      <c r="N38" s="338">
        <v>53</v>
      </c>
      <c r="O38" s="338"/>
      <c r="P38" s="744"/>
      <c r="Q38" s="338"/>
      <c r="R38" s="642" t="s">
        <v>1781</v>
      </c>
      <c r="S38" s="643">
        <f t="shared" si="8"/>
        <v>15</v>
      </c>
      <c r="T38" s="643">
        <f t="shared" si="9"/>
        <v>15</v>
      </c>
      <c r="U38" s="643">
        <f t="shared" si="10"/>
        <v>0</v>
      </c>
      <c r="V38" s="643">
        <f t="shared" si="11"/>
        <v>72</v>
      </c>
      <c r="W38" s="684">
        <f t="shared" si="12"/>
        <v>0</v>
      </c>
      <c r="X38" s="346"/>
      <c r="Y38" s="346"/>
      <c r="Z38" s="469"/>
    </row>
    <row r="39" spans="1:26" s="325" customFormat="1" ht="11.25" customHeight="1" x14ac:dyDescent="0.2">
      <c r="A39" s="328" t="s">
        <v>378</v>
      </c>
      <c r="B39" s="329" t="s">
        <v>1305</v>
      </c>
      <c r="C39" s="329" t="s">
        <v>480</v>
      </c>
      <c r="D39" s="521" t="s">
        <v>1155</v>
      </c>
      <c r="E39" s="329" t="s">
        <v>1163</v>
      </c>
      <c r="F39" s="330" t="s">
        <v>464</v>
      </c>
      <c r="G39" s="344"/>
      <c r="H39" s="639">
        <v>6</v>
      </c>
      <c r="I39" s="338">
        <v>6</v>
      </c>
      <c r="J39" s="640"/>
      <c r="K39" s="640"/>
      <c r="L39" s="641"/>
      <c r="M39" s="639"/>
      <c r="N39" s="338"/>
      <c r="O39" s="338"/>
      <c r="P39" s="338"/>
      <c r="Q39" s="338"/>
      <c r="R39" s="642"/>
      <c r="S39" s="643">
        <f t="shared" si="8"/>
        <v>6</v>
      </c>
      <c r="T39" s="643">
        <f t="shared" si="9"/>
        <v>6</v>
      </c>
      <c r="U39" s="643"/>
      <c r="V39" s="643"/>
      <c r="W39" s="684">
        <f>L39-Q39</f>
        <v>0</v>
      </c>
      <c r="X39" s="346"/>
      <c r="Y39" s="346"/>
      <c r="Z39" s="469"/>
    </row>
    <row r="40" spans="1:26" s="325" customFormat="1" ht="11.25" customHeight="1" x14ac:dyDescent="0.2">
      <c r="A40" s="328" t="s">
        <v>378</v>
      </c>
      <c r="B40" s="329" t="s">
        <v>424</v>
      </c>
      <c r="C40" s="329" t="s">
        <v>480</v>
      </c>
      <c r="D40" s="338" t="s">
        <v>88</v>
      </c>
      <c r="E40" s="329" t="s">
        <v>87</v>
      </c>
      <c r="F40" s="330" t="s">
        <v>464</v>
      </c>
      <c r="G40" s="344" t="s">
        <v>1304</v>
      </c>
      <c r="H40" s="644">
        <v>13</v>
      </c>
      <c r="I40" s="338">
        <v>13</v>
      </c>
      <c r="J40" s="640">
        <v>0</v>
      </c>
      <c r="K40" s="640">
        <v>20</v>
      </c>
      <c r="L40" s="641"/>
      <c r="M40" s="338">
        <v>13</v>
      </c>
      <c r="N40" s="338">
        <v>13</v>
      </c>
      <c r="O40" s="338"/>
      <c r="P40" s="338">
        <v>20</v>
      </c>
      <c r="Q40" s="338"/>
      <c r="R40" s="642" t="s">
        <v>1258</v>
      </c>
      <c r="S40" s="643">
        <f>H40-M40</f>
        <v>0</v>
      </c>
      <c r="T40" s="643">
        <f>I40-N40</f>
        <v>0</v>
      </c>
      <c r="U40" s="643">
        <f>J40-O40</f>
        <v>0</v>
      </c>
      <c r="V40" s="643">
        <f>K40-P40</f>
        <v>0</v>
      </c>
      <c r="W40" s="684">
        <f>L40-Q40</f>
        <v>0</v>
      </c>
      <c r="X40" s="346">
        <v>28</v>
      </c>
      <c r="Y40" s="346"/>
      <c r="Z40" s="469" t="s">
        <v>1302</v>
      </c>
    </row>
    <row r="41" spans="1:26" s="325" customFormat="1" ht="11.25" customHeight="1" x14ac:dyDescent="0.2">
      <c r="A41" s="328" t="s">
        <v>378</v>
      </c>
      <c r="B41" s="329" t="s">
        <v>1305</v>
      </c>
      <c r="C41" s="329" t="s">
        <v>480</v>
      </c>
      <c r="D41" s="338" t="s">
        <v>1639</v>
      </c>
      <c r="E41" s="329" t="s">
        <v>1693</v>
      </c>
      <c r="F41" s="330" t="s">
        <v>464</v>
      </c>
      <c r="G41" s="344"/>
      <c r="H41" s="644">
        <v>46</v>
      </c>
      <c r="I41" s="338">
        <v>46</v>
      </c>
      <c r="J41" s="640"/>
      <c r="K41" s="640"/>
      <c r="L41" s="641"/>
      <c r="M41" s="639">
        <v>20</v>
      </c>
      <c r="N41" s="338">
        <v>20</v>
      </c>
      <c r="O41" s="338"/>
      <c r="P41" s="338"/>
      <c r="Q41" s="338"/>
      <c r="R41" s="642" t="s">
        <v>778</v>
      </c>
      <c r="S41" s="643">
        <f t="shared" ref="S41:T43" si="13">H41-M41</f>
        <v>26</v>
      </c>
      <c r="T41" s="643">
        <f t="shared" si="13"/>
        <v>26</v>
      </c>
      <c r="U41" s="643"/>
      <c r="V41" s="643"/>
      <c r="W41" s="684"/>
      <c r="X41" s="346">
        <v>40</v>
      </c>
      <c r="Y41" s="346">
        <v>40</v>
      </c>
      <c r="Z41" s="469"/>
    </row>
    <row r="42" spans="1:26" s="325" customFormat="1" ht="11.25" customHeight="1" x14ac:dyDescent="0.2">
      <c r="A42" s="328" t="s">
        <v>378</v>
      </c>
      <c r="B42" s="329" t="s">
        <v>1305</v>
      </c>
      <c r="C42" s="329" t="s">
        <v>480</v>
      </c>
      <c r="D42" s="338" t="s">
        <v>1703</v>
      </c>
      <c r="E42" s="329" t="s">
        <v>1695</v>
      </c>
      <c r="F42" s="330" t="s">
        <v>464</v>
      </c>
      <c r="G42" s="344"/>
      <c r="H42" s="644">
        <v>25</v>
      </c>
      <c r="I42" s="338">
        <v>25</v>
      </c>
      <c r="J42" s="640"/>
      <c r="K42" s="640"/>
      <c r="L42" s="641"/>
      <c r="M42" s="639">
        <v>25</v>
      </c>
      <c r="N42" s="338">
        <v>25</v>
      </c>
      <c r="O42" s="338"/>
      <c r="P42" s="338"/>
      <c r="Q42" s="338"/>
      <c r="R42" s="642" t="s">
        <v>1942</v>
      </c>
      <c r="S42" s="643">
        <f t="shared" si="13"/>
        <v>0</v>
      </c>
      <c r="T42" s="643">
        <f t="shared" si="13"/>
        <v>0</v>
      </c>
      <c r="U42" s="643"/>
      <c r="V42" s="643"/>
      <c r="W42" s="684"/>
      <c r="X42" s="346">
        <v>40</v>
      </c>
      <c r="Y42" s="346"/>
      <c r="Z42" s="469"/>
    </row>
    <row r="43" spans="1:26" s="325" customFormat="1" ht="11.25" customHeight="1" x14ac:dyDescent="0.2">
      <c r="A43" s="328" t="s">
        <v>378</v>
      </c>
      <c r="B43" s="329" t="s">
        <v>424</v>
      </c>
      <c r="C43" s="329" t="s">
        <v>480</v>
      </c>
      <c r="D43" s="338" t="s">
        <v>1157</v>
      </c>
      <c r="E43" s="329" t="s">
        <v>1160</v>
      </c>
      <c r="F43" s="330" t="s">
        <v>464</v>
      </c>
      <c r="G43" s="465" t="s">
        <v>1304</v>
      </c>
      <c r="H43" s="644">
        <v>6</v>
      </c>
      <c r="I43" s="640">
        <v>6</v>
      </c>
      <c r="J43" s="640">
        <v>16</v>
      </c>
      <c r="K43" s="743">
        <v>0</v>
      </c>
      <c r="L43" s="641">
        <v>0</v>
      </c>
      <c r="M43" s="639"/>
      <c r="N43" s="338"/>
      <c r="O43" s="338">
        <v>16</v>
      </c>
      <c r="P43" s="338"/>
      <c r="Q43" s="338"/>
      <c r="R43" s="642" t="s">
        <v>1599</v>
      </c>
      <c r="S43" s="643">
        <f t="shared" si="13"/>
        <v>6</v>
      </c>
      <c r="T43" s="643">
        <f t="shared" si="13"/>
        <v>6</v>
      </c>
      <c r="U43" s="643">
        <f>J43-O43</f>
        <v>0</v>
      </c>
      <c r="V43" s="643">
        <f>K43-P43</f>
        <v>0</v>
      </c>
      <c r="W43" s="684">
        <f>L43-Q43</f>
        <v>0</v>
      </c>
      <c r="X43" s="346"/>
      <c r="Y43" s="346"/>
      <c r="Z43" s="469"/>
    </row>
    <row r="44" spans="1:26" s="325" customFormat="1" ht="11.25" customHeight="1" x14ac:dyDescent="0.2">
      <c r="A44" s="331" t="s">
        <v>3</v>
      </c>
      <c r="B44" s="332"/>
      <c r="C44" s="332"/>
      <c r="D44" s="333"/>
      <c r="E44" s="334"/>
      <c r="F44" s="335"/>
      <c r="G44" s="472"/>
      <c r="H44" s="336">
        <f t="shared" ref="H44:Y44" si="14">SUM(H21:H43)</f>
        <v>182</v>
      </c>
      <c r="I44" s="336">
        <f t="shared" si="14"/>
        <v>235</v>
      </c>
      <c r="J44" s="336">
        <f t="shared" si="14"/>
        <v>98</v>
      </c>
      <c r="K44" s="336">
        <f t="shared" si="14"/>
        <v>213</v>
      </c>
      <c r="L44" s="336">
        <f t="shared" si="14"/>
        <v>0</v>
      </c>
      <c r="M44" s="336">
        <f t="shared" si="14"/>
        <v>116</v>
      </c>
      <c r="N44" s="336">
        <f t="shared" si="14"/>
        <v>164</v>
      </c>
      <c r="O44" s="336">
        <f t="shared" si="14"/>
        <v>67</v>
      </c>
      <c r="P44" s="336">
        <f t="shared" si="14"/>
        <v>74</v>
      </c>
      <c r="Q44" s="336">
        <f t="shared" si="14"/>
        <v>0</v>
      </c>
      <c r="R44" s="336">
        <f t="shared" si="14"/>
        <v>0</v>
      </c>
      <c r="S44" s="336">
        <f t="shared" si="14"/>
        <v>66</v>
      </c>
      <c r="T44" s="336">
        <f t="shared" si="14"/>
        <v>71</v>
      </c>
      <c r="U44" s="336">
        <f t="shared" si="14"/>
        <v>31</v>
      </c>
      <c r="V44" s="336">
        <f t="shared" si="14"/>
        <v>139</v>
      </c>
      <c r="W44" s="336">
        <f t="shared" si="14"/>
        <v>0</v>
      </c>
      <c r="X44" s="336">
        <f t="shared" si="14"/>
        <v>108</v>
      </c>
      <c r="Y44" s="336">
        <f t="shared" si="14"/>
        <v>40</v>
      </c>
      <c r="Z44" s="469"/>
    </row>
    <row r="45" spans="1:26" s="341" customFormat="1" ht="11.25" customHeight="1" x14ac:dyDescent="0.2">
      <c r="A45" s="328" t="s">
        <v>1313</v>
      </c>
      <c r="B45" s="329" t="s">
        <v>424</v>
      </c>
      <c r="C45" s="329" t="s">
        <v>719</v>
      </c>
      <c r="D45" s="329" t="s">
        <v>1371</v>
      </c>
      <c r="E45" s="329" t="s">
        <v>1043</v>
      </c>
      <c r="F45" s="330" t="s">
        <v>464</v>
      </c>
      <c r="G45" s="463" t="s">
        <v>1265</v>
      </c>
      <c r="H45" s="645">
        <v>7</v>
      </c>
      <c r="I45" s="646">
        <v>7</v>
      </c>
      <c r="J45" s="646">
        <v>0</v>
      </c>
      <c r="K45" s="646">
        <v>0</v>
      </c>
      <c r="L45" s="647">
        <v>0</v>
      </c>
      <c r="M45" s="639"/>
      <c r="N45" s="338"/>
      <c r="O45" s="338"/>
      <c r="P45" s="338"/>
      <c r="Q45" s="338"/>
      <c r="R45" s="642"/>
      <c r="S45" s="643">
        <f>H45-M45</f>
        <v>7</v>
      </c>
      <c r="T45" s="643">
        <f>I45-N45</f>
        <v>7</v>
      </c>
      <c r="U45" s="643">
        <f>J45-O45</f>
        <v>0</v>
      </c>
      <c r="V45" s="643">
        <f>K45-P45</f>
        <v>0</v>
      </c>
      <c r="W45" s="684">
        <f>L45-Q45</f>
        <v>0</v>
      </c>
      <c r="X45" s="346"/>
      <c r="Y45" s="346"/>
      <c r="Z45" s="686"/>
    </row>
    <row r="46" spans="1:26" s="341" customFormat="1" ht="11.25" customHeight="1" x14ac:dyDescent="0.2">
      <c r="A46" s="331" t="s">
        <v>3</v>
      </c>
      <c r="B46" s="332"/>
      <c r="C46" s="332"/>
      <c r="D46" s="333"/>
      <c r="E46" s="334"/>
      <c r="F46" s="335"/>
      <c r="G46" s="472"/>
      <c r="H46" s="336">
        <f t="shared" ref="H46:Y46" si="15">SUM(H45)</f>
        <v>7</v>
      </c>
      <c r="I46" s="336">
        <f t="shared" si="15"/>
        <v>7</v>
      </c>
      <c r="J46" s="336">
        <f t="shared" si="15"/>
        <v>0</v>
      </c>
      <c r="K46" s="336">
        <f t="shared" si="15"/>
        <v>0</v>
      </c>
      <c r="L46" s="336">
        <f t="shared" si="15"/>
        <v>0</v>
      </c>
      <c r="M46" s="336">
        <f t="shared" si="15"/>
        <v>0</v>
      </c>
      <c r="N46" s="336">
        <f t="shared" si="15"/>
        <v>0</v>
      </c>
      <c r="O46" s="336">
        <f t="shared" si="15"/>
        <v>0</v>
      </c>
      <c r="P46" s="336">
        <f t="shared" si="15"/>
        <v>0</v>
      </c>
      <c r="Q46" s="336">
        <f t="shared" si="15"/>
        <v>0</v>
      </c>
      <c r="R46" s="336">
        <f t="shared" si="15"/>
        <v>0</v>
      </c>
      <c r="S46" s="336">
        <f t="shared" si="15"/>
        <v>7</v>
      </c>
      <c r="T46" s="336">
        <f t="shared" si="15"/>
        <v>7</v>
      </c>
      <c r="U46" s="336">
        <f t="shared" si="15"/>
        <v>0</v>
      </c>
      <c r="V46" s="336">
        <f t="shared" si="15"/>
        <v>0</v>
      </c>
      <c r="W46" s="336">
        <f t="shared" si="15"/>
        <v>0</v>
      </c>
      <c r="X46" s="336">
        <f t="shared" si="15"/>
        <v>0</v>
      </c>
      <c r="Y46" s="336">
        <f t="shared" si="15"/>
        <v>0</v>
      </c>
      <c r="Z46" s="686"/>
    </row>
    <row r="47" spans="1:26" s="325" customFormat="1" ht="11.25" customHeight="1" x14ac:dyDescent="0.2">
      <c r="A47" s="328" t="s">
        <v>1313</v>
      </c>
      <c r="B47" s="329" t="s">
        <v>1327</v>
      </c>
      <c r="C47" s="329" t="s">
        <v>1199</v>
      </c>
      <c r="D47" s="329" t="s">
        <v>1196</v>
      </c>
      <c r="E47" s="329"/>
      <c r="F47" s="330"/>
      <c r="G47" s="344"/>
      <c r="H47" s="645">
        <v>0</v>
      </c>
      <c r="I47" s="646">
        <v>0</v>
      </c>
      <c r="J47" s="646"/>
      <c r="K47" s="646"/>
      <c r="L47" s="647"/>
      <c r="M47" s="639"/>
      <c r="N47" s="338"/>
      <c r="O47" s="338"/>
      <c r="P47" s="338"/>
      <c r="Q47" s="338"/>
      <c r="R47" s="642"/>
      <c r="S47" s="643">
        <f>H47-M47</f>
        <v>0</v>
      </c>
      <c r="T47" s="643">
        <f>I47-N47</f>
        <v>0</v>
      </c>
      <c r="U47" s="643">
        <f>J47-O47</f>
        <v>0</v>
      </c>
      <c r="V47" s="643">
        <f>K47-P47</f>
        <v>0</v>
      </c>
      <c r="W47" s="684">
        <f>L47-Q47</f>
        <v>0</v>
      </c>
      <c r="X47" s="346"/>
      <c r="Y47" s="346"/>
      <c r="Z47" s="469"/>
    </row>
    <row r="48" spans="1:26" s="341" customFormat="1" ht="11.25" customHeight="1" x14ac:dyDescent="0.2">
      <c r="A48" s="331" t="s">
        <v>3</v>
      </c>
      <c r="B48" s="332"/>
      <c r="C48" s="332"/>
      <c r="D48" s="333"/>
      <c r="E48" s="334"/>
      <c r="F48" s="335"/>
      <c r="G48" s="472"/>
      <c r="H48" s="336">
        <f t="shared" ref="H48:Y48" si="16">SUM(H47)</f>
        <v>0</v>
      </c>
      <c r="I48" s="336">
        <f t="shared" si="16"/>
        <v>0</v>
      </c>
      <c r="J48" s="336">
        <f t="shared" si="16"/>
        <v>0</v>
      </c>
      <c r="K48" s="336">
        <f t="shared" si="16"/>
        <v>0</v>
      </c>
      <c r="L48" s="336">
        <f t="shared" si="16"/>
        <v>0</v>
      </c>
      <c r="M48" s="336">
        <f t="shared" si="16"/>
        <v>0</v>
      </c>
      <c r="N48" s="336">
        <f t="shared" si="16"/>
        <v>0</v>
      </c>
      <c r="O48" s="336">
        <f t="shared" si="16"/>
        <v>0</v>
      </c>
      <c r="P48" s="336">
        <f t="shared" si="16"/>
        <v>0</v>
      </c>
      <c r="Q48" s="336">
        <f t="shared" si="16"/>
        <v>0</v>
      </c>
      <c r="R48" s="336">
        <f t="shared" si="16"/>
        <v>0</v>
      </c>
      <c r="S48" s="336">
        <f t="shared" si="16"/>
        <v>0</v>
      </c>
      <c r="T48" s="336">
        <f t="shared" si="16"/>
        <v>0</v>
      </c>
      <c r="U48" s="336">
        <f t="shared" si="16"/>
        <v>0</v>
      </c>
      <c r="V48" s="336">
        <f t="shared" si="16"/>
        <v>0</v>
      </c>
      <c r="W48" s="336">
        <f t="shared" si="16"/>
        <v>0</v>
      </c>
      <c r="X48" s="336">
        <f t="shared" si="16"/>
        <v>0</v>
      </c>
      <c r="Y48" s="336">
        <f t="shared" si="16"/>
        <v>0</v>
      </c>
      <c r="Z48" s="686"/>
    </row>
    <row r="49" spans="1:26" s="325" customFormat="1" ht="11.25" customHeight="1" x14ac:dyDescent="0.2">
      <c r="A49" s="328" t="s">
        <v>1313</v>
      </c>
      <c r="B49" s="329" t="s">
        <v>424</v>
      </c>
      <c r="C49" s="338" t="s">
        <v>146</v>
      </c>
      <c r="D49" s="338" t="s">
        <v>367</v>
      </c>
      <c r="E49" s="329" t="s">
        <v>381</v>
      </c>
      <c r="F49" s="330" t="s">
        <v>464</v>
      </c>
      <c r="G49" s="465"/>
      <c r="H49" s="644"/>
      <c r="I49" s="640"/>
      <c r="J49" s="640"/>
      <c r="K49" s="338"/>
      <c r="L49" s="641"/>
      <c r="M49" s="639"/>
      <c r="N49" s="338"/>
      <c r="O49" s="338"/>
      <c r="P49" s="338"/>
      <c r="Q49" s="338"/>
      <c r="R49" s="642"/>
      <c r="S49" s="643">
        <f t="shared" ref="S49:S61" si="17">H49-M49</f>
        <v>0</v>
      </c>
      <c r="T49" s="643">
        <f t="shared" ref="T49:T61" si="18">I49-N49</f>
        <v>0</v>
      </c>
      <c r="U49" s="643">
        <f t="shared" ref="U49:U60" si="19">J49-O49</f>
        <v>0</v>
      </c>
      <c r="V49" s="643">
        <f t="shared" ref="V49:V60" si="20">K49-P49</f>
        <v>0</v>
      </c>
      <c r="W49" s="684">
        <f t="shared" ref="W49:W60" si="21">L49-Q49</f>
        <v>0</v>
      </c>
      <c r="X49" s="346"/>
      <c r="Y49" s="346"/>
      <c r="Z49" s="469"/>
    </row>
    <row r="50" spans="1:26" s="325" customFormat="1" ht="11.25" customHeight="1" x14ac:dyDescent="0.2">
      <c r="A50" s="328" t="s">
        <v>1313</v>
      </c>
      <c r="B50" s="329" t="s">
        <v>424</v>
      </c>
      <c r="C50" s="338" t="s">
        <v>146</v>
      </c>
      <c r="D50" s="338" t="s">
        <v>1231</v>
      </c>
      <c r="E50" s="329" t="s">
        <v>1230</v>
      </c>
      <c r="F50" s="330" t="s">
        <v>464</v>
      </c>
      <c r="G50" s="465" t="s">
        <v>1304</v>
      </c>
      <c r="H50" s="644"/>
      <c r="I50" s="640"/>
      <c r="J50" s="640">
        <v>0</v>
      </c>
      <c r="K50" s="338">
        <v>0</v>
      </c>
      <c r="L50" s="641"/>
      <c r="M50" s="639"/>
      <c r="N50" s="338"/>
      <c r="O50" s="338"/>
      <c r="P50" s="338"/>
      <c r="Q50" s="338"/>
      <c r="R50" s="642"/>
      <c r="S50" s="643">
        <f t="shared" si="17"/>
        <v>0</v>
      </c>
      <c r="T50" s="643">
        <f t="shared" si="18"/>
        <v>0</v>
      </c>
      <c r="U50" s="643">
        <f t="shared" si="19"/>
        <v>0</v>
      </c>
      <c r="V50" s="643">
        <f t="shared" si="20"/>
        <v>0</v>
      </c>
      <c r="W50" s="684">
        <f t="shared" si="21"/>
        <v>0</v>
      </c>
      <c r="X50" s="346"/>
      <c r="Y50" s="346"/>
      <c r="Z50" s="469" t="s">
        <v>1315</v>
      </c>
    </row>
    <row r="51" spans="1:26" s="325" customFormat="1" ht="11.25" customHeight="1" x14ac:dyDescent="0.2">
      <c r="A51" s="328" t="s">
        <v>1313</v>
      </c>
      <c r="B51" s="329" t="s">
        <v>1316</v>
      </c>
      <c r="C51" s="338" t="s">
        <v>146</v>
      </c>
      <c r="D51" s="338" t="s">
        <v>368</v>
      </c>
      <c r="E51" s="329" t="s">
        <v>382</v>
      </c>
      <c r="F51" s="330" t="s">
        <v>464</v>
      </c>
      <c r="G51" s="345"/>
      <c r="H51" s="644">
        <v>32</v>
      </c>
      <c r="I51" s="640">
        <v>32</v>
      </c>
      <c r="J51" s="640">
        <v>0</v>
      </c>
      <c r="K51" s="640"/>
      <c r="L51" s="641">
        <v>0</v>
      </c>
      <c r="M51" s="639">
        <v>32</v>
      </c>
      <c r="N51" s="338">
        <v>32</v>
      </c>
      <c r="O51" s="338"/>
      <c r="P51" s="338"/>
      <c r="Q51" s="338"/>
      <c r="R51" s="642" t="s">
        <v>1763</v>
      </c>
      <c r="S51" s="643">
        <f t="shared" si="17"/>
        <v>0</v>
      </c>
      <c r="T51" s="643">
        <f t="shared" si="18"/>
        <v>0</v>
      </c>
      <c r="U51" s="643">
        <f t="shared" si="19"/>
        <v>0</v>
      </c>
      <c r="V51" s="643">
        <f t="shared" si="20"/>
        <v>0</v>
      </c>
      <c r="W51" s="684">
        <f t="shared" si="21"/>
        <v>0</v>
      </c>
      <c r="X51" s="346"/>
      <c r="Y51" s="346"/>
      <c r="Z51" s="469"/>
    </row>
    <row r="52" spans="1:26" s="325" customFormat="1" ht="11.25" customHeight="1" x14ac:dyDescent="0.2">
      <c r="A52" s="328" t="s">
        <v>1313</v>
      </c>
      <c r="B52" s="329" t="s">
        <v>424</v>
      </c>
      <c r="C52" s="338" t="s">
        <v>146</v>
      </c>
      <c r="D52" s="329" t="s">
        <v>1614</v>
      </c>
      <c r="E52" s="329" t="s">
        <v>383</v>
      </c>
      <c r="F52" s="330" t="s">
        <v>464</v>
      </c>
      <c r="G52" s="465" t="s">
        <v>1457</v>
      </c>
      <c r="H52" s="639">
        <v>12</v>
      </c>
      <c r="I52" s="338">
        <v>12</v>
      </c>
      <c r="J52" s="640">
        <v>63</v>
      </c>
      <c r="K52" s="338"/>
      <c r="L52" s="641">
        <v>0</v>
      </c>
      <c r="M52" s="639">
        <v>12</v>
      </c>
      <c r="N52" s="338">
        <v>12</v>
      </c>
      <c r="O52" s="338"/>
      <c r="P52" s="338"/>
      <c r="Q52" s="338"/>
      <c r="R52" s="642" t="s">
        <v>1643</v>
      </c>
      <c r="S52" s="643">
        <f t="shared" si="17"/>
        <v>0</v>
      </c>
      <c r="T52" s="643">
        <f t="shared" si="18"/>
        <v>0</v>
      </c>
      <c r="U52" s="643">
        <f t="shared" si="19"/>
        <v>63</v>
      </c>
      <c r="V52" s="643">
        <f t="shared" si="20"/>
        <v>0</v>
      </c>
      <c r="W52" s="684">
        <f t="shared" si="21"/>
        <v>0</v>
      </c>
      <c r="X52" s="346"/>
      <c r="Y52" s="346"/>
      <c r="Z52" s="469"/>
    </row>
    <row r="53" spans="1:26" s="325" customFormat="1" ht="11.25" customHeight="1" x14ac:dyDescent="0.2">
      <c r="A53" s="328" t="s">
        <v>1313</v>
      </c>
      <c r="B53" s="329" t="s">
        <v>1314</v>
      </c>
      <c r="C53" s="338" t="s">
        <v>146</v>
      </c>
      <c r="D53" s="338" t="s">
        <v>1317</v>
      </c>
      <c r="E53" s="329" t="s">
        <v>1239</v>
      </c>
      <c r="F53" s="330" t="s">
        <v>464</v>
      </c>
      <c r="G53" s="465" t="s">
        <v>1304</v>
      </c>
      <c r="H53" s="639"/>
      <c r="I53" s="338"/>
      <c r="J53" s="640"/>
      <c r="K53" s="338"/>
      <c r="L53" s="641"/>
      <c r="M53" s="639"/>
      <c r="N53" s="338"/>
      <c r="O53" s="338"/>
      <c r="P53" s="338"/>
      <c r="Q53" s="338"/>
      <c r="R53" s="642"/>
      <c r="S53" s="643">
        <f t="shared" si="17"/>
        <v>0</v>
      </c>
      <c r="T53" s="643">
        <f t="shared" si="18"/>
        <v>0</v>
      </c>
      <c r="U53" s="643">
        <f t="shared" si="19"/>
        <v>0</v>
      </c>
      <c r="V53" s="643">
        <f t="shared" si="20"/>
        <v>0</v>
      </c>
      <c r="W53" s="684">
        <f t="shared" si="21"/>
        <v>0</v>
      </c>
      <c r="X53" s="346"/>
      <c r="Y53" s="346"/>
      <c r="Z53" s="469" t="s">
        <v>1315</v>
      </c>
    </row>
    <row r="54" spans="1:26" s="325" customFormat="1" ht="11.25" customHeight="1" x14ac:dyDescent="0.2">
      <c r="A54" s="328" t="s">
        <v>1313</v>
      </c>
      <c r="B54" s="329" t="s">
        <v>424</v>
      </c>
      <c r="C54" s="338" t="s">
        <v>146</v>
      </c>
      <c r="D54" s="338" t="s">
        <v>1318</v>
      </c>
      <c r="E54" s="329" t="s">
        <v>147</v>
      </c>
      <c r="F54" s="330" t="s">
        <v>464</v>
      </c>
      <c r="G54" s="465"/>
      <c r="H54" s="645"/>
      <c r="I54" s="646">
        <v>0</v>
      </c>
      <c r="J54" s="640">
        <v>0</v>
      </c>
      <c r="K54" s="640">
        <v>20</v>
      </c>
      <c r="L54" s="641">
        <v>0</v>
      </c>
      <c r="M54" s="639"/>
      <c r="N54" s="338"/>
      <c r="O54" s="338"/>
      <c r="P54" s="338"/>
      <c r="Q54" s="338"/>
      <c r="R54" s="642"/>
      <c r="S54" s="643">
        <f t="shared" si="17"/>
        <v>0</v>
      </c>
      <c r="T54" s="643">
        <f t="shared" si="18"/>
        <v>0</v>
      </c>
      <c r="U54" s="643">
        <f t="shared" si="19"/>
        <v>0</v>
      </c>
      <c r="V54" s="643">
        <f t="shared" si="20"/>
        <v>20</v>
      </c>
      <c r="W54" s="684">
        <f t="shared" si="21"/>
        <v>0</v>
      </c>
      <c r="X54" s="346"/>
      <c r="Y54" s="346"/>
      <c r="Z54" s="469"/>
    </row>
    <row r="55" spans="1:26" s="325" customFormat="1" ht="11.25" customHeight="1" x14ac:dyDescent="0.2">
      <c r="A55" s="328" t="s">
        <v>1313</v>
      </c>
      <c r="B55" s="329" t="s">
        <v>424</v>
      </c>
      <c r="C55" s="338" t="s">
        <v>146</v>
      </c>
      <c r="D55" s="338" t="s">
        <v>149</v>
      </c>
      <c r="E55" s="329" t="s">
        <v>148</v>
      </c>
      <c r="F55" s="330" t="s">
        <v>464</v>
      </c>
      <c r="G55" s="345"/>
      <c r="H55" s="644">
        <v>4</v>
      </c>
      <c r="I55" s="640">
        <v>0</v>
      </c>
      <c r="J55" s="640">
        <v>0</v>
      </c>
      <c r="K55" s="338"/>
      <c r="L55" s="641">
        <v>0</v>
      </c>
      <c r="M55" s="639"/>
      <c r="N55" s="338"/>
      <c r="O55" s="338"/>
      <c r="P55" s="338"/>
      <c r="Q55" s="338"/>
      <c r="R55" s="642"/>
      <c r="S55" s="643">
        <f t="shared" si="17"/>
        <v>4</v>
      </c>
      <c r="T55" s="643">
        <f t="shared" si="18"/>
        <v>0</v>
      </c>
      <c r="U55" s="643">
        <f t="shared" si="19"/>
        <v>0</v>
      </c>
      <c r="V55" s="643">
        <f t="shared" si="20"/>
        <v>0</v>
      </c>
      <c r="W55" s="684">
        <f t="shared" si="21"/>
        <v>0</v>
      </c>
      <c r="X55" s="346"/>
      <c r="Y55" s="346"/>
      <c r="Z55" s="469"/>
    </row>
    <row r="56" spans="1:26" s="325" customFormat="1" ht="11.25" customHeight="1" x14ac:dyDescent="0.2">
      <c r="A56" s="328" t="s">
        <v>1313</v>
      </c>
      <c r="B56" s="329" t="s">
        <v>424</v>
      </c>
      <c r="C56" s="338" t="s">
        <v>146</v>
      </c>
      <c r="D56" s="329" t="s">
        <v>1615</v>
      </c>
      <c r="E56" s="329" t="s">
        <v>1120</v>
      </c>
      <c r="F56" s="330" t="s">
        <v>464</v>
      </c>
      <c r="G56" s="345"/>
      <c r="H56" s="644">
        <v>82</v>
      </c>
      <c r="I56" s="640">
        <v>82</v>
      </c>
      <c r="J56" s="640"/>
      <c r="K56" s="338"/>
      <c r="L56" s="641"/>
      <c r="M56" s="639"/>
      <c r="N56" s="338"/>
      <c r="O56" s="338"/>
      <c r="P56" s="338"/>
      <c r="Q56" s="338"/>
      <c r="R56" s="642"/>
      <c r="S56" s="643">
        <f t="shared" si="17"/>
        <v>82</v>
      </c>
      <c r="T56" s="643">
        <f t="shared" si="18"/>
        <v>82</v>
      </c>
      <c r="U56" s="643">
        <f t="shared" si="19"/>
        <v>0</v>
      </c>
      <c r="V56" s="643">
        <f t="shared" si="20"/>
        <v>0</v>
      </c>
      <c r="W56" s="684">
        <f t="shared" si="21"/>
        <v>0</v>
      </c>
      <c r="X56" s="346"/>
      <c r="Y56" s="346"/>
      <c r="Z56" s="469"/>
    </row>
    <row r="57" spans="1:26" s="325" customFormat="1" ht="11.25" customHeight="1" x14ac:dyDescent="0.2">
      <c r="A57" s="328" t="s">
        <v>1313</v>
      </c>
      <c r="B57" s="329" t="s">
        <v>1327</v>
      </c>
      <c r="C57" s="338" t="s">
        <v>146</v>
      </c>
      <c r="D57" s="338" t="s">
        <v>1529</v>
      </c>
      <c r="E57" s="329" t="s">
        <v>1546</v>
      </c>
      <c r="F57" s="330" t="s">
        <v>464</v>
      </c>
      <c r="G57" s="345"/>
      <c r="H57" s="644"/>
      <c r="I57" s="640"/>
      <c r="J57" s="640">
        <v>38</v>
      </c>
      <c r="K57" s="338"/>
      <c r="L57" s="641"/>
      <c r="M57" s="639"/>
      <c r="N57" s="338"/>
      <c r="O57" s="338"/>
      <c r="P57" s="338"/>
      <c r="Q57" s="338"/>
      <c r="R57" s="642"/>
      <c r="S57" s="643">
        <f t="shared" si="17"/>
        <v>0</v>
      </c>
      <c r="T57" s="643">
        <f t="shared" si="18"/>
        <v>0</v>
      </c>
      <c r="U57" s="643">
        <f t="shared" si="19"/>
        <v>38</v>
      </c>
      <c r="V57" s="643">
        <f t="shared" si="20"/>
        <v>0</v>
      </c>
      <c r="W57" s="684">
        <f t="shared" si="21"/>
        <v>0</v>
      </c>
      <c r="X57" s="346"/>
      <c r="Y57" s="346"/>
      <c r="Z57" s="469"/>
    </row>
    <row r="58" spans="1:26" s="325" customFormat="1" ht="11.25" customHeight="1" x14ac:dyDescent="0.2">
      <c r="A58" s="328" t="s">
        <v>1313</v>
      </c>
      <c r="B58" s="329" t="s">
        <v>1327</v>
      </c>
      <c r="C58" s="338" t="s">
        <v>146</v>
      </c>
      <c r="D58" s="338" t="s">
        <v>1081</v>
      </c>
      <c r="E58" s="329" t="s">
        <v>1082</v>
      </c>
      <c r="F58" s="330" t="s">
        <v>464</v>
      </c>
      <c r="G58" s="345"/>
      <c r="H58" s="644"/>
      <c r="I58" s="640"/>
      <c r="J58" s="640"/>
      <c r="K58" s="338"/>
      <c r="L58" s="641"/>
      <c r="M58" s="639"/>
      <c r="N58" s="338"/>
      <c r="O58" s="338"/>
      <c r="P58" s="338"/>
      <c r="Q58" s="338"/>
      <c r="R58" s="642"/>
      <c r="S58" s="643">
        <f t="shared" si="17"/>
        <v>0</v>
      </c>
      <c r="T58" s="643">
        <f t="shared" si="18"/>
        <v>0</v>
      </c>
      <c r="U58" s="643">
        <f t="shared" si="19"/>
        <v>0</v>
      </c>
      <c r="V58" s="643">
        <f t="shared" si="20"/>
        <v>0</v>
      </c>
      <c r="W58" s="684">
        <f t="shared" si="21"/>
        <v>0</v>
      </c>
      <c r="X58" s="346"/>
      <c r="Y58" s="346"/>
      <c r="Z58" s="469"/>
    </row>
    <row r="59" spans="1:26" s="325" customFormat="1" ht="11.25" customHeight="1" x14ac:dyDescent="0.2">
      <c r="A59" s="328" t="s">
        <v>1313</v>
      </c>
      <c r="B59" s="329" t="s">
        <v>1316</v>
      </c>
      <c r="C59" s="338" t="s">
        <v>146</v>
      </c>
      <c r="D59" s="338" t="s">
        <v>1570</v>
      </c>
      <c r="E59" s="329" t="s">
        <v>1125</v>
      </c>
      <c r="F59" s="330" t="s">
        <v>464</v>
      </c>
      <c r="G59" s="345"/>
      <c r="H59" s="644">
        <v>17</v>
      </c>
      <c r="I59" s="640">
        <v>17</v>
      </c>
      <c r="J59" s="640"/>
      <c r="K59" s="338"/>
      <c r="L59" s="641"/>
      <c r="M59" s="639">
        <v>17</v>
      </c>
      <c r="N59" s="338">
        <v>17</v>
      </c>
      <c r="O59" s="338"/>
      <c r="P59" s="338"/>
      <c r="Q59" s="338"/>
      <c r="R59" s="642" t="s">
        <v>1731</v>
      </c>
      <c r="S59" s="643">
        <f t="shared" si="17"/>
        <v>0</v>
      </c>
      <c r="T59" s="643">
        <f t="shared" si="18"/>
        <v>0</v>
      </c>
      <c r="U59" s="643">
        <f t="shared" si="19"/>
        <v>0</v>
      </c>
      <c r="V59" s="643">
        <f t="shared" si="20"/>
        <v>0</v>
      </c>
      <c r="W59" s="684">
        <f t="shared" si="21"/>
        <v>0</v>
      </c>
      <c r="X59" s="346"/>
      <c r="Y59" s="346"/>
      <c r="Z59" s="469"/>
    </row>
    <row r="60" spans="1:26" s="325" customFormat="1" ht="11.25" customHeight="1" x14ac:dyDescent="0.2">
      <c r="A60" s="328" t="s">
        <v>1313</v>
      </c>
      <c r="B60" s="329" t="s">
        <v>424</v>
      </c>
      <c r="C60" s="338" t="s">
        <v>146</v>
      </c>
      <c r="D60" s="338" t="s">
        <v>1319</v>
      </c>
      <c r="E60" s="329" t="s">
        <v>838</v>
      </c>
      <c r="F60" s="330" t="s">
        <v>464</v>
      </c>
      <c r="G60" s="345" t="s">
        <v>1457</v>
      </c>
      <c r="H60" s="639">
        <v>41</v>
      </c>
      <c r="I60" s="338">
        <v>41</v>
      </c>
      <c r="J60" s="640">
        <v>0</v>
      </c>
      <c r="K60" s="640">
        <v>0</v>
      </c>
      <c r="L60" s="641">
        <v>0</v>
      </c>
      <c r="M60" s="639">
        <v>41</v>
      </c>
      <c r="N60" s="338">
        <v>41</v>
      </c>
      <c r="O60" s="338"/>
      <c r="P60" s="338"/>
      <c r="Q60" s="338"/>
      <c r="R60" s="642" t="s">
        <v>1713</v>
      </c>
      <c r="S60" s="643">
        <f t="shared" si="17"/>
        <v>0</v>
      </c>
      <c r="T60" s="643">
        <f t="shared" si="18"/>
        <v>0</v>
      </c>
      <c r="U60" s="643">
        <f t="shared" si="19"/>
        <v>0</v>
      </c>
      <c r="V60" s="643">
        <f t="shared" si="20"/>
        <v>0</v>
      </c>
      <c r="W60" s="684">
        <f t="shared" si="21"/>
        <v>0</v>
      </c>
      <c r="X60" s="346"/>
      <c r="Y60" s="346"/>
      <c r="Z60" s="469"/>
    </row>
    <row r="61" spans="1:26" s="325" customFormat="1" ht="11.25" customHeight="1" x14ac:dyDescent="0.2">
      <c r="A61" s="328" t="s">
        <v>1313</v>
      </c>
      <c r="B61" s="329" t="s">
        <v>1327</v>
      </c>
      <c r="C61" s="338" t="s">
        <v>146</v>
      </c>
      <c r="D61" s="338" t="s">
        <v>1145</v>
      </c>
      <c r="E61" s="329" t="s">
        <v>1127</v>
      </c>
      <c r="F61" s="330" t="s">
        <v>464</v>
      </c>
      <c r="G61" s="345"/>
      <c r="H61" s="639"/>
      <c r="I61" s="338"/>
      <c r="J61" s="640"/>
      <c r="K61" s="640"/>
      <c r="L61" s="641"/>
      <c r="M61" s="639"/>
      <c r="N61" s="338"/>
      <c r="O61" s="338"/>
      <c r="P61" s="338"/>
      <c r="Q61" s="338"/>
      <c r="R61" s="642"/>
      <c r="S61" s="643">
        <f t="shared" si="17"/>
        <v>0</v>
      </c>
      <c r="T61" s="643">
        <f t="shared" si="18"/>
        <v>0</v>
      </c>
      <c r="U61" s="643"/>
      <c r="V61" s="643">
        <f>K61-P61</f>
        <v>0</v>
      </c>
      <c r="W61" s="684"/>
      <c r="X61" s="346"/>
      <c r="Y61" s="346"/>
      <c r="Z61" s="469"/>
    </row>
    <row r="62" spans="1:26" s="325" customFormat="1" ht="11.25" customHeight="1" x14ac:dyDescent="0.2">
      <c r="A62" s="328" t="s">
        <v>1313</v>
      </c>
      <c r="B62" s="329" t="s">
        <v>1327</v>
      </c>
      <c r="C62" s="338" t="s">
        <v>146</v>
      </c>
      <c r="D62" s="338" t="s">
        <v>1934</v>
      </c>
      <c r="E62" s="329" t="s">
        <v>840</v>
      </c>
      <c r="F62" s="330" t="s">
        <v>464</v>
      </c>
      <c r="G62" s="345"/>
      <c r="H62" s="639"/>
      <c r="I62" s="338"/>
      <c r="J62" s="640"/>
      <c r="K62" s="640"/>
      <c r="L62" s="641"/>
      <c r="M62" s="639"/>
      <c r="N62" s="338"/>
      <c r="O62" s="338"/>
      <c r="P62" s="338"/>
      <c r="Q62" s="338"/>
      <c r="R62" s="642"/>
      <c r="S62" s="643"/>
      <c r="T62" s="643"/>
      <c r="U62" s="643"/>
      <c r="V62" s="643"/>
      <c r="W62" s="684"/>
      <c r="X62" s="346"/>
      <c r="Y62" s="346"/>
      <c r="Z62" s="469"/>
    </row>
    <row r="63" spans="1:26" s="325" customFormat="1" ht="11.25" customHeight="1" x14ac:dyDescent="0.2">
      <c r="A63" s="328" t="s">
        <v>1313</v>
      </c>
      <c r="B63" s="329" t="s">
        <v>1327</v>
      </c>
      <c r="C63" s="338" t="s">
        <v>146</v>
      </c>
      <c r="D63" s="338" t="s">
        <v>1931</v>
      </c>
      <c r="E63" s="329" t="s">
        <v>1927</v>
      </c>
      <c r="F63" s="330" t="s">
        <v>464</v>
      </c>
      <c r="G63" s="345"/>
      <c r="H63" s="639"/>
      <c r="I63" s="338"/>
      <c r="J63" s="640"/>
      <c r="K63" s="640"/>
      <c r="L63" s="641"/>
      <c r="M63" s="639"/>
      <c r="N63" s="338"/>
      <c r="O63" s="338"/>
      <c r="P63" s="338"/>
      <c r="Q63" s="338"/>
      <c r="R63" s="642"/>
      <c r="S63" s="643"/>
      <c r="T63" s="643"/>
      <c r="U63" s="643"/>
      <c r="V63" s="643"/>
      <c r="W63" s="684"/>
      <c r="X63" s="346"/>
      <c r="Y63" s="346"/>
      <c r="Z63" s="469"/>
    </row>
    <row r="64" spans="1:26" s="325" customFormat="1" ht="11.25" customHeight="1" x14ac:dyDescent="0.2">
      <c r="A64" s="328" t="s">
        <v>1313</v>
      </c>
      <c r="B64" s="329" t="s">
        <v>1316</v>
      </c>
      <c r="C64" s="338" t="s">
        <v>146</v>
      </c>
      <c r="D64" s="338" t="s">
        <v>942</v>
      </c>
      <c r="E64" s="329" t="s">
        <v>941</v>
      </c>
      <c r="F64" s="330" t="s">
        <v>464</v>
      </c>
      <c r="G64" s="463"/>
      <c r="H64" s="645"/>
      <c r="I64" s="646"/>
      <c r="J64" s="646">
        <v>0</v>
      </c>
      <c r="K64" s="646">
        <v>10</v>
      </c>
      <c r="L64" s="647"/>
      <c r="M64" s="639"/>
      <c r="N64" s="338"/>
      <c r="O64" s="338"/>
      <c r="P64" s="338">
        <v>10</v>
      </c>
      <c r="Q64" s="338"/>
      <c r="R64" s="642" t="s">
        <v>1590</v>
      </c>
      <c r="S64" s="643">
        <f>H64-M64</f>
        <v>0</v>
      </c>
      <c r="T64" s="643">
        <f>I64-N64</f>
        <v>0</v>
      </c>
      <c r="U64" s="643">
        <f>J64-O64</f>
        <v>0</v>
      </c>
      <c r="V64" s="643">
        <f>K64-P64</f>
        <v>0</v>
      </c>
      <c r="W64" s="684">
        <f>L64-Q64</f>
        <v>0</v>
      </c>
      <c r="X64" s="346"/>
      <c r="Y64" s="346"/>
      <c r="Z64" s="469"/>
    </row>
    <row r="65" spans="1:26" s="325" customFormat="1" ht="11.25" customHeight="1" x14ac:dyDescent="0.2">
      <c r="A65" s="331" t="s">
        <v>3</v>
      </c>
      <c r="B65" s="332"/>
      <c r="C65" s="332"/>
      <c r="D65" s="333"/>
      <c r="E65" s="334"/>
      <c r="F65" s="335"/>
      <c r="G65" s="472"/>
      <c r="H65" s="336">
        <f t="shared" ref="H65:Y65" si="22">SUM(H49:H64)</f>
        <v>188</v>
      </c>
      <c r="I65" s="336">
        <f t="shared" si="22"/>
        <v>184</v>
      </c>
      <c r="J65" s="336">
        <f t="shared" si="22"/>
        <v>101</v>
      </c>
      <c r="K65" s="336">
        <f t="shared" si="22"/>
        <v>30</v>
      </c>
      <c r="L65" s="336">
        <f t="shared" si="22"/>
        <v>0</v>
      </c>
      <c r="M65" s="336">
        <f t="shared" si="22"/>
        <v>102</v>
      </c>
      <c r="N65" s="336">
        <f t="shared" si="22"/>
        <v>102</v>
      </c>
      <c r="O65" s="336">
        <f t="shared" si="22"/>
        <v>0</v>
      </c>
      <c r="P65" s="336">
        <f t="shared" si="22"/>
        <v>10</v>
      </c>
      <c r="Q65" s="336">
        <f t="shared" si="22"/>
        <v>0</v>
      </c>
      <c r="R65" s="336">
        <f t="shared" si="22"/>
        <v>0</v>
      </c>
      <c r="S65" s="336">
        <f t="shared" si="22"/>
        <v>86</v>
      </c>
      <c r="T65" s="336">
        <f t="shared" si="22"/>
        <v>82</v>
      </c>
      <c r="U65" s="336">
        <f t="shared" si="22"/>
        <v>101</v>
      </c>
      <c r="V65" s="336">
        <f t="shared" si="22"/>
        <v>20</v>
      </c>
      <c r="W65" s="336">
        <f t="shared" si="22"/>
        <v>0</v>
      </c>
      <c r="X65" s="336">
        <f t="shared" si="22"/>
        <v>0</v>
      </c>
      <c r="Y65" s="336">
        <f t="shared" si="22"/>
        <v>0</v>
      </c>
      <c r="Z65" s="469"/>
    </row>
    <row r="66" spans="1:26" s="325" customFormat="1" ht="11.25" customHeight="1" x14ac:dyDescent="0.2">
      <c r="A66" s="328" t="s">
        <v>378</v>
      </c>
      <c r="B66" s="329" t="s">
        <v>1300</v>
      </c>
      <c r="C66" s="329" t="s">
        <v>151</v>
      </c>
      <c r="D66" s="342" t="s">
        <v>1320</v>
      </c>
      <c r="E66" s="339" t="s">
        <v>187</v>
      </c>
      <c r="F66" s="343" t="s">
        <v>466</v>
      </c>
      <c r="G66" s="466"/>
      <c r="H66" s="639">
        <v>50</v>
      </c>
      <c r="I66" s="338">
        <v>50</v>
      </c>
      <c r="J66" s="640">
        <v>0</v>
      </c>
      <c r="K66" s="640">
        <v>0</v>
      </c>
      <c r="L66" s="641"/>
      <c r="M66" s="639"/>
      <c r="N66" s="338"/>
      <c r="O66" s="338"/>
      <c r="P66" s="338"/>
      <c r="Q66" s="338"/>
      <c r="R66" s="642"/>
      <c r="S66" s="643">
        <f t="shared" ref="S66:W69" si="23">H66-M66</f>
        <v>50</v>
      </c>
      <c r="T66" s="643">
        <f t="shared" si="23"/>
        <v>50</v>
      </c>
      <c r="U66" s="643">
        <f t="shared" si="23"/>
        <v>0</v>
      </c>
      <c r="V66" s="643">
        <f t="shared" si="23"/>
        <v>0</v>
      </c>
      <c r="W66" s="684">
        <f t="shared" si="23"/>
        <v>0</v>
      </c>
      <c r="X66" s="346"/>
      <c r="Y66" s="346"/>
      <c r="Z66" s="469" t="s">
        <v>1724</v>
      </c>
    </row>
    <row r="67" spans="1:26" s="325" customFormat="1" ht="11.25" customHeight="1" x14ac:dyDescent="0.2">
      <c r="A67" s="328" t="s">
        <v>378</v>
      </c>
      <c r="B67" s="329" t="s">
        <v>424</v>
      </c>
      <c r="C67" s="329" t="s">
        <v>151</v>
      </c>
      <c r="D67" s="338" t="s">
        <v>1321</v>
      </c>
      <c r="E67" s="329" t="s">
        <v>812</v>
      </c>
      <c r="F67" s="330" t="s">
        <v>464</v>
      </c>
      <c r="G67" s="463" t="s">
        <v>1457</v>
      </c>
      <c r="H67" s="745">
        <v>30</v>
      </c>
      <c r="I67" s="329">
        <v>30</v>
      </c>
      <c r="J67" s="640">
        <v>0</v>
      </c>
      <c r="K67" s="640">
        <v>0</v>
      </c>
      <c r="L67" s="641">
        <v>0</v>
      </c>
      <c r="M67" s="639">
        <v>30</v>
      </c>
      <c r="N67" s="338">
        <v>30</v>
      </c>
      <c r="O67" s="338"/>
      <c r="P67" s="338"/>
      <c r="Q67" s="338"/>
      <c r="R67" s="642" t="s">
        <v>1599</v>
      </c>
      <c r="S67" s="643">
        <f t="shared" si="23"/>
        <v>0</v>
      </c>
      <c r="T67" s="643">
        <f t="shared" si="23"/>
        <v>0</v>
      </c>
      <c r="U67" s="643">
        <f t="shared" si="23"/>
        <v>0</v>
      </c>
      <c r="V67" s="643">
        <f t="shared" si="23"/>
        <v>0</v>
      </c>
      <c r="W67" s="684">
        <f t="shared" si="23"/>
        <v>0</v>
      </c>
      <c r="X67" s="346"/>
      <c r="Y67" s="346"/>
      <c r="Z67" s="469"/>
    </row>
    <row r="68" spans="1:26" s="325" customFormat="1" ht="11.25" customHeight="1" x14ac:dyDescent="0.2">
      <c r="A68" s="328" t="s">
        <v>378</v>
      </c>
      <c r="B68" s="329" t="s">
        <v>1300</v>
      </c>
      <c r="C68" s="329" t="s">
        <v>151</v>
      </c>
      <c r="D68" s="338" t="s">
        <v>846</v>
      </c>
      <c r="E68" s="329" t="s">
        <v>845</v>
      </c>
      <c r="F68" s="330" t="s">
        <v>464</v>
      </c>
      <c r="G68" s="463"/>
      <c r="H68" s="644">
        <v>30</v>
      </c>
      <c r="I68" s="640">
        <v>30</v>
      </c>
      <c r="J68" s="640">
        <v>0</v>
      </c>
      <c r="K68" s="640"/>
      <c r="L68" s="641">
        <v>0</v>
      </c>
      <c r="M68" s="639">
        <v>6</v>
      </c>
      <c r="N68" s="338"/>
      <c r="O68" s="338"/>
      <c r="P68" s="338"/>
      <c r="Q68" s="338"/>
      <c r="R68" s="642" t="s">
        <v>778</v>
      </c>
      <c r="S68" s="643">
        <f t="shared" si="23"/>
        <v>24</v>
      </c>
      <c r="T68" s="643">
        <f t="shared" si="23"/>
        <v>30</v>
      </c>
      <c r="U68" s="643">
        <f t="shared" si="23"/>
        <v>0</v>
      </c>
      <c r="V68" s="643">
        <f t="shared" si="23"/>
        <v>0</v>
      </c>
      <c r="W68" s="684">
        <f t="shared" si="23"/>
        <v>0</v>
      </c>
      <c r="X68" s="346"/>
      <c r="Y68" s="346"/>
      <c r="Z68" s="469" t="s">
        <v>1322</v>
      </c>
    </row>
    <row r="69" spans="1:26" s="325" customFormat="1" ht="11.25" customHeight="1" x14ac:dyDescent="0.2">
      <c r="A69" s="328" t="s">
        <v>378</v>
      </c>
      <c r="B69" s="329" t="s">
        <v>424</v>
      </c>
      <c r="C69" s="329" t="s">
        <v>151</v>
      </c>
      <c r="D69" s="338" t="s">
        <v>160</v>
      </c>
      <c r="E69" s="329" t="s">
        <v>159</v>
      </c>
      <c r="F69" s="330" t="s">
        <v>464</v>
      </c>
      <c r="G69" s="463" t="s">
        <v>1265</v>
      </c>
      <c r="H69" s="639">
        <v>21</v>
      </c>
      <c r="I69" s="338">
        <v>100</v>
      </c>
      <c r="J69" s="338">
        <v>106</v>
      </c>
      <c r="K69" s="640">
        <v>0</v>
      </c>
      <c r="L69" s="641">
        <v>1</v>
      </c>
      <c r="M69" s="639"/>
      <c r="N69" s="338"/>
      <c r="O69" s="338"/>
      <c r="P69" s="338"/>
      <c r="Q69" s="338"/>
      <c r="R69" s="642"/>
      <c r="S69" s="643">
        <f t="shared" si="23"/>
        <v>21</v>
      </c>
      <c r="T69" s="643">
        <f t="shared" si="23"/>
        <v>100</v>
      </c>
      <c r="U69" s="643">
        <f t="shared" si="23"/>
        <v>106</v>
      </c>
      <c r="V69" s="643">
        <f t="shared" si="23"/>
        <v>0</v>
      </c>
      <c r="W69" s="684">
        <f t="shared" si="23"/>
        <v>1</v>
      </c>
      <c r="X69" s="346"/>
      <c r="Y69" s="346"/>
      <c r="Z69" s="469"/>
    </row>
    <row r="70" spans="1:26" s="325" customFormat="1" ht="11.25" customHeight="1" x14ac:dyDescent="0.2">
      <c r="A70" s="328" t="s">
        <v>378</v>
      </c>
      <c r="B70" s="329" t="s">
        <v>1300</v>
      </c>
      <c r="C70" s="329" t="s">
        <v>151</v>
      </c>
      <c r="D70" s="338" t="s">
        <v>1323</v>
      </c>
      <c r="E70" s="329" t="s">
        <v>153</v>
      </c>
      <c r="F70" s="330" t="s">
        <v>464</v>
      </c>
      <c r="G70" s="463"/>
      <c r="H70" s="639">
        <v>230</v>
      </c>
      <c r="I70" s="338">
        <v>230</v>
      </c>
      <c r="J70" s="640">
        <v>0</v>
      </c>
      <c r="K70" s="338">
        <v>106</v>
      </c>
      <c r="L70" s="641">
        <v>0</v>
      </c>
      <c r="M70" s="639">
        <v>200</v>
      </c>
      <c r="N70" s="338">
        <v>200</v>
      </c>
      <c r="O70" s="338"/>
      <c r="P70" s="338">
        <v>30</v>
      </c>
      <c r="Q70" s="338"/>
      <c r="R70" s="642" t="s">
        <v>1562</v>
      </c>
      <c r="S70" s="643">
        <f t="shared" ref="S70:V74" si="24">H70-M70</f>
        <v>30</v>
      </c>
      <c r="T70" s="643">
        <f t="shared" si="24"/>
        <v>30</v>
      </c>
      <c r="U70" s="643">
        <f t="shared" si="24"/>
        <v>0</v>
      </c>
      <c r="V70" s="643">
        <f t="shared" si="24"/>
        <v>76</v>
      </c>
      <c r="W70" s="684"/>
      <c r="X70" s="346"/>
      <c r="Y70" s="346"/>
      <c r="Z70" s="469" t="s">
        <v>1572</v>
      </c>
    </row>
    <row r="71" spans="1:26" s="325" customFormat="1" ht="11.25" customHeight="1" x14ac:dyDescent="0.2">
      <c r="A71" s="328" t="s">
        <v>378</v>
      </c>
      <c r="B71" s="329" t="s">
        <v>1300</v>
      </c>
      <c r="C71" s="329" t="s">
        <v>151</v>
      </c>
      <c r="D71" s="338" t="s">
        <v>1324</v>
      </c>
      <c r="E71" s="329" t="s">
        <v>911</v>
      </c>
      <c r="F71" s="330" t="s">
        <v>464</v>
      </c>
      <c r="G71" s="463"/>
      <c r="H71" s="639"/>
      <c r="I71" s="338">
        <v>0</v>
      </c>
      <c r="J71" s="640">
        <v>0</v>
      </c>
      <c r="K71" s="338"/>
      <c r="L71" s="641">
        <v>0</v>
      </c>
      <c r="M71" s="639"/>
      <c r="N71" s="338"/>
      <c r="O71" s="338"/>
      <c r="P71" s="338"/>
      <c r="Q71" s="338"/>
      <c r="R71" s="642"/>
      <c r="S71" s="643">
        <f t="shared" si="24"/>
        <v>0</v>
      </c>
      <c r="T71" s="643">
        <f t="shared" si="24"/>
        <v>0</v>
      </c>
      <c r="U71" s="643">
        <f t="shared" si="24"/>
        <v>0</v>
      </c>
      <c r="V71" s="643">
        <f t="shared" si="24"/>
        <v>0</v>
      </c>
      <c r="W71" s="684">
        <f>L71-Q71</f>
        <v>0</v>
      </c>
      <c r="X71" s="346"/>
      <c r="Y71" s="346"/>
      <c r="Z71" s="469"/>
    </row>
    <row r="72" spans="1:26" s="325" customFormat="1" ht="11.25" customHeight="1" x14ac:dyDescent="0.2">
      <c r="A72" s="328" t="s">
        <v>378</v>
      </c>
      <c r="B72" s="329" t="s">
        <v>424</v>
      </c>
      <c r="C72" s="329" t="s">
        <v>151</v>
      </c>
      <c r="D72" s="342" t="s">
        <v>152</v>
      </c>
      <c r="E72" s="339" t="s">
        <v>150</v>
      </c>
      <c r="F72" s="330" t="s">
        <v>464</v>
      </c>
      <c r="G72" s="466"/>
      <c r="H72" s="644"/>
      <c r="I72" s="338"/>
      <c r="J72" s="640">
        <v>72</v>
      </c>
      <c r="K72" s="352">
        <v>50</v>
      </c>
      <c r="L72" s="641">
        <v>0</v>
      </c>
      <c r="M72" s="639"/>
      <c r="N72" s="338"/>
      <c r="O72" s="338">
        <v>72</v>
      </c>
      <c r="P72" s="338"/>
      <c r="Q72" s="338"/>
      <c r="R72" s="642" t="s">
        <v>778</v>
      </c>
      <c r="S72" s="643">
        <f t="shared" si="24"/>
        <v>0</v>
      </c>
      <c r="T72" s="643">
        <f t="shared" si="24"/>
        <v>0</v>
      </c>
      <c r="U72" s="643">
        <f t="shared" si="24"/>
        <v>0</v>
      </c>
      <c r="V72" s="643">
        <f t="shared" si="24"/>
        <v>50</v>
      </c>
      <c r="W72" s="684">
        <f>L72-Q72</f>
        <v>0</v>
      </c>
      <c r="X72" s="346"/>
      <c r="Y72" s="346"/>
      <c r="Z72" s="469"/>
    </row>
    <row r="73" spans="1:26" s="325" customFormat="1" ht="11.25" customHeight="1" x14ac:dyDescent="0.2">
      <c r="A73" s="328" t="s">
        <v>378</v>
      </c>
      <c r="B73" s="329" t="s">
        <v>1300</v>
      </c>
      <c r="C73" s="329" t="s">
        <v>151</v>
      </c>
      <c r="D73" s="338" t="s">
        <v>1325</v>
      </c>
      <c r="E73" s="329" t="s">
        <v>197</v>
      </c>
      <c r="F73" s="330" t="s">
        <v>466</v>
      </c>
      <c r="G73" s="463"/>
      <c r="H73" s="639">
        <v>266</v>
      </c>
      <c r="I73" s="338">
        <v>266</v>
      </c>
      <c r="J73" s="338">
        <v>0</v>
      </c>
      <c r="K73" s="338">
        <v>0</v>
      </c>
      <c r="L73" s="641">
        <v>0</v>
      </c>
      <c r="M73" s="639">
        <v>231</v>
      </c>
      <c r="N73" s="338">
        <v>231</v>
      </c>
      <c r="O73" s="338"/>
      <c r="P73" s="338"/>
      <c r="Q73" s="338"/>
      <c r="R73" s="642" t="s">
        <v>1596</v>
      </c>
      <c r="S73" s="643">
        <f t="shared" si="24"/>
        <v>35</v>
      </c>
      <c r="T73" s="643">
        <f t="shared" si="24"/>
        <v>35</v>
      </c>
      <c r="U73" s="643">
        <f t="shared" si="24"/>
        <v>0</v>
      </c>
      <c r="V73" s="643">
        <f t="shared" si="24"/>
        <v>0</v>
      </c>
      <c r="W73" s="684">
        <f>L73-Q73</f>
        <v>0</v>
      </c>
      <c r="X73" s="346"/>
      <c r="Y73" s="346"/>
      <c r="Z73" s="469" t="s">
        <v>1717</v>
      </c>
    </row>
    <row r="74" spans="1:26" s="325" customFormat="1" ht="11.25" customHeight="1" x14ac:dyDescent="0.2">
      <c r="A74" s="328" t="s">
        <v>378</v>
      </c>
      <c r="B74" s="329" t="s">
        <v>424</v>
      </c>
      <c r="C74" s="329" t="s">
        <v>151</v>
      </c>
      <c r="D74" s="342" t="s">
        <v>1326</v>
      </c>
      <c r="E74" s="329" t="s">
        <v>938</v>
      </c>
      <c r="F74" s="330" t="s">
        <v>464</v>
      </c>
      <c r="G74" s="466" t="s">
        <v>1265</v>
      </c>
      <c r="H74" s="639">
        <v>36</v>
      </c>
      <c r="I74" s="338">
        <v>36</v>
      </c>
      <c r="J74" s="338">
        <v>21</v>
      </c>
      <c r="K74" s="640">
        <v>50</v>
      </c>
      <c r="L74" s="641">
        <v>0</v>
      </c>
      <c r="M74" s="639">
        <v>21</v>
      </c>
      <c r="N74" s="338">
        <v>21</v>
      </c>
      <c r="O74" s="338"/>
      <c r="P74" s="338"/>
      <c r="Q74" s="338"/>
      <c r="R74" s="642" t="s">
        <v>1731</v>
      </c>
      <c r="S74" s="643">
        <f t="shared" si="24"/>
        <v>15</v>
      </c>
      <c r="T74" s="643">
        <f t="shared" si="24"/>
        <v>15</v>
      </c>
      <c r="U74" s="643">
        <f t="shared" si="24"/>
        <v>21</v>
      </c>
      <c r="V74" s="643">
        <f t="shared" si="24"/>
        <v>50</v>
      </c>
      <c r="W74" s="684">
        <f>L74-Q74</f>
        <v>0</v>
      </c>
      <c r="X74" s="346"/>
      <c r="Y74" s="346"/>
      <c r="Z74" s="469"/>
    </row>
    <row r="75" spans="1:26" s="325" customFormat="1" ht="11.25" customHeight="1" x14ac:dyDescent="0.2">
      <c r="A75" s="331" t="s">
        <v>3</v>
      </c>
      <c r="B75" s="332"/>
      <c r="C75" s="332"/>
      <c r="D75" s="333"/>
      <c r="E75" s="334"/>
      <c r="F75" s="335"/>
      <c r="G75" s="472"/>
      <c r="H75" s="336">
        <f t="shared" ref="H75:Y75" si="25">SUM(H66:H74)</f>
        <v>663</v>
      </c>
      <c r="I75" s="336">
        <f t="shared" si="25"/>
        <v>742</v>
      </c>
      <c r="J75" s="336">
        <f t="shared" si="25"/>
        <v>199</v>
      </c>
      <c r="K75" s="336">
        <f t="shared" si="25"/>
        <v>206</v>
      </c>
      <c r="L75" s="336">
        <f t="shared" si="25"/>
        <v>1</v>
      </c>
      <c r="M75" s="336">
        <f t="shared" si="25"/>
        <v>488</v>
      </c>
      <c r="N75" s="336">
        <f t="shared" si="25"/>
        <v>482</v>
      </c>
      <c r="O75" s="336">
        <f t="shared" si="25"/>
        <v>72</v>
      </c>
      <c r="P75" s="336">
        <f t="shared" si="25"/>
        <v>30</v>
      </c>
      <c r="Q75" s="336">
        <f t="shared" si="25"/>
        <v>0</v>
      </c>
      <c r="R75" s="336">
        <f t="shared" si="25"/>
        <v>0</v>
      </c>
      <c r="S75" s="336">
        <f t="shared" si="25"/>
        <v>175</v>
      </c>
      <c r="T75" s="336">
        <f t="shared" si="25"/>
        <v>260</v>
      </c>
      <c r="U75" s="336">
        <f t="shared" si="25"/>
        <v>127</v>
      </c>
      <c r="V75" s="336">
        <f t="shared" si="25"/>
        <v>176</v>
      </c>
      <c r="W75" s="336">
        <f t="shared" si="25"/>
        <v>1</v>
      </c>
      <c r="X75" s="336">
        <f t="shared" si="25"/>
        <v>0</v>
      </c>
      <c r="Y75" s="336">
        <f t="shared" si="25"/>
        <v>0</v>
      </c>
      <c r="Z75" s="469"/>
    </row>
    <row r="76" spans="1:26" s="325" customFormat="1" ht="11.25" customHeight="1" x14ac:dyDescent="0.2">
      <c r="A76" s="328" t="s">
        <v>1313</v>
      </c>
      <c r="B76" s="329" t="s">
        <v>424</v>
      </c>
      <c r="C76" s="329" t="s">
        <v>166</v>
      </c>
      <c r="D76" s="329" t="s">
        <v>167</v>
      </c>
      <c r="E76" s="329" t="s">
        <v>279</v>
      </c>
      <c r="F76" s="330" t="s">
        <v>464</v>
      </c>
      <c r="G76" s="463"/>
      <c r="H76" s="644">
        <v>0</v>
      </c>
      <c r="I76" s="338">
        <v>0</v>
      </c>
      <c r="J76" s="338"/>
      <c r="K76" s="640"/>
      <c r="L76" s="641">
        <v>0</v>
      </c>
      <c r="M76" s="639"/>
      <c r="N76" s="338"/>
      <c r="O76" s="338"/>
      <c r="P76" s="338"/>
      <c r="Q76" s="338"/>
      <c r="R76" s="642"/>
      <c r="S76" s="643">
        <f t="shared" ref="S76:W78" si="26">H76-M76</f>
        <v>0</v>
      </c>
      <c r="T76" s="643">
        <f t="shared" si="26"/>
        <v>0</v>
      </c>
      <c r="U76" s="643">
        <f t="shared" si="26"/>
        <v>0</v>
      </c>
      <c r="V76" s="643">
        <f t="shared" si="26"/>
        <v>0</v>
      </c>
      <c r="W76" s="684">
        <f t="shared" si="26"/>
        <v>0</v>
      </c>
      <c r="X76" s="346"/>
      <c r="Y76" s="346"/>
      <c r="Z76" s="469"/>
    </row>
    <row r="77" spans="1:26" s="325" customFormat="1" ht="11.25" customHeight="1" x14ac:dyDescent="0.2">
      <c r="A77" s="328" t="s">
        <v>1313</v>
      </c>
      <c r="B77" s="329" t="s">
        <v>1327</v>
      </c>
      <c r="C77" s="329" t="s">
        <v>166</v>
      </c>
      <c r="D77" s="329" t="s">
        <v>1139</v>
      </c>
      <c r="E77" s="329" t="s">
        <v>1122</v>
      </c>
      <c r="F77" s="330" t="s">
        <v>464</v>
      </c>
      <c r="G77" s="463"/>
      <c r="H77" s="644">
        <v>4</v>
      </c>
      <c r="I77" s="338">
        <v>0</v>
      </c>
      <c r="J77" s="338">
        <v>0</v>
      </c>
      <c r="K77" s="640">
        <v>0</v>
      </c>
      <c r="L77" s="641">
        <v>0</v>
      </c>
      <c r="M77" s="639"/>
      <c r="N77" s="338"/>
      <c r="O77" s="338"/>
      <c r="P77" s="338"/>
      <c r="Q77" s="338"/>
      <c r="R77" s="642"/>
      <c r="S77" s="643">
        <f t="shared" si="26"/>
        <v>4</v>
      </c>
      <c r="T77" s="643">
        <f t="shared" si="26"/>
        <v>0</v>
      </c>
      <c r="U77" s="643">
        <f t="shared" si="26"/>
        <v>0</v>
      </c>
      <c r="V77" s="643">
        <f t="shared" si="26"/>
        <v>0</v>
      </c>
      <c r="W77" s="684">
        <f t="shared" si="26"/>
        <v>0</v>
      </c>
      <c r="X77" s="346"/>
      <c r="Y77" s="346"/>
      <c r="Z77" s="469"/>
    </row>
    <row r="78" spans="1:26" s="325" customFormat="1" ht="11.25" customHeight="1" x14ac:dyDescent="0.2">
      <c r="A78" s="328" t="s">
        <v>1313</v>
      </c>
      <c r="B78" s="329" t="s">
        <v>1316</v>
      </c>
      <c r="C78" s="329" t="s">
        <v>166</v>
      </c>
      <c r="D78" s="329" t="s">
        <v>1328</v>
      </c>
      <c r="E78" s="329" t="s">
        <v>761</v>
      </c>
      <c r="F78" s="330" t="s">
        <v>464</v>
      </c>
      <c r="G78" s="463"/>
      <c r="H78" s="644">
        <v>4</v>
      </c>
      <c r="I78" s="338"/>
      <c r="J78" s="338">
        <v>0</v>
      </c>
      <c r="K78" s="640">
        <v>20</v>
      </c>
      <c r="L78" s="641">
        <v>0</v>
      </c>
      <c r="M78" s="639"/>
      <c r="N78" s="338"/>
      <c r="O78" s="338"/>
      <c r="P78" s="338">
        <v>20</v>
      </c>
      <c r="Q78" s="338"/>
      <c r="R78" s="642" t="s">
        <v>1590</v>
      </c>
      <c r="S78" s="643">
        <f t="shared" si="26"/>
        <v>4</v>
      </c>
      <c r="T78" s="643">
        <f t="shared" si="26"/>
        <v>0</v>
      </c>
      <c r="U78" s="643">
        <f t="shared" si="26"/>
        <v>0</v>
      </c>
      <c r="V78" s="643">
        <f t="shared" si="26"/>
        <v>0</v>
      </c>
      <c r="W78" s="684">
        <f t="shared" si="26"/>
        <v>0</v>
      </c>
      <c r="X78" s="346"/>
      <c r="Y78" s="346"/>
      <c r="Z78" s="469"/>
    </row>
    <row r="79" spans="1:26" s="325" customFormat="1" ht="11.25" customHeight="1" x14ac:dyDescent="0.2">
      <c r="A79" s="331" t="s">
        <v>3</v>
      </c>
      <c r="B79" s="332"/>
      <c r="C79" s="332"/>
      <c r="D79" s="333"/>
      <c r="E79" s="334"/>
      <c r="F79" s="335"/>
      <c r="G79" s="472"/>
      <c r="H79" s="336">
        <f t="shared" ref="H79:Y79" si="27">SUM(H76:H78)</f>
        <v>8</v>
      </c>
      <c r="I79" s="336">
        <f t="shared" si="27"/>
        <v>0</v>
      </c>
      <c r="J79" s="336">
        <f t="shared" si="27"/>
        <v>0</v>
      </c>
      <c r="K79" s="336">
        <f t="shared" si="27"/>
        <v>20</v>
      </c>
      <c r="L79" s="336">
        <f t="shared" si="27"/>
        <v>0</v>
      </c>
      <c r="M79" s="336">
        <f t="shared" si="27"/>
        <v>0</v>
      </c>
      <c r="N79" s="336">
        <f t="shared" si="27"/>
        <v>0</v>
      </c>
      <c r="O79" s="336">
        <f t="shared" si="27"/>
        <v>0</v>
      </c>
      <c r="P79" s="336">
        <f t="shared" si="27"/>
        <v>20</v>
      </c>
      <c r="Q79" s="336">
        <f t="shared" si="27"/>
        <v>0</v>
      </c>
      <c r="R79" s="336">
        <f t="shared" si="27"/>
        <v>0</v>
      </c>
      <c r="S79" s="336">
        <f t="shared" si="27"/>
        <v>8</v>
      </c>
      <c r="T79" s="336">
        <f t="shared" si="27"/>
        <v>0</v>
      </c>
      <c r="U79" s="336">
        <f t="shared" si="27"/>
        <v>0</v>
      </c>
      <c r="V79" s="336">
        <f t="shared" si="27"/>
        <v>0</v>
      </c>
      <c r="W79" s="336">
        <f t="shared" si="27"/>
        <v>0</v>
      </c>
      <c r="X79" s="336">
        <f t="shared" si="27"/>
        <v>0</v>
      </c>
      <c r="Y79" s="336">
        <f t="shared" si="27"/>
        <v>0</v>
      </c>
      <c r="Z79" s="469"/>
    </row>
    <row r="80" spans="1:26" s="325" customFormat="1" ht="11.25" customHeight="1" x14ac:dyDescent="0.2">
      <c r="A80" s="328" t="s">
        <v>378</v>
      </c>
      <c r="B80" s="329" t="s">
        <v>424</v>
      </c>
      <c r="C80" s="329" t="s">
        <v>173</v>
      </c>
      <c r="D80" s="338" t="s">
        <v>1329</v>
      </c>
      <c r="E80" s="329" t="s">
        <v>172</v>
      </c>
      <c r="F80" s="330" t="s">
        <v>464</v>
      </c>
      <c r="G80" s="463" t="s">
        <v>1304</v>
      </c>
      <c r="H80" s="644"/>
      <c r="I80" s="640"/>
      <c r="J80" s="640">
        <v>0</v>
      </c>
      <c r="K80" s="746">
        <v>10</v>
      </c>
      <c r="L80" s="641">
        <v>0</v>
      </c>
      <c r="M80" s="639"/>
      <c r="N80" s="338"/>
      <c r="O80" s="338"/>
      <c r="P80" s="338">
        <v>5</v>
      </c>
      <c r="Q80" s="338"/>
      <c r="R80" s="642" t="s">
        <v>1599</v>
      </c>
      <c r="S80" s="643">
        <f t="shared" ref="S80:W82" si="28">H80-M80</f>
        <v>0</v>
      </c>
      <c r="T80" s="643">
        <f t="shared" si="28"/>
        <v>0</v>
      </c>
      <c r="U80" s="643">
        <f t="shared" si="28"/>
        <v>0</v>
      </c>
      <c r="V80" s="643">
        <f t="shared" si="28"/>
        <v>5</v>
      </c>
      <c r="W80" s="684">
        <f t="shared" si="28"/>
        <v>0</v>
      </c>
      <c r="X80" s="346"/>
      <c r="Y80" s="346"/>
      <c r="Z80" s="469" t="s">
        <v>1330</v>
      </c>
    </row>
    <row r="81" spans="1:26" s="325" customFormat="1" ht="11.25" customHeight="1" x14ac:dyDescent="0.2">
      <c r="A81" s="328" t="s">
        <v>378</v>
      </c>
      <c r="B81" s="329" t="s">
        <v>424</v>
      </c>
      <c r="C81" s="329" t="s">
        <v>173</v>
      </c>
      <c r="D81" s="338" t="s">
        <v>176</v>
      </c>
      <c r="E81" s="329" t="s">
        <v>175</v>
      </c>
      <c r="F81" s="330" t="s">
        <v>464</v>
      </c>
      <c r="G81" s="465" t="s">
        <v>1304</v>
      </c>
      <c r="H81" s="640">
        <v>5</v>
      </c>
      <c r="I81" s="640">
        <v>5</v>
      </c>
      <c r="J81" s="640">
        <v>0</v>
      </c>
      <c r="K81" s="640">
        <v>5</v>
      </c>
      <c r="L81" s="641">
        <v>0</v>
      </c>
      <c r="M81" s="639"/>
      <c r="N81" s="338"/>
      <c r="O81" s="338"/>
      <c r="P81" s="338"/>
      <c r="Q81" s="338"/>
      <c r="R81" s="642"/>
      <c r="S81" s="643">
        <f t="shared" si="28"/>
        <v>5</v>
      </c>
      <c r="T81" s="643">
        <f t="shared" si="28"/>
        <v>5</v>
      </c>
      <c r="U81" s="643">
        <f t="shared" si="28"/>
        <v>0</v>
      </c>
      <c r="V81" s="643">
        <f t="shared" si="28"/>
        <v>5</v>
      </c>
      <c r="W81" s="684">
        <f t="shared" si="28"/>
        <v>0</v>
      </c>
      <c r="X81" s="346"/>
      <c r="Y81" s="346"/>
      <c r="Z81" s="469" t="s">
        <v>1330</v>
      </c>
    </row>
    <row r="82" spans="1:26" s="325" customFormat="1" ht="11.25" customHeight="1" x14ac:dyDescent="0.2">
      <c r="A82" s="328" t="s">
        <v>378</v>
      </c>
      <c r="B82" s="329" t="s">
        <v>1305</v>
      </c>
      <c r="C82" s="329" t="s">
        <v>173</v>
      </c>
      <c r="D82" s="338" t="s">
        <v>1661</v>
      </c>
      <c r="E82" s="329" t="s">
        <v>1649</v>
      </c>
      <c r="F82" s="330" t="s">
        <v>464</v>
      </c>
      <c r="G82" s="465" t="s">
        <v>1304</v>
      </c>
      <c r="H82" s="640">
        <v>45</v>
      </c>
      <c r="I82" s="640">
        <v>45</v>
      </c>
      <c r="J82" s="640"/>
      <c r="K82" s="640"/>
      <c r="L82" s="641"/>
      <c r="M82" s="639">
        <v>45</v>
      </c>
      <c r="N82" s="338">
        <v>45</v>
      </c>
      <c r="O82" s="338"/>
      <c r="P82" s="338"/>
      <c r="Q82" s="338"/>
      <c r="R82" s="642" t="s">
        <v>778</v>
      </c>
      <c r="S82" s="643">
        <f t="shared" si="28"/>
        <v>0</v>
      </c>
      <c r="T82" s="643">
        <f t="shared" si="28"/>
        <v>0</v>
      </c>
      <c r="U82" s="643">
        <f t="shared" si="28"/>
        <v>0</v>
      </c>
      <c r="V82" s="643">
        <f t="shared" si="28"/>
        <v>0</v>
      </c>
      <c r="W82" s="684">
        <f t="shared" si="28"/>
        <v>0</v>
      </c>
      <c r="X82" s="346"/>
      <c r="Y82" s="346">
        <v>42</v>
      </c>
      <c r="Z82" s="469"/>
    </row>
    <row r="83" spans="1:26" s="325" customFormat="1" ht="11.25" customHeight="1" x14ac:dyDescent="0.2">
      <c r="A83" s="328" t="s">
        <v>378</v>
      </c>
      <c r="B83" s="329" t="s">
        <v>1305</v>
      </c>
      <c r="C83" s="329" t="s">
        <v>173</v>
      </c>
      <c r="D83" s="338" t="s">
        <v>1662</v>
      </c>
      <c r="E83" s="329" t="s">
        <v>1650</v>
      </c>
      <c r="F83" s="330" t="s">
        <v>464</v>
      </c>
      <c r="G83" s="465" t="s">
        <v>1304</v>
      </c>
      <c r="H83" s="640">
        <v>79</v>
      </c>
      <c r="I83" s="640">
        <v>79</v>
      </c>
      <c r="J83" s="640"/>
      <c r="K83" s="640"/>
      <c r="L83" s="641"/>
      <c r="M83" s="639">
        <v>79</v>
      </c>
      <c r="N83" s="338">
        <v>79</v>
      </c>
      <c r="O83" s="338"/>
      <c r="P83" s="338"/>
      <c r="Q83" s="338"/>
      <c r="R83" s="642" t="s">
        <v>1943</v>
      </c>
      <c r="S83" s="643">
        <f>H83-M83</f>
        <v>0</v>
      </c>
      <c r="T83" s="643">
        <v>79</v>
      </c>
      <c r="U83" s="643">
        <f t="shared" ref="U83:W87" si="29">J83-O83</f>
        <v>0</v>
      </c>
      <c r="V83" s="643">
        <f t="shared" si="29"/>
        <v>0</v>
      </c>
      <c r="W83" s="684">
        <f t="shared" si="29"/>
        <v>0</v>
      </c>
      <c r="X83" s="346"/>
      <c r="Y83" s="346">
        <v>60</v>
      </c>
      <c r="Z83" s="469"/>
    </row>
    <row r="84" spans="1:26" s="325" customFormat="1" ht="11.25" customHeight="1" x14ac:dyDescent="0.2">
      <c r="A84" s="328" t="s">
        <v>378</v>
      </c>
      <c r="B84" s="329" t="s">
        <v>424</v>
      </c>
      <c r="C84" s="329" t="s">
        <v>173</v>
      </c>
      <c r="D84" s="338" t="s">
        <v>1728</v>
      </c>
      <c r="E84" s="329" t="s">
        <v>1651</v>
      </c>
      <c r="F84" s="330" t="s">
        <v>464</v>
      </c>
      <c r="G84" s="465" t="s">
        <v>1304</v>
      </c>
      <c r="H84" s="640">
        <v>111</v>
      </c>
      <c r="I84" s="640">
        <v>111</v>
      </c>
      <c r="J84" s="640"/>
      <c r="K84" s="640"/>
      <c r="L84" s="641">
        <v>2</v>
      </c>
      <c r="M84" s="639"/>
      <c r="N84" s="338"/>
      <c r="O84" s="338"/>
      <c r="P84" s="338"/>
      <c r="Q84" s="338"/>
      <c r="R84" s="642"/>
      <c r="S84" s="643">
        <f>H84-M84</f>
        <v>111</v>
      </c>
      <c r="T84" s="643">
        <f>I84-N84</f>
        <v>111</v>
      </c>
      <c r="U84" s="643">
        <f t="shared" si="29"/>
        <v>0</v>
      </c>
      <c r="V84" s="643">
        <f t="shared" si="29"/>
        <v>0</v>
      </c>
      <c r="W84" s="684">
        <f t="shared" si="29"/>
        <v>2</v>
      </c>
      <c r="X84" s="346"/>
      <c r="Y84" s="346">
        <v>30</v>
      </c>
      <c r="Z84" s="469"/>
    </row>
    <row r="85" spans="1:26" s="325" customFormat="1" ht="11.25" customHeight="1" x14ac:dyDescent="0.2">
      <c r="A85" s="328" t="s">
        <v>378</v>
      </c>
      <c r="B85" s="329" t="s">
        <v>1305</v>
      </c>
      <c r="C85" s="329" t="s">
        <v>173</v>
      </c>
      <c r="D85" s="338" t="s">
        <v>1665</v>
      </c>
      <c r="E85" s="329" t="s">
        <v>1652</v>
      </c>
      <c r="F85" s="330" t="s">
        <v>464</v>
      </c>
      <c r="G85" s="465" t="s">
        <v>1304</v>
      </c>
      <c r="H85" s="640">
        <v>6</v>
      </c>
      <c r="I85" s="640">
        <v>6</v>
      </c>
      <c r="J85" s="640"/>
      <c r="K85" s="640"/>
      <c r="L85" s="641"/>
      <c r="M85" s="639">
        <v>6</v>
      </c>
      <c r="N85" s="338">
        <v>6</v>
      </c>
      <c r="O85" s="338"/>
      <c r="P85" s="338"/>
      <c r="Q85" s="338"/>
      <c r="R85" s="642" t="s">
        <v>1943</v>
      </c>
      <c r="S85" s="643">
        <f>H85-M85</f>
        <v>0</v>
      </c>
      <c r="T85" s="643">
        <f>I85-N85</f>
        <v>0</v>
      </c>
      <c r="U85" s="643">
        <f t="shared" si="29"/>
        <v>0</v>
      </c>
      <c r="V85" s="643">
        <f t="shared" si="29"/>
        <v>0</v>
      </c>
      <c r="W85" s="684">
        <f t="shared" si="29"/>
        <v>0</v>
      </c>
      <c r="X85" s="346"/>
      <c r="Y85" s="346">
        <v>33</v>
      </c>
      <c r="Z85" s="469"/>
    </row>
    <row r="86" spans="1:26" s="325" customFormat="1" ht="11.25" customHeight="1" x14ac:dyDescent="0.2">
      <c r="A86" s="328" t="s">
        <v>378</v>
      </c>
      <c r="B86" s="329" t="s">
        <v>424</v>
      </c>
      <c r="C86" s="329" t="s">
        <v>173</v>
      </c>
      <c r="D86" s="338" t="s">
        <v>1331</v>
      </c>
      <c r="E86" s="329" t="s">
        <v>1055</v>
      </c>
      <c r="F86" s="330" t="s">
        <v>464</v>
      </c>
      <c r="G86" s="465" t="s">
        <v>1304</v>
      </c>
      <c r="H86" s="640"/>
      <c r="I86" s="640">
        <v>0</v>
      </c>
      <c r="J86" s="640">
        <v>0</v>
      </c>
      <c r="K86" s="640"/>
      <c r="L86" s="641">
        <v>0</v>
      </c>
      <c r="M86" s="639"/>
      <c r="N86" s="338"/>
      <c r="O86" s="338"/>
      <c r="P86" s="338"/>
      <c r="Q86" s="338"/>
      <c r="R86" s="642"/>
      <c r="S86" s="643">
        <f>H86-M86</f>
        <v>0</v>
      </c>
      <c r="T86" s="643">
        <f>I86-N86</f>
        <v>0</v>
      </c>
      <c r="U86" s="643">
        <f t="shared" si="29"/>
        <v>0</v>
      </c>
      <c r="V86" s="643">
        <f t="shared" si="29"/>
        <v>0</v>
      </c>
      <c r="W86" s="684">
        <f t="shared" si="29"/>
        <v>0</v>
      </c>
      <c r="X86" s="346"/>
      <c r="Y86" s="346"/>
      <c r="Z86" s="469"/>
    </row>
    <row r="87" spans="1:26" s="325" customFormat="1" ht="11.25" customHeight="1" x14ac:dyDescent="0.2">
      <c r="A87" s="639" t="s">
        <v>378</v>
      </c>
      <c r="B87" s="338" t="s">
        <v>424</v>
      </c>
      <c r="C87" s="338" t="s">
        <v>173</v>
      </c>
      <c r="D87" s="338" t="s">
        <v>1332</v>
      </c>
      <c r="E87" s="329" t="s">
        <v>177</v>
      </c>
      <c r="F87" s="330" t="s">
        <v>464</v>
      </c>
      <c r="G87" s="463" t="s">
        <v>1304</v>
      </c>
      <c r="H87" s="644"/>
      <c r="I87" s="640"/>
      <c r="J87" s="640">
        <v>0</v>
      </c>
      <c r="K87" s="640">
        <v>10</v>
      </c>
      <c r="L87" s="641">
        <v>0</v>
      </c>
      <c r="M87" s="639"/>
      <c r="N87" s="338"/>
      <c r="O87" s="338"/>
      <c r="P87" s="338"/>
      <c r="Q87" s="338"/>
      <c r="R87" s="642"/>
      <c r="S87" s="643">
        <f>H87-M87</f>
        <v>0</v>
      </c>
      <c r="T87" s="643">
        <f>I87-N87</f>
        <v>0</v>
      </c>
      <c r="U87" s="643">
        <f t="shared" si="29"/>
        <v>0</v>
      </c>
      <c r="V87" s="643">
        <f t="shared" si="29"/>
        <v>10</v>
      </c>
      <c r="W87" s="684">
        <f t="shared" si="29"/>
        <v>0</v>
      </c>
      <c r="X87" s="346"/>
      <c r="Y87" s="346"/>
      <c r="Z87" s="469" t="s">
        <v>1330</v>
      </c>
    </row>
    <row r="88" spans="1:26" s="325" customFormat="1" ht="11.25" customHeight="1" x14ac:dyDescent="0.2">
      <c r="A88" s="331" t="s">
        <v>3</v>
      </c>
      <c r="B88" s="332"/>
      <c r="C88" s="332"/>
      <c r="D88" s="333"/>
      <c r="E88" s="334"/>
      <c r="F88" s="335"/>
      <c r="G88" s="472"/>
      <c r="H88" s="336">
        <f t="shared" ref="H88:Y88" si="30">SUM(H80:H87)</f>
        <v>246</v>
      </c>
      <c r="I88" s="336">
        <f t="shared" si="30"/>
        <v>246</v>
      </c>
      <c r="J88" s="336">
        <f t="shared" si="30"/>
        <v>0</v>
      </c>
      <c r="K88" s="336">
        <f t="shared" si="30"/>
        <v>25</v>
      </c>
      <c r="L88" s="336">
        <f t="shared" si="30"/>
        <v>2</v>
      </c>
      <c r="M88" s="336">
        <f t="shared" si="30"/>
        <v>130</v>
      </c>
      <c r="N88" s="336">
        <f t="shared" si="30"/>
        <v>130</v>
      </c>
      <c r="O88" s="336">
        <f t="shared" si="30"/>
        <v>0</v>
      </c>
      <c r="P88" s="336">
        <f t="shared" si="30"/>
        <v>5</v>
      </c>
      <c r="Q88" s="336">
        <f t="shared" si="30"/>
        <v>0</v>
      </c>
      <c r="R88" s="336">
        <f t="shared" si="30"/>
        <v>0</v>
      </c>
      <c r="S88" s="336">
        <f t="shared" si="30"/>
        <v>116</v>
      </c>
      <c r="T88" s="336">
        <f t="shared" si="30"/>
        <v>195</v>
      </c>
      <c r="U88" s="336">
        <f t="shared" si="30"/>
        <v>0</v>
      </c>
      <c r="V88" s="336">
        <f t="shared" si="30"/>
        <v>20</v>
      </c>
      <c r="W88" s="336">
        <f t="shared" si="30"/>
        <v>2</v>
      </c>
      <c r="X88" s="336">
        <f t="shared" si="30"/>
        <v>0</v>
      </c>
      <c r="Y88" s="336">
        <f t="shared" si="30"/>
        <v>165</v>
      </c>
      <c r="Z88" s="469"/>
    </row>
    <row r="89" spans="1:26" s="325" customFormat="1" ht="11.25" customHeight="1" x14ac:dyDescent="0.2">
      <c r="A89" s="328" t="s">
        <v>378</v>
      </c>
      <c r="B89" s="329" t="s">
        <v>424</v>
      </c>
      <c r="C89" s="329" t="s">
        <v>180</v>
      </c>
      <c r="D89" s="329" t="s">
        <v>1333</v>
      </c>
      <c r="E89" s="329" t="s">
        <v>285</v>
      </c>
      <c r="F89" s="330" t="s">
        <v>464</v>
      </c>
      <c r="G89" s="463"/>
      <c r="H89" s="747">
        <v>0</v>
      </c>
      <c r="I89" s="338"/>
      <c r="J89" s="748">
        <v>0</v>
      </c>
      <c r="K89" s="748"/>
      <c r="L89" s="749">
        <v>0</v>
      </c>
      <c r="M89" s="639"/>
      <c r="N89" s="338"/>
      <c r="O89" s="338"/>
      <c r="P89" s="338"/>
      <c r="Q89" s="338"/>
      <c r="R89" s="642"/>
      <c r="S89" s="643">
        <f t="shared" ref="S89:W90" si="31">H89-M89</f>
        <v>0</v>
      </c>
      <c r="T89" s="643">
        <f t="shared" si="31"/>
        <v>0</v>
      </c>
      <c r="U89" s="643">
        <f t="shared" si="31"/>
        <v>0</v>
      </c>
      <c r="V89" s="643">
        <f t="shared" si="31"/>
        <v>0</v>
      </c>
      <c r="W89" s="684">
        <f t="shared" si="31"/>
        <v>0</v>
      </c>
      <c r="X89" s="346"/>
      <c r="Y89" s="346"/>
      <c r="Z89" s="469" t="s">
        <v>1330</v>
      </c>
    </row>
    <row r="90" spans="1:26" s="325" customFormat="1" ht="11.25" customHeight="1" x14ac:dyDescent="0.2">
      <c r="A90" s="328" t="s">
        <v>378</v>
      </c>
      <c r="B90" s="329" t="s">
        <v>1305</v>
      </c>
      <c r="C90" s="329" t="s">
        <v>180</v>
      </c>
      <c r="D90" s="329" t="s">
        <v>1334</v>
      </c>
      <c r="E90" s="329" t="s">
        <v>179</v>
      </c>
      <c r="F90" s="330" t="s">
        <v>464</v>
      </c>
      <c r="G90" s="463"/>
      <c r="H90" s="644">
        <v>11</v>
      </c>
      <c r="I90" s="640">
        <v>11</v>
      </c>
      <c r="J90" s="748"/>
      <c r="K90" s="748"/>
      <c r="L90" s="749">
        <v>0</v>
      </c>
      <c r="M90" s="639">
        <v>11</v>
      </c>
      <c r="N90" s="338">
        <v>11</v>
      </c>
      <c r="O90" s="338"/>
      <c r="P90" s="338"/>
      <c r="Q90" s="338"/>
      <c r="R90" s="642" t="s">
        <v>1561</v>
      </c>
      <c r="S90" s="643">
        <f t="shared" si="31"/>
        <v>0</v>
      </c>
      <c r="T90" s="643">
        <f t="shared" si="31"/>
        <v>0</v>
      </c>
      <c r="U90" s="643">
        <f t="shared" si="31"/>
        <v>0</v>
      </c>
      <c r="V90" s="643">
        <f t="shared" si="31"/>
        <v>0</v>
      </c>
      <c r="W90" s="684">
        <f t="shared" si="31"/>
        <v>0</v>
      </c>
      <c r="X90" s="346"/>
      <c r="Y90" s="346"/>
      <c r="Z90" s="469"/>
    </row>
    <row r="91" spans="1:26" s="325" customFormat="1" ht="11.25" customHeight="1" x14ac:dyDescent="0.2">
      <c r="A91" s="331" t="s">
        <v>3</v>
      </c>
      <c r="B91" s="332"/>
      <c r="C91" s="332"/>
      <c r="D91" s="333"/>
      <c r="E91" s="334"/>
      <c r="F91" s="335"/>
      <c r="G91" s="472"/>
      <c r="H91" s="336">
        <f t="shared" ref="H91:Y91" si="32">SUM(H89:H90)</f>
        <v>11</v>
      </c>
      <c r="I91" s="336">
        <f t="shared" si="32"/>
        <v>11</v>
      </c>
      <c r="J91" s="336">
        <f t="shared" si="32"/>
        <v>0</v>
      </c>
      <c r="K91" s="336">
        <f t="shared" si="32"/>
        <v>0</v>
      </c>
      <c r="L91" s="336">
        <f t="shared" si="32"/>
        <v>0</v>
      </c>
      <c r="M91" s="336">
        <f t="shared" si="32"/>
        <v>11</v>
      </c>
      <c r="N91" s="336">
        <f t="shared" si="32"/>
        <v>11</v>
      </c>
      <c r="O91" s="336">
        <f t="shared" si="32"/>
        <v>0</v>
      </c>
      <c r="P91" s="336">
        <f t="shared" si="32"/>
        <v>0</v>
      </c>
      <c r="Q91" s="336">
        <f t="shared" si="32"/>
        <v>0</v>
      </c>
      <c r="R91" s="336">
        <f t="shared" si="32"/>
        <v>0</v>
      </c>
      <c r="S91" s="336">
        <f t="shared" si="32"/>
        <v>0</v>
      </c>
      <c r="T91" s="336">
        <f t="shared" si="32"/>
        <v>0</v>
      </c>
      <c r="U91" s="336">
        <f t="shared" si="32"/>
        <v>0</v>
      </c>
      <c r="V91" s="336">
        <f t="shared" si="32"/>
        <v>0</v>
      </c>
      <c r="W91" s="336">
        <f t="shared" si="32"/>
        <v>0</v>
      </c>
      <c r="X91" s="336">
        <f t="shared" si="32"/>
        <v>0</v>
      </c>
      <c r="Y91" s="336">
        <f t="shared" si="32"/>
        <v>0</v>
      </c>
      <c r="Z91" s="469"/>
    </row>
    <row r="92" spans="1:26" s="325" customFormat="1" ht="11.25" customHeight="1" x14ac:dyDescent="0.2">
      <c r="A92" s="328" t="s">
        <v>378</v>
      </c>
      <c r="B92" s="329" t="s">
        <v>1305</v>
      </c>
      <c r="C92" s="329" t="s">
        <v>185</v>
      </c>
      <c r="D92" s="329" t="s">
        <v>523</v>
      </c>
      <c r="E92" s="329" t="s">
        <v>191</v>
      </c>
      <c r="F92" s="330" t="s">
        <v>466</v>
      </c>
      <c r="G92" s="463"/>
      <c r="H92" s="639"/>
      <c r="I92" s="338"/>
      <c r="J92" s="640">
        <v>0</v>
      </c>
      <c r="K92" s="640">
        <v>0</v>
      </c>
      <c r="L92" s="641">
        <v>1</v>
      </c>
      <c r="M92" s="639"/>
      <c r="N92" s="338"/>
      <c r="O92" s="338"/>
      <c r="P92" s="338"/>
      <c r="Q92" s="338"/>
      <c r="R92" s="642"/>
      <c r="S92" s="643">
        <f t="shared" ref="S92:S100" si="33">H92-M92</f>
        <v>0</v>
      </c>
      <c r="T92" s="643">
        <f t="shared" ref="T92:T100" si="34">I92-N92</f>
        <v>0</v>
      </c>
      <c r="U92" s="643">
        <f t="shared" ref="U92:U100" si="35">J92-O92</f>
        <v>0</v>
      </c>
      <c r="V92" s="643">
        <f t="shared" ref="V92:V100" si="36">K92-P92</f>
        <v>0</v>
      </c>
      <c r="W92" s="684">
        <f t="shared" ref="W92:W100" si="37">L92-Q92</f>
        <v>1</v>
      </c>
      <c r="X92" s="346"/>
      <c r="Y92" s="346"/>
      <c r="Z92" s="469"/>
    </row>
    <row r="93" spans="1:26" s="325" customFormat="1" ht="11.25" customHeight="1" x14ac:dyDescent="0.2">
      <c r="A93" s="328" t="s">
        <v>378</v>
      </c>
      <c r="B93" s="329" t="s">
        <v>1305</v>
      </c>
      <c r="C93" s="329" t="s">
        <v>185</v>
      </c>
      <c r="D93" s="329" t="s">
        <v>676</v>
      </c>
      <c r="E93" s="329" t="s">
        <v>193</v>
      </c>
      <c r="F93" s="330" t="s">
        <v>466</v>
      </c>
      <c r="G93" s="463" t="s">
        <v>1304</v>
      </c>
      <c r="H93" s="644">
        <v>169</v>
      </c>
      <c r="I93" s="640">
        <v>169</v>
      </c>
      <c r="J93" s="640">
        <v>20</v>
      </c>
      <c r="K93" s="640"/>
      <c r="L93" s="641">
        <v>1</v>
      </c>
      <c r="M93" s="639">
        <v>12</v>
      </c>
      <c r="N93" s="338"/>
      <c r="O93" s="338">
        <v>20</v>
      </c>
      <c r="P93" s="338"/>
      <c r="Q93" s="338"/>
      <c r="R93" s="642" t="s">
        <v>1647</v>
      </c>
      <c r="S93" s="643">
        <f t="shared" si="33"/>
        <v>157</v>
      </c>
      <c r="T93" s="643">
        <f t="shared" si="34"/>
        <v>169</v>
      </c>
      <c r="U93" s="643">
        <f t="shared" si="35"/>
        <v>0</v>
      </c>
      <c r="V93" s="643">
        <f t="shared" si="36"/>
        <v>0</v>
      </c>
      <c r="W93" s="684">
        <f t="shared" si="37"/>
        <v>1</v>
      </c>
      <c r="X93" s="346"/>
      <c r="Y93" s="346"/>
      <c r="Z93" s="469"/>
    </row>
    <row r="94" spans="1:26" s="325" customFormat="1" ht="11.25" customHeight="1" x14ac:dyDescent="0.2">
      <c r="A94" s="328" t="s">
        <v>378</v>
      </c>
      <c r="B94" s="329" t="s">
        <v>1305</v>
      </c>
      <c r="C94" s="329" t="s">
        <v>185</v>
      </c>
      <c r="D94" s="329" t="s">
        <v>1335</v>
      </c>
      <c r="E94" s="329" t="s">
        <v>195</v>
      </c>
      <c r="F94" s="330" t="s">
        <v>466</v>
      </c>
      <c r="G94" s="463"/>
      <c r="H94" s="644">
        <v>598</v>
      </c>
      <c r="I94" s="640">
        <v>598</v>
      </c>
      <c r="J94" s="640">
        <v>531</v>
      </c>
      <c r="K94" s="640">
        <v>40</v>
      </c>
      <c r="L94" s="641">
        <v>4</v>
      </c>
      <c r="M94" s="639">
        <v>59</v>
      </c>
      <c r="N94" s="338">
        <v>59</v>
      </c>
      <c r="O94" s="338">
        <v>531</v>
      </c>
      <c r="P94" s="338"/>
      <c r="Q94" s="338"/>
      <c r="R94" s="642" t="s">
        <v>1769</v>
      </c>
      <c r="S94" s="643">
        <f t="shared" si="33"/>
        <v>539</v>
      </c>
      <c r="T94" s="643">
        <f t="shared" si="34"/>
        <v>539</v>
      </c>
      <c r="U94" s="643">
        <f t="shared" si="35"/>
        <v>0</v>
      </c>
      <c r="V94" s="643">
        <f t="shared" si="36"/>
        <v>40</v>
      </c>
      <c r="W94" s="684">
        <f t="shared" si="37"/>
        <v>4</v>
      </c>
      <c r="X94" s="346"/>
      <c r="Y94" s="346"/>
      <c r="Z94" s="469" t="s">
        <v>1592</v>
      </c>
    </row>
    <row r="95" spans="1:26" s="325" customFormat="1" ht="11.25" customHeight="1" x14ac:dyDescent="0.2">
      <c r="A95" s="328" t="s">
        <v>378</v>
      </c>
      <c r="B95" s="329" t="s">
        <v>424</v>
      </c>
      <c r="C95" s="329" t="s">
        <v>185</v>
      </c>
      <c r="D95" s="329" t="s">
        <v>186</v>
      </c>
      <c r="E95" s="339" t="s">
        <v>184</v>
      </c>
      <c r="F95" s="330" t="s">
        <v>464</v>
      </c>
      <c r="G95" s="345" t="s">
        <v>1460</v>
      </c>
      <c r="H95" s="639">
        <v>27</v>
      </c>
      <c r="I95" s="338">
        <v>27</v>
      </c>
      <c r="J95" s="640">
        <v>20</v>
      </c>
      <c r="K95" s="640">
        <v>0</v>
      </c>
      <c r="L95" s="641">
        <v>0</v>
      </c>
      <c r="M95" s="639"/>
      <c r="N95" s="338"/>
      <c r="O95" s="338"/>
      <c r="P95" s="338"/>
      <c r="Q95" s="338"/>
      <c r="R95" s="642"/>
      <c r="S95" s="643">
        <f t="shared" si="33"/>
        <v>27</v>
      </c>
      <c r="T95" s="643">
        <f t="shared" si="34"/>
        <v>27</v>
      </c>
      <c r="U95" s="643">
        <f t="shared" si="35"/>
        <v>20</v>
      </c>
      <c r="V95" s="643">
        <f t="shared" si="36"/>
        <v>0</v>
      </c>
      <c r="W95" s="684">
        <f t="shared" si="37"/>
        <v>0</v>
      </c>
      <c r="X95" s="346"/>
      <c r="Y95" s="346"/>
      <c r="Z95" s="469"/>
    </row>
    <row r="96" spans="1:26" s="325" customFormat="1" ht="11.25" customHeight="1" x14ac:dyDescent="0.2">
      <c r="A96" s="328" t="s">
        <v>378</v>
      </c>
      <c r="B96" s="329" t="s">
        <v>1300</v>
      </c>
      <c r="C96" s="329" t="s">
        <v>185</v>
      </c>
      <c r="D96" s="329" t="s">
        <v>1336</v>
      </c>
      <c r="E96" s="329" t="s">
        <v>222</v>
      </c>
      <c r="F96" s="330" t="s">
        <v>464</v>
      </c>
      <c r="G96" s="463"/>
      <c r="H96" s="644">
        <v>45</v>
      </c>
      <c r="I96" s="640">
        <v>45</v>
      </c>
      <c r="J96" s="640">
        <v>0</v>
      </c>
      <c r="K96" s="640">
        <v>0</v>
      </c>
      <c r="L96" s="641">
        <v>1</v>
      </c>
      <c r="M96" s="639">
        <v>45</v>
      </c>
      <c r="N96" s="338">
        <v>45</v>
      </c>
      <c r="O96" s="338"/>
      <c r="P96" s="338"/>
      <c r="Q96" s="338">
        <v>1</v>
      </c>
      <c r="R96" s="642" t="s">
        <v>1595</v>
      </c>
      <c r="S96" s="643">
        <f t="shared" si="33"/>
        <v>0</v>
      </c>
      <c r="T96" s="643">
        <f t="shared" si="34"/>
        <v>0</v>
      </c>
      <c r="U96" s="643">
        <f t="shared" si="35"/>
        <v>0</v>
      </c>
      <c r="V96" s="643">
        <f t="shared" si="36"/>
        <v>0</v>
      </c>
      <c r="W96" s="684">
        <f t="shared" si="37"/>
        <v>0</v>
      </c>
      <c r="X96" s="346"/>
      <c r="Y96" s="346"/>
      <c r="Z96" s="469"/>
    </row>
    <row r="97" spans="1:26" s="325" customFormat="1" ht="11.25" customHeight="1" x14ac:dyDescent="0.2">
      <c r="A97" s="328" t="s">
        <v>378</v>
      </c>
      <c r="B97" s="329" t="s">
        <v>424</v>
      </c>
      <c r="C97" s="329" t="s">
        <v>185</v>
      </c>
      <c r="D97" s="339" t="s">
        <v>190</v>
      </c>
      <c r="E97" s="339" t="s">
        <v>189</v>
      </c>
      <c r="F97" s="330" t="s">
        <v>464</v>
      </c>
      <c r="G97" s="466"/>
      <c r="H97" s="639">
        <v>52</v>
      </c>
      <c r="I97" s="338">
        <v>20</v>
      </c>
      <c r="J97" s="640">
        <v>12</v>
      </c>
      <c r="K97" s="640"/>
      <c r="L97" s="642"/>
      <c r="M97" s="328">
        <v>52</v>
      </c>
      <c r="N97" s="329"/>
      <c r="O97" s="329">
        <v>12</v>
      </c>
      <c r="P97" s="329"/>
      <c r="Q97" s="329"/>
      <c r="R97" s="642" t="s">
        <v>1642</v>
      </c>
      <c r="S97" s="643">
        <f t="shared" si="33"/>
        <v>0</v>
      </c>
      <c r="T97" s="643">
        <f t="shared" si="34"/>
        <v>20</v>
      </c>
      <c r="U97" s="643">
        <f t="shared" si="35"/>
        <v>0</v>
      </c>
      <c r="V97" s="643">
        <f t="shared" si="36"/>
        <v>0</v>
      </c>
      <c r="W97" s="684">
        <f t="shared" si="37"/>
        <v>0</v>
      </c>
      <c r="X97" s="346"/>
      <c r="Y97" s="346"/>
      <c r="Z97" s="469"/>
    </row>
    <row r="98" spans="1:26" s="325" customFormat="1" ht="11.25" customHeight="1" x14ac:dyDescent="0.2">
      <c r="A98" s="328" t="s">
        <v>378</v>
      </c>
      <c r="B98" s="329" t="s">
        <v>424</v>
      </c>
      <c r="C98" s="329" t="s">
        <v>185</v>
      </c>
      <c r="D98" s="329" t="s">
        <v>1339</v>
      </c>
      <c r="E98" s="329" t="s">
        <v>228</v>
      </c>
      <c r="F98" s="330" t="s">
        <v>464</v>
      </c>
      <c r="G98" s="463" t="s">
        <v>1304</v>
      </c>
      <c r="H98" s="639">
        <v>2</v>
      </c>
      <c r="I98" s="338">
        <v>10</v>
      </c>
      <c r="J98" s="640">
        <v>7</v>
      </c>
      <c r="K98" s="640">
        <v>10</v>
      </c>
      <c r="L98" s="642">
        <v>1</v>
      </c>
      <c r="M98" s="328"/>
      <c r="N98" s="329"/>
      <c r="O98" s="329">
        <v>3</v>
      </c>
      <c r="P98" s="329"/>
      <c r="Q98" s="329"/>
      <c r="R98" s="642" t="s">
        <v>1599</v>
      </c>
      <c r="S98" s="643">
        <f t="shared" si="33"/>
        <v>2</v>
      </c>
      <c r="T98" s="643">
        <f t="shared" si="34"/>
        <v>10</v>
      </c>
      <c r="U98" s="643">
        <f t="shared" si="35"/>
        <v>4</v>
      </c>
      <c r="V98" s="643">
        <f t="shared" si="36"/>
        <v>10</v>
      </c>
      <c r="W98" s="684">
        <f t="shared" si="37"/>
        <v>1</v>
      </c>
      <c r="X98" s="346"/>
      <c r="Y98" s="346"/>
      <c r="Z98" s="469" t="s">
        <v>1330</v>
      </c>
    </row>
    <row r="99" spans="1:26" s="325" customFormat="1" ht="11.25" customHeight="1" x14ac:dyDescent="0.2">
      <c r="A99" s="328" t="s">
        <v>378</v>
      </c>
      <c r="B99" s="329" t="s">
        <v>1300</v>
      </c>
      <c r="C99" s="329" t="s">
        <v>185</v>
      </c>
      <c r="D99" s="329" t="s">
        <v>202</v>
      </c>
      <c r="E99" s="329" t="s">
        <v>201</v>
      </c>
      <c r="F99" s="330" t="s">
        <v>464</v>
      </c>
      <c r="G99" s="463"/>
      <c r="H99" s="644"/>
      <c r="I99" s="640"/>
      <c r="J99" s="640">
        <v>0</v>
      </c>
      <c r="K99" s="640"/>
      <c r="L99" s="641">
        <v>0</v>
      </c>
      <c r="M99" s="639"/>
      <c r="N99" s="338"/>
      <c r="O99" s="338"/>
      <c r="P99" s="338"/>
      <c r="Q99" s="338"/>
      <c r="R99" s="642"/>
      <c r="S99" s="643">
        <f t="shared" si="33"/>
        <v>0</v>
      </c>
      <c r="T99" s="643">
        <f t="shared" si="34"/>
        <v>0</v>
      </c>
      <c r="U99" s="643">
        <f t="shared" si="35"/>
        <v>0</v>
      </c>
      <c r="V99" s="643">
        <f t="shared" si="36"/>
        <v>0</v>
      </c>
      <c r="W99" s="684">
        <f t="shared" si="37"/>
        <v>0</v>
      </c>
      <c r="X99" s="346"/>
      <c r="Y99" s="346"/>
      <c r="Z99" s="469"/>
    </row>
    <row r="100" spans="1:26" s="325" customFormat="1" ht="11.25" customHeight="1" x14ac:dyDescent="0.2">
      <c r="A100" s="328" t="s">
        <v>378</v>
      </c>
      <c r="B100" s="329" t="s">
        <v>424</v>
      </c>
      <c r="C100" s="329" t="s">
        <v>185</v>
      </c>
      <c r="D100" s="329" t="s">
        <v>209</v>
      </c>
      <c r="E100" s="329" t="s">
        <v>208</v>
      </c>
      <c r="F100" s="330" t="s">
        <v>464</v>
      </c>
      <c r="G100" s="463" t="s">
        <v>1304</v>
      </c>
      <c r="H100" s="644">
        <v>40</v>
      </c>
      <c r="I100" s="640">
        <v>40</v>
      </c>
      <c r="J100" s="746">
        <v>102</v>
      </c>
      <c r="K100" s="640">
        <v>0</v>
      </c>
      <c r="L100" s="641">
        <v>0</v>
      </c>
      <c r="M100" s="328">
        <v>40</v>
      </c>
      <c r="N100" s="329">
        <v>40</v>
      </c>
      <c r="O100" s="329">
        <v>102</v>
      </c>
      <c r="P100" s="329"/>
      <c r="Q100" s="329"/>
      <c r="R100" s="642" t="s">
        <v>1735</v>
      </c>
      <c r="S100" s="643">
        <f t="shared" si="33"/>
        <v>0</v>
      </c>
      <c r="T100" s="643">
        <f t="shared" si="34"/>
        <v>0</v>
      </c>
      <c r="U100" s="643">
        <f t="shared" si="35"/>
        <v>0</v>
      </c>
      <c r="V100" s="643">
        <f t="shared" si="36"/>
        <v>0</v>
      </c>
      <c r="W100" s="684">
        <f t="shared" si="37"/>
        <v>0</v>
      </c>
      <c r="X100" s="346"/>
      <c r="Y100" s="346"/>
      <c r="Z100" s="469" t="s">
        <v>1330</v>
      </c>
    </row>
    <row r="101" spans="1:26" s="325" customFormat="1" ht="11.25" customHeight="1" x14ac:dyDescent="0.2">
      <c r="A101" s="328" t="s">
        <v>378</v>
      </c>
      <c r="B101" s="329" t="s">
        <v>1300</v>
      </c>
      <c r="C101" s="329" t="s">
        <v>185</v>
      </c>
      <c r="D101" s="329" t="s">
        <v>1338</v>
      </c>
      <c r="E101" s="329" t="s">
        <v>214</v>
      </c>
      <c r="F101" s="330" t="s">
        <v>466</v>
      </c>
      <c r="G101" s="463"/>
      <c r="H101" s="639">
        <v>353</v>
      </c>
      <c r="I101" s="338">
        <v>353</v>
      </c>
      <c r="J101" s="640">
        <v>0</v>
      </c>
      <c r="K101" s="640">
        <v>0</v>
      </c>
      <c r="L101" s="641">
        <v>0</v>
      </c>
      <c r="M101" s="639">
        <v>95</v>
      </c>
      <c r="N101" s="338">
        <v>95</v>
      </c>
      <c r="O101" s="338"/>
      <c r="P101" s="338"/>
      <c r="Q101" s="338"/>
      <c r="R101" s="642" t="s">
        <v>1774</v>
      </c>
      <c r="S101" s="643">
        <f t="shared" ref="S101:T103" si="38">H101-M101</f>
        <v>258</v>
      </c>
      <c r="T101" s="643">
        <f t="shared" si="38"/>
        <v>258</v>
      </c>
      <c r="U101" s="643" t="s">
        <v>541</v>
      </c>
      <c r="V101" s="643">
        <f t="shared" ref="V101:W103" si="39">K101-P101</f>
        <v>0</v>
      </c>
      <c r="W101" s="684">
        <f t="shared" si="39"/>
        <v>0</v>
      </c>
      <c r="X101" s="346"/>
      <c r="Y101" s="346"/>
      <c r="Z101" s="469" t="s">
        <v>1594</v>
      </c>
    </row>
    <row r="102" spans="1:26" s="325" customFormat="1" ht="11.25" customHeight="1" x14ac:dyDescent="0.2">
      <c r="A102" s="328" t="s">
        <v>378</v>
      </c>
      <c r="B102" s="329" t="s">
        <v>1300</v>
      </c>
      <c r="C102" s="329" t="s">
        <v>185</v>
      </c>
      <c r="D102" s="329" t="s">
        <v>1340</v>
      </c>
      <c r="E102" s="339" t="s">
        <v>218</v>
      </c>
      <c r="F102" s="343" t="s">
        <v>466</v>
      </c>
      <c r="G102" s="345"/>
      <c r="H102" s="639">
        <v>501</v>
      </c>
      <c r="I102" s="338">
        <v>501</v>
      </c>
      <c r="J102" s="640">
        <v>0</v>
      </c>
      <c r="K102" s="640"/>
      <c r="L102" s="641">
        <v>0</v>
      </c>
      <c r="M102" s="639">
        <v>20</v>
      </c>
      <c r="N102" s="338">
        <v>20</v>
      </c>
      <c r="O102" s="338"/>
      <c r="P102" s="338"/>
      <c r="Q102" s="338"/>
      <c r="R102" s="642" t="s">
        <v>1595</v>
      </c>
      <c r="S102" s="643">
        <f t="shared" si="38"/>
        <v>481</v>
      </c>
      <c r="T102" s="643">
        <f t="shared" si="38"/>
        <v>481</v>
      </c>
      <c r="U102" s="643">
        <f>J102-O102</f>
        <v>0</v>
      </c>
      <c r="V102" s="643">
        <f t="shared" si="39"/>
        <v>0</v>
      </c>
      <c r="W102" s="684">
        <f t="shared" si="39"/>
        <v>0</v>
      </c>
      <c r="X102" s="346"/>
      <c r="Y102" s="346"/>
      <c r="Z102" s="469"/>
    </row>
    <row r="103" spans="1:26" s="325" customFormat="1" ht="11.25" customHeight="1" x14ac:dyDescent="0.2">
      <c r="A103" s="328" t="s">
        <v>378</v>
      </c>
      <c r="B103" s="329" t="s">
        <v>424</v>
      </c>
      <c r="C103" s="329" t="s">
        <v>185</v>
      </c>
      <c r="D103" s="329" t="s">
        <v>1341</v>
      </c>
      <c r="E103" s="329" t="s">
        <v>224</v>
      </c>
      <c r="F103" s="330" t="s">
        <v>464</v>
      </c>
      <c r="G103" s="463"/>
      <c r="H103" s="644">
        <v>0</v>
      </c>
      <c r="I103" s="640">
        <v>0</v>
      </c>
      <c r="J103" s="640">
        <v>0</v>
      </c>
      <c r="K103" s="640">
        <v>0</v>
      </c>
      <c r="L103" s="641">
        <v>0</v>
      </c>
      <c r="M103" s="328"/>
      <c r="N103" s="329"/>
      <c r="O103" s="329"/>
      <c r="P103" s="329"/>
      <c r="Q103" s="329"/>
      <c r="R103" s="642"/>
      <c r="S103" s="643">
        <f t="shared" si="38"/>
        <v>0</v>
      </c>
      <c r="T103" s="643">
        <f t="shared" si="38"/>
        <v>0</v>
      </c>
      <c r="U103" s="643">
        <f>J103-O103</f>
        <v>0</v>
      </c>
      <c r="V103" s="643">
        <f t="shared" si="39"/>
        <v>0</v>
      </c>
      <c r="W103" s="684">
        <f t="shared" si="39"/>
        <v>0</v>
      </c>
      <c r="X103" s="346"/>
      <c r="Y103" s="346"/>
      <c r="Z103" s="469"/>
    </row>
    <row r="104" spans="1:26" s="325" customFormat="1" ht="11.25" customHeight="1" x14ac:dyDescent="0.2">
      <c r="A104" s="331" t="s">
        <v>3</v>
      </c>
      <c r="B104" s="332"/>
      <c r="C104" s="332"/>
      <c r="D104" s="333"/>
      <c r="E104" s="334"/>
      <c r="F104" s="335"/>
      <c r="G104" s="472"/>
      <c r="H104" s="336">
        <f t="shared" ref="H104:Y104" si="40">SUM(H92:H103)</f>
        <v>1787</v>
      </c>
      <c r="I104" s="336">
        <f t="shared" si="40"/>
        <v>1763</v>
      </c>
      <c r="J104" s="336">
        <f t="shared" si="40"/>
        <v>692</v>
      </c>
      <c r="K104" s="336">
        <f t="shared" si="40"/>
        <v>50</v>
      </c>
      <c r="L104" s="336">
        <f t="shared" si="40"/>
        <v>8</v>
      </c>
      <c r="M104" s="336">
        <f t="shared" si="40"/>
        <v>323</v>
      </c>
      <c r="N104" s="336">
        <f t="shared" si="40"/>
        <v>259</v>
      </c>
      <c r="O104" s="336">
        <f t="shared" si="40"/>
        <v>668</v>
      </c>
      <c r="P104" s="336">
        <f t="shared" si="40"/>
        <v>0</v>
      </c>
      <c r="Q104" s="336">
        <f t="shared" si="40"/>
        <v>1</v>
      </c>
      <c r="R104" s="336">
        <f t="shared" si="40"/>
        <v>0</v>
      </c>
      <c r="S104" s="336">
        <f t="shared" si="40"/>
        <v>1464</v>
      </c>
      <c r="T104" s="336">
        <f t="shared" si="40"/>
        <v>1504</v>
      </c>
      <c r="U104" s="336">
        <f t="shared" si="40"/>
        <v>24</v>
      </c>
      <c r="V104" s="336">
        <f t="shared" si="40"/>
        <v>50</v>
      </c>
      <c r="W104" s="336">
        <f t="shared" si="40"/>
        <v>7</v>
      </c>
      <c r="X104" s="336">
        <f t="shared" si="40"/>
        <v>0</v>
      </c>
      <c r="Y104" s="336">
        <f t="shared" si="40"/>
        <v>0</v>
      </c>
      <c r="Z104" s="469"/>
    </row>
    <row r="105" spans="1:26" s="325" customFormat="1" ht="11.25" customHeight="1" x14ac:dyDescent="0.2">
      <c r="A105" s="328" t="s">
        <v>1313</v>
      </c>
      <c r="B105" s="329" t="s">
        <v>424</v>
      </c>
      <c r="C105" s="329" t="s">
        <v>230</v>
      </c>
      <c r="D105" s="329" t="s">
        <v>902</v>
      </c>
      <c r="E105" s="329" t="s">
        <v>903</v>
      </c>
      <c r="F105" s="330" t="s">
        <v>464</v>
      </c>
      <c r="G105" s="463"/>
      <c r="H105" s="644">
        <v>15</v>
      </c>
      <c r="I105" s="640">
        <v>15</v>
      </c>
      <c r="J105" s="640">
        <v>0</v>
      </c>
      <c r="K105" s="640">
        <v>0</v>
      </c>
      <c r="L105" s="641">
        <v>0</v>
      </c>
      <c r="M105" s="328"/>
      <c r="N105" s="329"/>
      <c r="O105" s="329"/>
      <c r="P105" s="329"/>
      <c r="Q105" s="329"/>
      <c r="R105" s="642"/>
      <c r="S105" s="643">
        <f t="shared" ref="S105:W107" si="41">H105-M105</f>
        <v>15</v>
      </c>
      <c r="T105" s="643">
        <f t="shared" si="41"/>
        <v>15</v>
      </c>
      <c r="U105" s="643">
        <f t="shared" si="41"/>
        <v>0</v>
      </c>
      <c r="V105" s="643">
        <f t="shared" si="41"/>
        <v>0</v>
      </c>
      <c r="W105" s="684">
        <f t="shared" si="41"/>
        <v>0</v>
      </c>
      <c r="X105" s="346"/>
      <c r="Y105" s="346"/>
      <c r="Z105" s="469"/>
    </row>
    <row r="106" spans="1:26" s="325" customFormat="1" ht="11.25" customHeight="1" x14ac:dyDescent="0.2">
      <c r="A106" s="328" t="s">
        <v>1313</v>
      </c>
      <c r="B106" s="329" t="s">
        <v>1316</v>
      </c>
      <c r="C106" s="329" t="s">
        <v>230</v>
      </c>
      <c r="D106" s="329" t="s">
        <v>912</v>
      </c>
      <c r="E106" s="329" t="s">
        <v>913</v>
      </c>
      <c r="F106" s="330" t="s">
        <v>464</v>
      </c>
      <c r="G106" s="344"/>
      <c r="H106" s="644"/>
      <c r="I106" s="640"/>
      <c r="J106" s="640">
        <v>0</v>
      </c>
      <c r="K106" s="640">
        <v>10</v>
      </c>
      <c r="L106" s="641"/>
      <c r="M106" s="639"/>
      <c r="N106" s="338"/>
      <c r="O106" s="338"/>
      <c r="P106" s="338">
        <v>10</v>
      </c>
      <c r="Q106" s="338"/>
      <c r="R106" s="642" t="s">
        <v>1590</v>
      </c>
      <c r="S106" s="643">
        <f t="shared" si="41"/>
        <v>0</v>
      </c>
      <c r="T106" s="643">
        <f t="shared" si="41"/>
        <v>0</v>
      </c>
      <c r="U106" s="643">
        <f t="shared" si="41"/>
        <v>0</v>
      </c>
      <c r="V106" s="643">
        <f t="shared" si="41"/>
        <v>0</v>
      </c>
      <c r="W106" s="684">
        <f t="shared" si="41"/>
        <v>0</v>
      </c>
      <c r="X106" s="346"/>
      <c r="Y106" s="346"/>
      <c r="Z106" s="469"/>
    </row>
    <row r="107" spans="1:26" s="325" customFormat="1" ht="11.25" customHeight="1" x14ac:dyDescent="0.2">
      <c r="A107" s="329" t="s">
        <v>1313</v>
      </c>
      <c r="B107" s="329" t="s">
        <v>424</v>
      </c>
      <c r="C107" s="329" t="s">
        <v>230</v>
      </c>
      <c r="D107" s="329" t="s">
        <v>716</v>
      </c>
      <c r="E107" s="329" t="s">
        <v>1242</v>
      </c>
      <c r="F107" s="330" t="s">
        <v>464</v>
      </c>
      <c r="G107" s="344" t="s">
        <v>1457</v>
      </c>
      <c r="H107" s="644">
        <v>63</v>
      </c>
      <c r="I107" s="640">
        <v>63</v>
      </c>
      <c r="J107" s="640"/>
      <c r="K107" s="640"/>
      <c r="L107" s="641"/>
      <c r="M107" s="328">
        <v>64</v>
      </c>
      <c r="N107" s="329">
        <v>64</v>
      </c>
      <c r="O107" s="329"/>
      <c r="P107" s="329"/>
      <c r="Q107" s="329"/>
      <c r="R107" s="642" t="s">
        <v>778</v>
      </c>
      <c r="S107" s="643">
        <f t="shared" si="41"/>
        <v>-1</v>
      </c>
      <c r="T107" s="643">
        <f t="shared" si="41"/>
        <v>-1</v>
      </c>
      <c r="U107" s="643">
        <f t="shared" si="41"/>
        <v>0</v>
      </c>
      <c r="V107" s="643">
        <f t="shared" si="41"/>
        <v>0</v>
      </c>
      <c r="W107" s="684">
        <f t="shared" si="41"/>
        <v>0</v>
      </c>
      <c r="X107" s="346"/>
      <c r="Y107" s="346"/>
      <c r="Z107" s="469"/>
    </row>
    <row r="108" spans="1:26" s="325" customFormat="1" ht="11.25" customHeight="1" x14ac:dyDescent="0.2">
      <c r="A108" s="331" t="s">
        <v>3</v>
      </c>
      <c r="B108" s="332"/>
      <c r="C108" s="332"/>
      <c r="D108" s="333"/>
      <c r="E108" s="334"/>
      <c r="F108" s="335"/>
      <c r="G108" s="472"/>
      <c r="H108" s="336">
        <f t="shared" ref="H108:Y108" si="42">SUM(H105:H107)</f>
        <v>78</v>
      </c>
      <c r="I108" s="336">
        <f t="shared" si="42"/>
        <v>78</v>
      </c>
      <c r="J108" s="336">
        <f t="shared" si="42"/>
        <v>0</v>
      </c>
      <c r="K108" s="336">
        <f t="shared" si="42"/>
        <v>10</v>
      </c>
      <c r="L108" s="336">
        <f t="shared" si="42"/>
        <v>0</v>
      </c>
      <c r="M108" s="336">
        <f t="shared" si="42"/>
        <v>64</v>
      </c>
      <c r="N108" s="336">
        <f t="shared" si="42"/>
        <v>64</v>
      </c>
      <c r="O108" s="336">
        <f t="shared" si="42"/>
        <v>0</v>
      </c>
      <c r="P108" s="336">
        <f t="shared" si="42"/>
        <v>10</v>
      </c>
      <c r="Q108" s="336">
        <f t="shared" si="42"/>
        <v>0</v>
      </c>
      <c r="R108" s="336">
        <f t="shared" si="42"/>
        <v>0</v>
      </c>
      <c r="S108" s="336">
        <f t="shared" si="42"/>
        <v>14</v>
      </c>
      <c r="T108" s="336">
        <f t="shared" si="42"/>
        <v>14</v>
      </c>
      <c r="U108" s="336">
        <f t="shared" si="42"/>
        <v>0</v>
      </c>
      <c r="V108" s="336">
        <f t="shared" si="42"/>
        <v>0</v>
      </c>
      <c r="W108" s="336">
        <f t="shared" si="42"/>
        <v>0</v>
      </c>
      <c r="X108" s="336">
        <f t="shared" si="42"/>
        <v>0</v>
      </c>
      <c r="Y108" s="336">
        <f t="shared" si="42"/>
        <v>0</v>
      </c>
      <c r="Z108" s="469"/>
    </row>
    <row r="109" spans="1:26" s="325" customFormat="1" ht="11.25" customHeight="1" x14ac:dyDescent="0.2">
      <c r="A109" s="328" t="s">
        <v>378</v>
      </c>
      <c r="B109" s="329" t="s">
        <v>424</v>
      </c>
      <c r="C109" s="329" t="s">
        <v>237</v>
      </c>
      <c r="D109" s="329" t="s">
        <v>1342</v>
      </c>
      <c r="E109" s="329" t="s">
        <v>245</v>
      </c>
      <c r="F109" s="330" t="s">
        <v>464</v>
      </c>
      <c r="G109" s="463"/>
      <c r="H109" s="644"/>
      <c r="I109" s="640"/>
      <c r="J109" s="640"/>
      <c r="K109" s="640">
        <v>0</v>
      </c>
      <c r="L109" s="641"/>
      <c r="M109" s="328"/>
      <c r="N109" s="329"/>
      <c r="O109" s="329"/>
      <c r="P109" s="329"/>
      <c r="Q109" s="329"/>
      <c r="R109" s="642"/>
      <c r="S109" s="643">
        <f t="shared" ref="S109:S121" si="43">H109-M109</f>
        <v>0</v>
      </c>
      <c r="T109" s="643">
        <f t="shared" ref="T109:T121" si="44">I109-N109</f>
        <v>0</v>
      </c>
      <c r="U109" s="643">
        <f t="shared" ref="U109:U121" si="45">J109-O109</f>
        <v>0</v>
      </c>
      <c r="V109" s="643">
        <f t="shared" ref="V109:V121" si="46">K109-P109</f>
        <v>0</v>
      </c>
      <c r="W109" s="684">
        <f t="shared" ref="W109:W121" si="47">L109-Q109</f>
        <v>0</v>
      </c>
      <c r="X109" s="346"/>
      <c r="Y109" s="346"/>
      <c r="Z109" s="469"/>
    </row>
    <row r="110" spans="1:26" s="325" customFormat="1" ht="11.25" customHeight="1" x14ac:dyDescent="0.2">
      <c r="A110" s="328" t="s">
        <v>378</v>
      </c>
      <c r="B110" s="329" t="s">
        <v>424</v>
      </c>
      <c r="C110" s="329" t="s">
        <v>237</v>
      </c>
      <c r="D110" s="329" t="s">
        <v>1343</v>
      </c>
      <c r="E110" s="329" t="s">
        <v>251</v>
      </c>
      <c r="F110" s="330" t="s">
        <v>464</v>
      </c>
      <c r="G110" s="344" t="s">
        <v>1304</v>
      </c>
      <c r="H110" s="644">
        <v>40</v>
      </c>
      <c r="I110" s="640">
        <v>40</v>
      </c>
      <c r="J110" s="640"/>
      <c r="K110" s="640">
        <v>100</v>
      </c>
      <c r="L110" s="641">
        <v>0</v>
      </c>
      <c r="M110" s="328">
        <v>23</v>
      </c>
      <c r="N110" s="329">
        <v>23</v>
      </c>
      <c r="O110" s="329"/>
      <c r="P110" s="329">
        <v>100</v>
      </c>
      <c r="Q110" s="329"/>
      <c r="R110" s="642" t="s">
        <v>1720</v>
      </c>
      <c r="S110" s="643">
        <f t="shared" si="43"/>
        <v>17</v>
      </c>
      <c r="T110" s="643">
        <f t="shared" si="44"/>
        <v>17</v>
      </c>
      <c r="U110" s="643">
        <f t="shared" si="45"/>
        <v>0</v>
      </c>
      <c r="V110" s="643">
        <f t="shared" si="46"/>
        <v>0</v>
      </c>
      <c r="W110" s="684">
        <f t="shared" si="47"/>
        <v>0</v>
      </c>
      <c r="X110" s="346"/>
      <c r="Y110" s="346"/>
      <c r="Z110" s="469"/>
    </row>
    <row r="111" spans="1:26" s="325" customFormat="1" ht="11.25" customHeight="1" x14ac:dyDescent="0.2">
      <c r="A111" s="328" t="s">
        <v>378</v>
      </c>
      <c r="B111" s="329" t="s">
        <v>1305</v>
      </c>
      <c r="C111" s="329" t="s">
        <v>237</v>
      </c>
      <c r="D111" s="329" t="s">
        <v>1344</v>
      </c>
      <c r="E111" s="329" t="s">
        <v>253</v>
      </c>
      <c r="F111" s="330" t="s">
        <v>464</v>
      </c>
      <c r="G111" s="463"/>
      <c r="H111" s="644"/>
      <c r="I111" s="640">
        <v>0</v>
      </c>
      <c r="J111" s="640"/>
      <c r="K111" s="640">
        <v>0</v>
      </c>
      <c r="L111" s="641">
        <v>0</v>
      </c>
      <c r="M111" s="639"/>
      <c r="N111" s="338"/>
      <c r="O111" s="338"/>
      <c r="P111" s="338"/>
      <c r="Q111" s="338"/>
      <c r="R111" s="642"/>
      <c r="S111" s="643">
        <f t="shared" si="43"/>
        <v>0</v>
      </c>
      <c r="T111" s="643">
        <f t="shared" si="44"/>
        <v>0</v>
      </c>
      <c r="U111" s="643">
        <f t="shared" si="45"/>
        <v>0</v>
      </c>
      <c r="V111" s="643">
        <f t="shared" si="46"/>
        <v>0</v>
      </c>
      <c r="W111" s="684">
        <f t="shared" si="47"/>
        <v>0</v>
      </c>
      <c r="X111" s="346"/>
      <c r="Y111" s="346"/>
      <c r="Z111" s="469"/>
    </row>
    <row r="112" spans="1:26" s="325" customFormat="1" ht="11.25" customHeight="1" x14ac:dyDescent="0.2">
      <c r="A112" s="328" t="s">
        <v>378</v>
      </c>
      <c r="B112" s="329" t="s">
        <v>424</v>
      </c>
      <c r="C112" s="329" t="s">
        <v>237</v>
      </c>
      <c r="D112" s="329" t="s">
        <v>256</v>
      </c>
      <c r="E112" s="329" t="s">
        <v>255</v>
      </c>
      <c r="F112" s="330" t="s">
        <v>464</v>
      </c>
      <c r="G112" s="345"/>
      <c r="H112" s="644"/>
      <c r="I112" s="640"/>
      <c r="J112" s="640">
        <v>10</v>
      </c>
      <c r="K112" s="640"/>
      <c r="L112" s="641"/>
      <c r="M112" s="328"/>
      <c r="N112" s="329"/>
      <c r="O112" s="329"/>
      <c r="P112" s="329"/>
      <c r="Q112" s="329"/>
      <c r="R112" s="642"/>
      <c r="S112" s="643">
        <f t="shared" si="43"/>
        <v>0</v>
      </c>
      <c r="T112" s="643">
        <f t="shared" si="44"/>
        <v>0</v>
      </c>
      <c r="U112" s="643">
        <f t="shared" si="45"/>
        <v>10</v>
      </c>
      <c r="V112" s="643">
        <f t="shared" si="46"/>
        <v>0</v>
      </c>
      <c r="W112" s="684">
        <f t="shared" si="47"/>
        <v>0</v>
      </c>
      <c r="X112" s="346"/>
      <c r="Y112" s="346"/>
      <c r="Z112" s="469"/>
    </row>
    <row r="113" spans="1:26" s="325" customFormat="1" ht="11.25" customHeight="1" x14ac:dyDescent="0.2">
      <c r="A113" s="328" t="s">
        <v>378</v>
      </c>
      <c r="B113" s="329" t="s">
        <v>424</v>
      </c>
      <c r="C113" s="329" t="s">
        <v>237</v>
      </c>
      <c r="D113" s="329" t="s">
        <v>240</v>
      </c>
      <c r="E113" s="329" t="s">
        <v>239</v>
      </c>
      <c r="F113" s="330" t="s">
        <v>464</v>
      </c>
      <c r="G113" s="463"/>
      <c r="H113" s="644"/>
      <c r="I113" s="640">
        <v>0</v>
      </c>
      <c r="J113" s="640"/>
      <c r="K113" s="640">
        <v>10</v>
      </c>
      <c r="L113" s="641">
        <v>0</v>
      </c>
      <c r="M113" s="328"/>
      <c r="N113" s="329"/>
      <c r="O113" s="329"/>
      <c r="P113" s="329"/>
      <c r="Q113" s="329"/>
      <c r="R113" s="642"/>
      <c r="S113" s="643">
        <f t="shared" si="43"/>
        <v>0</v>
      </c>
      <c r="T113" s="643">
        <f t="shared" si="44"/>
        <v>0</v>
      </c>
      <c r="U113" s="643">
        <f t="shared" si="45"/>
        <v>0</v>
      </c>
      <c r="V113" s="643">
        <f t="shared" si="46"/>
        <v>10</v>
      </c>
      <c r="W113" s="684">
        <f t="shared" si="47"/>
        <v>0</v>
      </c>
      <c r="X113" s="346"/>
      <c r="Y113" s="346"/>
      <c r="Z113" s="469"/>
    </row>
    <row r="114" spans="1:26" s="325" customFormat="1" ht="11.25" customHeight="1" x14ac:dyDescent="0.2">
      <c r="A114" s="328" t="s">
        <v>378</v>
      </c>
      <c r="B114" s="329" t="s">
        <v>424</v>
      </c>
      <c r="C114" s="329" t="s">
        <v>237</v>
      </c>
      <c r="D114" s="329" t="s">
        <v>1345</v>
      </c>
      <c r="E114" s="329" t="s">
        <v>283</v>
      </c>
      <c r="F114" s="330" t="s">
        <v>464</v>
      </c>
      <c r="G114" s="345" t="s">
        <v>1304</v>
      </c>
      <c r="H114" s="644"/>
      <c r="I114" s="640"/>
      <c r="J114" s="640"/>
      <c r="K114" s="640">
        <v>60</v>
      </c>
      <c r="L114" s="641">
        <v>0</v>
      </c>
      <c r="M114" s="328"/>
      <c r="N114" s="329"/>
      <c r="O114" s="329"/>
      <c r="P114" s="329">
        <v>60</v>
      </c>
      <c r="Q114" s="329"/>
      <c r="R114" s="642" t="s">
        <v>1599</v>
      </c>
      <c r="S114" s="643">
        <f t="shared" si="43"/>
        <v>0</v>
      </c>
      <c r="T114" s="643">
        <f t="shared" si="44"/>
        <v>0</v>
      </c>
      <c r="U114" s="643">
        <f t="shared" si="45"/>
        <v>0</v>
      </c>
      <c r="V114" s="643">
        <f t="shared" si="46"/>
        <v>0</v>
      </c>
      <c r="W114" s="684">
        <f t="shared" si="47"/>
        <v>0</v>
      </c>
      <c r="X114" s="346"/>
      <c r="Y114" s="346"/>
      <c r="Z114" s="469"/>
    </row>
    <row r="115" spans="1:26" s="325" customFormat="1" ht="11.25" customHeight="1" x14ac:dyDescent="0.2">
      <c r="A115" s="328" t="s">
        <v>378</v>
      </c>
      <c r="B115" s="329" t="s">
        <v>424</v>
      </c>
      <c r="C115" s="329" t="s">
        <v>237</v>
      </c>
      <c r="D115" s="329" t="s">
        <v>258</v>
      </c>
      <c r="E115" s="329" t="s">
        <v>257</v>
      </c>
      <c r="F115" s="330" t="s">
        <v>464</v>
      </c>
      <c r="G115" s="463" t="s">
        <v>1600</v>
      </c>
      <c r="H115" s="644">
        <v>7</v>
      </c>
      <c r="I115" s="640">
        <v>7</v>
      </c>
      <c r="J115" s="640">
        <v>10</v>
      </c>
      <c r="K115" s="640">
        <v>20</v>
      </c>
      <c r="L115" s="641">
        <v>0</v>
      </c>
      <c r="M115" s="639">
        <v>6</v>
      </c>
      <c r="N115" s="338">
        <v>6</v>
      </c>
      <c r="O115" s="338">
        <v>10</v>
      </c>
      <c r="P115" s="338"/>
      <c r="Q115" s="338"/>
      <c r="R115" s="642" t="s">
        <v>1946</v>
      </c>
      <c r="S115" s="643">
        <f t="shared" si="43"/>
        <v>1</v>
      </c>
      <c r="T115" s="643">
        <f t="shared" si="44"/>
        <v>1</v>
      </c>
      <c r="U115" s="643">
        <f t="shared" si="45"/>
        <v>0</v>
      </c>
      <c r="V115" s="643">
        <f t="shared" si="46"/>
        <v>20</v>
      </c>
      <c r="W115" s="684">
        <f t="shared" si="47"/>
        <v>0</v>
      </c>
      <c r="X115" s="346"/>
      <c r="Y115" s="346"/>
      <c r="Z115" s="469"/>
    </row>
    <row r="116" spans="1:26" s="325" customFormat="1" ht="11.25" customHeight="1" x14ac:dyDescent="0.2">
      <c r="A116" s="328" t="s">
        <v>378</v>
      </c>
      <c r="B116" s="329" t="s">
        <v>424</v>
      </c>
      <c r="C116" s="329" t="s">
        <v>237</v>
      </c>
      <c r="D116" s="329" t="s">
        <v>260</v>
      </c>
      <c r="E116" s="329" t="s">
        <v>259</v>
      </c>
      <c r="F116" s="330" t="s">
        <v>464</v>
      </c>
      <c r="G116" s="344" t="s">
        <v>1304</v>
      </c>
      <c r="H116" s="644"/>
      <c r="I116" s="640"/>
      <c r="J116" s="640"/>
      <c r="K116" s="640">
        <v>46</v>
      </c>
      <c r="L116" s="641">
        <v>0</v>
      </c>
      <c r="M116" s="639"/>
      <c r="N116" s="338"/>
      <c r="O116" s="338"/>
      <c r="P116" s="338">
        <v>46</v>
      </c>
      <c r="Q116" s="338"/>
      <c r="R116" s="642" t="s">
        <v>1599</v>
      </c>
      <c r="S116" s="643">
        <f t="shared" si="43"/>
        <v>0</v>
      </c>
      <c r="T116" s="643">
        <f t="shared" si="44"/>
        <v>0</v>
      </c>
      <c r="U116" s="643">
        <f t="shared" si="45"/>
        <v>0</v>
      </c>
      <c r="V116" s="643">
        <f t="shared" si="46"/>
        <v>0</v>
      </c>
      <c r="W116" s="684">
        <f t="shared" si="47"/>
        <v>0</v>
      </c>
      <c r="X116" s="346"/>
      <c r="Y116" s="346"/>
      <c r="Z116" s="469"/>
    </row>
    <row r="117" spans="1:26" s="325" customFormat="1" ht="11.25" customHeight="1" x14ac:dyDescent="0.2">
      <c r="A117" s="328" t="s">
        <v>378</v>
      </c>
      <c r="B117" s="329" t="s">
        <v>462</v>
      </c>
      <c r="C117" s="329" t="s">
        <v>237</v>
      </c>
      <c r="D117" s="329" t="s">
        <v>262</v>
      </c>
      <c r="E117" s="329" t="s">
        <v>261</v>
      </c>
      <c r="F117" s="330" t="s">
        <v>464</v>
      </c>
      <c r="G117" s="463"/>
      <c r="H117" s="644">
        <v>0</v>
      </c>
      <c r="I117" s="640"/>
      <c r="J117" s="640"/>
      <c r="K117" s="640">
        <v>5</v>
      </c>
      <c r="L117" s="641">
        <v>0</v>
      </c>
      <c r="M117" s="639"/>
      <c r="N117" s="338"/>
      <c r="O117" s="338"/>
      <c r="P117" s="329">
        <v>20</v>
      </c>
      <c r="Q117" s="338"/>
      <c r="R117" s="642" t="s">
        <v>1598</v>
      </c>
      <c r="S117" s="643">
        <f t="shared" si="43"/>
        <v>0</v>
      </c>
      <c r="T117" s="643">
        <f t="shared" si="44"/>
        <v>0</v>
      </c>
      <c r="U117" s="643">
        <f t="shared" si="45"/>
        <v>0</v>
      </c>
      <c r="V117" s="643">
        <f t="shared" si="46"/>
        <v>-15</v>
      </c>
      <c r="W117" s="684">
        <f t="shared" si="47"/>
        <v>0</v>
      </c>
      <c r="X117" s="346"/>
      <c r="Y117" s="346"/>
      <c r="Z117" s="469"/>
    </row>
    <row r="118" spans="1:26" s="325" customFormat="1" ht="11.25" customHeight="1" x14ac:dyDescent="0.2">
      <c r="A118" s="328" t="s">
        <v>378</v>
      </c>
      <c r="B118" s="329" t="s">
        <v>462</v>
      </c>
      <c r="C118" s="329" t="s">
        <v>237</v>
      </c>
      <c r="D118" s="329" t="s">
        <v>264</v>
      </c>
      <c r="E118" s="329" t="s">
        <v>263</v>
      </c>
      <c r="F118" s="330" t="s">
        <v>464</v>
      </c>
      <c r="G118" s="344"/>
      <c r="H118" s="644"/>
      <c r="I118" s="640"/>
      <c r="J118" s="640">
        <v>0</v>
      </c>
      <c r="K118" s="640">
        <v>10</v>
      </c>
      <c r="L118" s="641">
        <v>0</v>
      </c>
      <c r="M118" s="639"/>
      <c r="N118" s="338"/>
      <c r="O118" s="338"/>
      <c r="P118" s="338"/>
      <c r="Q118" s="338"/>
      <c r="R118" s="642"/>
      <c r="S118" s="643">
        <f t="shared" si="43"/>
        <v>0</v>
      </c>
      <c r="T118" s="643">
        <f t="shared" si="44"/>
        <v>0</v>
      </c>
      <c r="U118" s="643">
        <f t="shared" si="45"/>
        <v>0</v>
      </c>
      <c r="V118" s="643">
        <f t="shared" si="46"/>
        <v>10</v>
      </c>
      <c r="W118" s="684">
        <f t="shared" si="47"/>
        <v>0</v>
      </c>
      <c r="X118" s="346"/>
      <c r="Y118" s="346"/>
      <c r="Z118" s="469"/>
    </row>
    <row r="119" spans="1:26" s="325" customFormat="1" ht="11.25" customHeight="1" x14ac:dyDescent="0.2">
      <c r="A119" s="328" t="s">
        <v>378</v>
      </c>
      <c r="B119" s="329" t="s">
        <v>1305</v>
      </c>
      <c r="C119" s="329" t="s">
        <v>237</v>
      </c>
      <c r="D119" s="329" t="s">
        <v>1346</v>
      </c>
      <c r="E119" s="329" t="s">
        <v>269</v>
      </c>
      <c r="F119" s="330" t="s">
        <v>464</v>
      </c>
      <c r="G119" s="463" t="s">
        <v>1304</v>
      </c>
      <c r="H119" s="644">
        <v>0</v>
      </c>
      <c r="I119" s="640">
        <v>0</v>
      </c>
      <c r="J119" s="640">
        <v>0</v>
      </c>
      <c r="K119" s="640">
        <v>58</v>
      </c>
      <c r="L119" s="641">
        <v>0</v>
      </c>
      <c r="M119" s="639"/>
      <c r="N119" s="338"/>
      <c r="O119" s="338"/>
      <c r="P119" s="338">
        <v>58</v>
      </c>
      <c r="Q119" s="338"/>
      <c r="R119" s="642" t="s">
        <v>1561</v>
      </c>
      <c r="S119" s="643">
        <f t="shared" si="43"/>
        <v>0</v>
      </c>
      <c r="T119" s="643">
        <f t="shared" si="44"/>
        <v>0</v>
      </c>
      <c r="U119" s="643">
        <f t="shared" si="45"/>
        <v>0</v>
      </c>
      <c r="V119" s="643">
        <f t="shared" si="46"/>
        <v>0</v>
      </c>
      <c r="W119" s="684">
        <f t="shared" si="47"/>
        <v>0</v>
      </c>
      <c r="X119" s="346"/>
      <c r="Y119" s="346"/>
      <c r="Z119" s="469"/>
    </row>
    <row r="120" spans="1:26" s="325" customFormat="1" ht="11.25" customHeight="1" x14ac:dyDescent="0.2">
      <c r="A120" s="328" t="s">
        <v>378</v>
      </c>
      <c r="B120" s="329" t="s">
        <v>424</v>
      </c>
      <c r="C120" s="329" t="s">
        <v>237</v>
      </c>
      <c r="D120" s="329" t="s">
        <v>1347</v>
      </c>
      <c r="E120" s="329" t="s">
        <v>267</v>
      </c>
      <c r="F120" s="330" t="s">
        <v>464</v>
      </c>
      <c r="G120" s="344"/>
      <c r="H120" s="644"/>
      <c r="I120" s="640"/>
      <c r="J120" s="640">
        <v>0</v>
      </c>
      <c r="K120" s="640">
        <v>0</v>
      </c>
      <c r="L120" s="641">
        <v>0</v>
      </c>
      <c r="M120" s="639"/>
      <c r="N120" s="338"/>
      <c r="O120" s="338"/>
      <c r="P120" s="338"/>
      <c r="Q120" s="338"/>
      <c r="R120" s="642"/>
      <c r="S120" s="643">
        <f t="shared" si="43"/>
        <v>0</v>
      </c>
      <c r="T120" s="643">
        <f t="shared" si="44"/>
        <v>0</v>
      </c>
      <c r="U120" s="643">
        <f t="shared" si="45"/>
        <v>0</v>
      </c>
      <c r="V120" s="643">
        <f t="shared" si="46"/>
        <v>0</v>
      </c>
      <c r="W120" s="684">
        <f t="shared" si="47"/>
        <v>0</v>
      </c>
      <c r="X120" s="346"/>
      <c r="Y120" s="346"/>
      <c r="Z120" s="469"/>
    </row>
    <row r="121" spans="1:26" s="325" customFormat="1" ht="11.25" customHeight="1" x14ac:dyDescent="0.2">
      <c r="A121" s="328" t="s">
        <v>378</v>
      </c>
      <c r="B121" s="329" t="s">
        <v>1305</v>
      </c>
      <c r="C121" s="329" t="s">
        <v>237</v>
      </c>
      <c r="D121" s="329" t="s">
        <v>1348</v>
      </c>
      <c r="E121" s="329" t="s">
        <v>271</v>
      </c>
      <c r="F121" s="330" t="s">
        <v>464</v>
      </c>
      <c r="G121" s="463" t="s">
        <v>1304</v>
      </c>
      <c r="H121" s="644">
        <v>95</v>
      </c>
      <c r="I121" s="640">
        <v>95</v>
      </c>
      <c r="J121" s="640">
        <v>0</v>
      </c>
      <c r="K121" s="640">
        <v>40</v>
      </c>
      <c r="L121" s="641">
        <v>1</v>
      </c>
      <c r="M121" s="639">
        <v>65</v>
      </c>
      <c r="N121" s="338">
        <v>65</v>
      </c>
      <c r="O121" s="338"/>
      <c r="P121" s="338">
        <v>40</v>
      </c>
      <c r="Q121" s="338"/>
      <c r="R121" s="642" t="s">
        <v>1790</v>
      </c>
      <c r="S121" s="643">
        <f t="shared" si="43"/>
        <v>30</v>
      </c>
      <c r="T121" s="643">
        <f t="shared" si="44"/>
        <v>30</v>
      </c>
      <c r="U121" s="643">
        <f t="shared" si="45"/>
        <v>0</v>
      </c>
      <c r="V121" s="643">
        <f t="shared" si="46"/>
        <v>0</v>
      </c>
      <c r="W121" s="684">
        <f t="shared" si="47"/>
        <v>1</v>
      </c>
      <c r="X121" s="346"/>
      <c r="Y121" s="346"/>
      <c r="Z121" s="469"/>
    </row>
    <row r="122" spans="1:26" s="325" customFormat="1" ht="11.25" customHeight="1" x14ac:dyDescent="0.2">
      <c r="A122" s="328" t="s">
        <v>378</v>
      </c>
      <c r="B122" s="329" t="s">
        <v>1305</v>
      </c>
      <c r="C122" s="329" t="s">
        <v>237</v>
      </c>
      <c r="D122" s="329" t="s">
        <v>1723</v>
      </c>
      <c r="E122" s="329" t="s">
        <v>650</v>
      </c>
      <c r="F122" s="330" t="s">
        <v>464</v>
      </c>
      <c r="G122" s="463"/>
      <c r="H122" s="644">
        <v>281</v>
      </c>
      <c r="I122" s="640">
        <v>281</v>
      </c>
      <c r="J122" s="640"/>
      <c r="K122" s="640"/>
      <c r="L122" s="641"/>
      <c r="M122" s="639">
        <v>150</v>
      </c>
      <c r="N122" s="338">
        <v>150</v>
      </c>
      <c r="O122" s="338"/>
      <c r="P122" s="338"/>
      <c r="Q122" s="338"/>
      <c r="R122" s="642" t="s">
        <v>1791</v>
      </c>
      <c r="S122" s="643">
        <f t="shared" ref="S122:S135" si="48">H122-M122</f>
        <v>131</v>
      </c>
      <c r="T122" s="643"/>
      <c r="U122" s="643"/>
      <c r="V122" s="643"/>
      <c r="W122" s="684"/>
      <c r="X122" s="346">
        <v>230</v>
      </c>
      <c r="Y122" s="346"/>
      <c r="Z122" s="469"/>
    </row>
    <row r="123" spans="1:26" s="325" customFormat="1" ht="11.25" customHeight="1" x14ac:dyDescent="0.2">
      <c r="A123" s="328" t="s">
        <v>378</v>
      </c>
      <c r="B123" s="329" t="s">
        <v>424</v>
      </c>
      <c r="C123" s="329" t="s">
        <v>237</v>
      </c>
      <c r="D123" s="329" t="s">
        <v>276</v>
      </c>
      <c r="E123" s="329" t="s">
        <v>275</v>
      </c>
      <c r="F123" s="330" t="s">
        <v>464</v>
      </c>
      <c r="G123" s="345"/>
      <c r="H123" s="644"/>
      <c r="I123" s="640">
        <v>0</v>
      </c>
      <c r="J123" s="640"/>
      <c r="K123" s="640">
        <v>30</v>
      </c>
      <c r="L123" s="641">
        <v>0</v>
      </c>
      <c r="M123" s="639"/>
      <c r="N123" s="338"/>
      <c r="O123" s="338"/>
      <c r="P123" s="338">
        <v>30</v>
      </c>
      <c r="Q123" s="338"/>
      <c r="R123" s="642" t="s">
        <v>1599</v>
      </c>
      <c r="S123" s="643">
        <f t="shared" si="48"/>
        <v>0</v>
      </c>
      <c r="T123" s="643">
        <f t="shared" ref="T123:W127" si="49">I123-N123</f>
        <v>0</v>
      </c>
      <c r="U123" s="643">
        <f t="shared" si="49"/>
        <v>0</v>
      </c>
      <c r="V123" s="643">
        <f t="shared" si="49"/>
        <v>0</v>
      </c>
      <c r="W123" s="684">
        <f t="shared" si="49"/>
        <v>0</v>
      </c>
      <c r="X123" s="346"/>
      <c r="Y123" s="346"/>
      <c r="Z123" s="469"/>
    </row>
    <row r="124" spans="1:26" s="325" customFormat="1" ht="11.25" customHeight="1" x14ac:dyDescent="0.2">
      <c r="A124" s="328" t="s">
        <v>378</v>
      </c>
      <c r="B124" s="329" t="s">
        <v>424</v>
      </c>
      <c r="C124" s="329" t="s">
        <v>237</v>
      </c>
      <c r="D124" s="329" t="s">
        <v>280</v>
      </c>
      <c r="E124" s="329" t="s">
        <v>279</v>
      </c>
      <c r="F124" s="330" t="s">
        <v>464</v>
      </c>
      <c r="G124" s="463"/>
      <c r="H124" s="644"/>
      <c r="I124" s="640"/>
      <c r="J124" s="640"/>
      <c r="K124" s="640">
        <v>20</v>
      </c>
      <c r="L124" s="641">
        <v>0</v>
      </c>
      <c r="M124" s="639"/>
      <c r="N124" s="338"/>
      <c r="O124" s="338"/>
      <c r="P124" s="338">
        <v>10</v>
      </c>
      <c r="Q124" s="338"/>
      <c r="R124" s="642" t="s">
        <v>1599</v>
      </c>
      <c r="S124" s="643">
        <f t="shared" si="48"/>
        <v>0</v>
      </c>
      <c r="T124" s="643">
        <f t="shared" si="49"/>
        <v>0</v>
      </c>
      <c r="U124" s="643">
        <f t="shared" si="49"/>
        <v>0</v>
      </c>
      <c r="V124" s="643">
        <f t="shared" si="49"/>
        <v>10</v>
      </c>
      <c r="W124" s="684">
        <f t="shared" si="49"/>
        <v>0</v>
      </c>
      <c r="X124" s="346"/>
      <c r="Y124" s="346"/>
      <c r="Z124" s="469"/>
    </row>
    <row r="125" spans="1:26" s="325" customFormat="1" ht="11.25" customHeight="1" x14ac:dyDescent="0.2">
      <c r="A125" s="328" t="s">
        <v>378</v>
      </c>
      <c r="B125" s="329" t="s">
        <v>1305</v>
      </c>
      <c r="C125" s="329" t="s">
        <v>237</v>
      </c>
      <c r="D125" s="329" t="s">
        <v>1512</v>
      </c>
      <c r="E125" s="329" t="s">
        <v>1543</v>
      </c>
      <c r="F125" s="330" t="s">
        <v>464</v>
      </c>
      <c r="G125" s="463" t="s">
        <v>1457</v>
      </c>
      <c r="H125" s="644">
        <v>14</v>
      </c>
      <c r="I125" s="640">
        <v>14</v>
      </c>
      <c r="J125" s="640"/>
      <c r="K125" s="640"/>
      <c r="L125" s="641"/>
      <c r="M125" s="639">
        <v>14</v>
      </c>
      <c r="N125" s="338">
        <v>14</v>
      </c>
      <c r="O125" s="338"/>
      <c r="P125" s="338"/>
      <c r="Q125" s="338"/>
      <c r="R125" s="642" t="s">
        <v>1560</v>
      </c>
      <c r="S125" s="643">
        <f t="shared" si="48"/>
        <v>0</v>
      </c>
      <c r="T125" s="643">
        <f t="shared" si="49"/>
        <v>0</v>
      </c>
      <c r="U125" s="643">
        <f t="shared" si="49"/>
        <v>0</v>
      </c>
      <c r="V125" s="643">
        <f t="shared" si="49"/>
        <v>0</v>
      </c>
      <c r="W125" s="684">
        <f t="shared" si="49"/>
        <v>0</v>
      </c>
      <c r="X125" s="346"/>
      <c r="Y125" s="346"/>
      <c r="Z125" s="469"/>
    </row>
    <row r="126" spans="1:26" s="325" customFormat="1" ht="11.25" customHeight="1" x14ac:dyDescent="0.2">
      <c r="A126" s="328" t="s">
        <v>378</v>
      </c>
      <c r="B126" s="329" t="s">
        <v>424</v>
      </c>
      <c r="C126" s="329" t="s">
        <v>237</v>
      </c>
      <c r="D126" s="329" t="s">
        <v>238</v>
      </c>
      <c r="E126" s="329" t="s">
        <v>236</v>
      </c>
      <c r="F126" s="330" t="s">
        <v>464</v>
      </c>
      <c r="G126" s="345"/>
      <c r="H126" s="644">
        <v>0</v>
      </c>
      <c r="I126" s="640">
        <v>0</v>
      </c>
      <c r="J126" s="640">
        <v>22</v>
      </c>
      <c r="K126" s="640"/>
      <c r="L126" s="641">
        <v>0</v>
      </c>
      <c r="M126" s="639"/>
      <c r="N126" s="338"/>
      <c r="O126" s="338">
        <v>22</v>
      </c>
      <c r="P126" s="338"/>
      <c r="Q126" s="338"/>
      <c r="R126" s="642" t="s">
        <v>1599</v>
      </c>
      <c r="S126" s="643">
        <f t="shared" si="48"/>
        <v>0</v>
      </c>
      <c r="T126" s="643">
        <f t="shared" si="49"/>
        <v>0</v>
      </c>
      <c r="U126" s="643">
        <f t="shared" si="49"/>
        <v>0</v>
      </c>
      <c r="V126" s="643">
        <f t="shared" si="49"/>
        <v>0</v>
      </c>
      <c r="W126" s="684">
        <f t="shared" si="49"/>
        <v>0</v>
      </c>
      <c r="X126" s="346"/>
      <c r="Y126" s="346"/>
      <c r="Z126" s="469"/>
    </row>
    <row r="127" spans="1:26" s="325" customFormat="1" ht="11.25" customHeight="1" x14ac:dyDescent="0.2">
      <c r="A127" s="328" t="s">
        <v>378</v>
      </c>
      <c r="B127" s="329" t="s">
        <v>462</v>
      </c>
      <c r="C127" s="329" t="s">
        <v>237</v>
      </c>
      <c r="D127" s="329" t="s">
        <v>1030</v>
      </c>
      <c r="E127" s="329" t="s">
        <v>241</v>
      </c>
      <c r="F127" s="330" t="s">
        <v>464</v>
      </c>
      <c r="G127" s="463"/>
      <c r="H127" s="644">
        <v>3</v>
      </c>
      <c r="I127" s="640">
        <v>3</v>
      </c>
      <c r="J127" s="640"/>
      <c r="K127" s="640">
        <v>30</v>
      </c>
      <c r="L127" s="641"/>
      <c r="M127" s="639"/>
      <c r="N127" s="338"/>
      <c r="O127" s="338"/>
      <c r="P127" s="338">
        <v>22</v>
      </c>
      <c r="Q127" s="338"/>
      <c r="R127" s="642" t="s">
        <v>1598</v>
      </c>
      <c r="S127" s="643">
        <f t="shared" si="48"/>
        <v>3</v>
      </c>
      <c r="T127" s="643">
        <f t="shared" si="49"/>
        <v>3</v>
      </c>
      <c r="U127" s="643">
        <f t="shared" si="49"/>
        <v>0</v>
      </c>
      <c r="V127" s="643">
        <f t="shared" si="49"/>
        <v>8</v>
      </c>
      <c r="W127" s="684">
        <f t="shared" si="49"/>
        <v>0</v>
      </c>
      <c r="X127" s="346"/>
      <c r="Y127" s="346"/>
      <c r="Z127" s="469"/>
    </row>
    <row r="128" spans="1:26" s="325" customFormat="1" ht="11.25" customHeight="1" x14ac:dyDescent="0.2">
      <c r="A128" s="328" t="s">
        <v>378</v>
      </c>
      <c r="B128" s="329" t="s">
        <v>424</v>
      </c>
      <c r="C128" s="329" t="s">
        <v>237</v>
      </c>
      <c r="D128" s="329" t="s">
        <v>1729</v>
      </c>
      <c r="E128" s="329" t="s">
        <v>1653</v>
      </c>
      <c r="F128" s="330" t="s">
        <v>464</v>
      </c>
      <c r="G128" s="463"/>
      <c r="H128" s="644">
        <v>183</v>
      </c>
      <c r="I128" s="644">
        <v>183</v>
      </c>
      <c r="J128" s="640"/>
      <c r="K128" s="640"/>
      <c r="L128" s="641">
        <v>2</v>
      </c>
      <c r="M128" s="639"/>
      <c r="N128" s="338"/>
      <c r="O128" s="338"/>
      <c r="P128" s="338"/>
      <c r="Q128" s="338"/>
      <c r="R128" s="642"/>
      <c r="S128" s="643">
        <f t="shared" si="48"/>
        <v>183</v>
      </c>
      <c r="T128" s="643">
        <f>I128-N128</f>
        <v>183</v>
      </c>
      <c r="U128" s="643"/>
      <c r="V128" s="643"/>
      <c r="W128" s="684"/>
      <c r="X128" s="346">
        <v>170</v>
      </c>
      <c r="Y128" s="346">
        <v>184</v>
      </c>
      <c r="Z128" s="469" t="s">
        <v>1716</v>
      </c>
    </row>
    <row r="129" spans="1:26" s="325" customFormat="1" ht="11.25" customHeight="1" x14ac:dyDescent="0.2">
      <c r="A129" s="328" t="s">
        <v>378</v>
      </c>
      <c r="B129" s="329" t="s">
        <v>1327</v>
      </c>
      <c r="C129" s="329" t="s">
        <v>237</v>
      </c>
      <c r="D129" s="329" t="s">
        <v>1671</v>
      </c>
      <c r="E129" s="329" t="s">
        <v>1654</v>
      </c>
      <c r="F129" s="330" t="s">
        <v>464</v>
      </c>
      <c r="G129" s="463"/>
      <c r="H129" s="644"/>
      <c r="I129" s="644"/>
      <c r="J129" s="640"/>
      <c r="K129" s="640"/>
      <c r="L129" s="641"/>
      <c r="M129" s="639"/>
      <c r="N129" s="338"/>
      <c r="O129" s="338"/>
      <c r="P129" s="338"/>
      <c r="Q129" s="338"/>
      <c r="R129" s="642"/>
      <c r="S129" s="643">
        <f t="shared" si="48"/>
        <v>0</v>
      </c>
      <c r="T129" s="643">
        <f>I129-N129</f>
        <v>0</v>
      </c>
      <c r="U129" s="643"/>
      <c r="V129" s="643"/>
      <c r="W129" s="684"/>
      <c r="X129" s="346"/>
      <c r="Y129" s="346">
        <v>120</v>
      </c>
      <c r="Z129" s="469"/>
    </row>
    <row r="130" spans="1:26" s="325" customFormat="1" ht="11.25" customHeight="1" x14ac:dyDescent="0.2">
      <c r="A130" s="328" t="s">
        <v>378</v>
      </c>
      <c r="B130" s="329" t="s">
        <v>462</v>
      </c>
      <c r="C130" s="329" t="s">
        <v>237</v>
      </c>
      <c r="D130" s="329" t="s">
        <v>248</v>
      </c>
      <c r="E130" s="329" t="s">
        <v>247</v>
      </c>
      <c r="F130" s="330" t="s">
        <v>464</v>
      </c>
      <c r="G130" s="345"/>
      <c r="H130" s="644">
        <v>0</v>
      </c>
      <c r="I130" s="640">
        <v>0</v>
      </c>
      <c r="J130" s="640">
        <v>5</v>
      </c>
      <c r="K130" s="640"/>
      <c r="L130" s="641"/>
      <c r="M130" s="639"/>
      <c r="N130" s="338"/>
      <c r="O130" s="329">
        <v>5</v>
      </c>
      <c r="P130" s="338"/>
      <c r="Q130" s="338"/>
      <c r="R130" s="642" t="s">
        <v>1757</v>
      </c>
      <c r="S130" s="643">
        <f t="shared" si="48"/>
        <v>0</v>
      </c>
      <c r="T130" s="643">
        <f>I130-N130</f>
        <v>0</v>
      </c>
      <c r="U130" s="643">
        <f t="shared" ref="U130:W132" si="50">J130-O130</f>
        <v>0</v>
      </c>
      <c r="V130" s="643">
        <f t="shared" si="50"/>
        <v>0</v>
      </c>
      <c r="W130" s="684">
        <f t="shared" si="50"/>
        <v>0</v>
      </c>
      <c r="X130" s="346"/>
      <c r="Y130" s="346"/>
      <c r="Z130" s="469"/>
    </row>
    <row r="131" spans="1:26" s="325" customFormat="1" ht="11.25" customHeight="1" x14ac:dyDescent="0.2">
      <c r="A131" s="328" t="s">
        <v>378</v>
      </c>
      <c r="B131" s="329" t="s">
        <v>424</v>
      </c>
      <c r="C131" s="329" t="s">
        <v>237</v>
      </c>
      <c r="D131" s="329" t="s">
        <v>250</v>
      </c>
      <c r="E131" s="329" t="s">
        <v>249</v>
      </c>
      <c r="F131" s="330" t="s">
        <v>464</v>
      </c>
      <c r="G131" s="463"/>
      <c r="H131" s="644"/>
      <c r="I131" s="640"/>
      <c r="J131" s="640"/>
      <c r="K131" s="640">
        <v>26</v>
      </c>
      <c r="L131" s="641">
        <v>0</v>
      </c>
      <c r="M131" s="639"/>
      <c r="N131" s="338"/>
      <c r="O131" s="338"/>
      <c r="P131" s="338">
        <v>26</v>
      </c>
      <c r="Q131" s="338"/>
      <c r="R131" s="642" t="s">
        <v>1599</v>
      </c>
      <c r="S131" s="643">
        <f t="shared" si="48"/>
        <v>0</v>
      </c>
      <c r="T131" s="643">
        <f>I131-N131</f>
        <v>0</v>
      </c>
      <c r="U131" s="643">
        <f t="shared" si="50"/>
        <v>0</v>
      </c>
      <c r="V131" s="643">
        <f t="shared" si="50"/>
        <v>0</v>
      </c>
      <c r="W131" s="684">
        <f t="shared" si="50"/>
        <v>0</v>
      </c>
      <c r="X131" s="346"/>
      <c r="Y131" s="346"/>
      <c r="Z131" s="469" t="s">
        <v>1330</v>
      </c>
    </row>
    <row r="132" spans="1:26" s="325" customFormat="1" ht="11.25" customHeight="1" x14ac:dyDescent="0.2">
      <c r="A132" s="328" t="s">
        <v>378</v>
      </c>
      <c r="B132" s="329" t="s">
        <v>424</v>
      </c>
      <c r="C132" s="329" t="s">
        <v>237</v>
      </c>
      <c r="D132" s="329" t="s">
        <v>274</v>
      </c>
      <c r="E132" s="329" t="s">
        <v>273</v>
      </c>
      <c r="F132" s="330" t="s">
        <v>464</v>
      </c>
      <c r="G132" s="345" t="s">
        <v>1460</v>
      </c>
      <c r="H132" s="644"/>
      <c r="I132" s="640"/>
      <c r="J132" s="640"/>
      <c r="K132" s="640">
        <v>0</v>
      </c>
      <c r="L132" s="641">
        <v>0</v>
      </c>
      <c r="M132" s="328"/>
      <c r="N132" s="329"/>
      <c r="O132" s="329"/>
      <c r="P132" s="329"/>
      <c r="Q132" s="338"/>
      <c r="R132" s="642"/>
      <c r="S132" s="643">
        <f t="shared" si="48"/>
        <v>0</v>
      </c>
      <c r="T132" s="643">
        <f>I132-N132</f>
        <v>0</v>
      </c>
      <c r="U132" s="643">
        <f t="shared" si="50"/>
        <v>0</v>
      </c>
      <c r="V132" s="643">
        <f t="shared" si="50"/>
        <v>0</v>
      </c>
      <c r="W132" s="684">
        <f t="shared" si="50"/>
        <v>0</v>
      </c>
      <c r="X132" s="346"/>
      <c r="Y132" s="346"/>
      <c r="Z132" s="469"/>
    </row>
    <row r="133" spans="1:26" s="325" customFormat="1" ht="11.25" customHeight="1" x14ac:dyDescent="0.2">
      <c r="A133" s="328" t="s">
        <v>378</v>
      </c>
      <c r="B133" s="329" t="s">
        <v>424</v>
      </c>
      <c r="C133" s="329" t="s">
        <v>237</v>
      </c>
      <c r="D133" s="329" t="s">
        <v>1765</v>
      </c>
      <c r="E133" s="329" t="s">
        <v>1690</v>
      </c>
      <c r="F133" s="330" t="s">
        <v>464</v>
      </c>
      <c r="G133" s="345"/>
      <c r="H133" s="644">
        <v>141</v>
      </c>
      <c r="I133" s="640">
        <v>141</v>
      </c>
      <c r="J133" s="640"/>
      <c r="K133" s="640"/>
      <c r="L133" s="641">
        <v>2</v>
      </c>
      <c r="M133" s="328">
        <v>75</v>
      </c>
      <c r="N133" s="329">
        <v>75</v>
      </c>
      <c r="O133" s="329"/>
      <c r="P133" s="329"/>
      <c r="Q133" s="338"/>
      <c r="R133" s="642" t="s">
        <v>1560</v>
      </c>
      <c r="S133" s="643">
        <f t="shared" si="48"/>
        <v>66</v>
      </c>
      <c r="T133" s="643"/>
      <c r="U133" s="643"/>
      <c r="V133" s="643"/>
      <c r="W133" s="684">
        <f>L133-Q133</f>
        <v>2</v>
      </c>
      <c r="X133" s="346">
        <v>90</v>
      </c>
      <c r="Y133" s="346">
        <v>90</v>
      </c>
      <c r="Z133" s="469"/>
    </row>
    <row r="134" spans="1:26" s="325" customFormat="1" ht="11.25" customHeight="1" x14ac:dyDescent="0.2">
      <c r="A134" s="328" t="s">
        <v>378</v>
      </c>
      <c r="B134" s="329" t="s">
        <v>1327</v>
      </c>
      <c r="C134" s="352" t="s">
        <v>237</v>
      </c>
      <c r="D134" s="329" t="s">
        <v>1697</v>
      </c>
      <c r="E134" s="329" t="s">
        <v>1692</v>
      </c>
      <c r="F134" s="330" t="s">
        <v>464</v>
      </c>
      <c r="G134" s="345"/>
      <c r="H134" s="644">
        <v>8</v>
      </c>
      <c r="I134" s="640">
        <v>8</v>
      </c>
      <c r="J134" s="640"/>
      <c r="K134" s="640"/>
      <c r="L134" s="641"/>
      <c r="M134" s="639"/>
      <c r="N134" s="338"/>
      <c r="O134" s="338"/>
      <c r="P134" s="338"/>
      <c r="Q134" s="338"/>
      <c r="R134" s="642"/>
      <c r="S134" s="643">
        <f t="shared" si="48"/>
        <v>8</v>
      </c>
      <c r="T134" s="643"/>
      <c r="U134" s="643"/>
      <c r="V134" s="643"/>
      <c r="W134" s="684"/>
      <c r="X134" s="346">
        <v>20</v>
      </c>
      <c r="Y134" s="346"/>
      <c r="Z134" s="469"/>
    </row>
    <row r="135" spans="1:26" s="325" customFormat="1" ht="11.25" customHeight="1" x14ac:dyDescent="0.2">
      <c r="A135" s="328" t="s">
        <v>378</v>
      </c>
      <c r="B135" s="329" t="s">
        <v>462</v>
      </c>
      <c r="C135" s="329" t="s">
        <v>237</v>
      </c>
      <c r="D135" s="329" t="s">
        <v>278</v>
      </c>
      <c r="E135" s="329" t="s">
        <v>277</v>
      </c>
      <c r="F135" s="330" t="s">
        <v>464</v>
      </c>
      <c r="G135" s="463"/>
      <c r="H135" s="644">
        <v>0</v>
      </c>
      <c r="I135" s="640">
        <v>0</v>
      </c>
      <c r="J135" s="640">
        <v>2</v>
      </c>
      <c r="K135" s="640">
        <v>0</v>
      </c>
      <c r="L135" s="641">
        <v>2</v>
      </c>
      <c r="M135" s="639"/>
      <c r="N135" s="338"/>
      <c r="O135" s="338">
        <v>2</v>
      </c>
      <c r="P135" s="338"/>
      <c r="Q135" s="338">
        <v>2</v>
      </c>
      <c r="R135" s="642" t="s">
        <v>1757</v>
      </c>
      <c r="S135" s="643">
        <f t="shared" si="48"/>
        <v>0</v>
      </c>
      <c r="T135" s="643">
        <f>I135-N135</f>
        <v>0</v>
      </c>
      <c r="U135" s="643">
        <f>J135-O135</f>
        <v>0</v>
      </c>
      <c r="V135" s="643">
        <f>K135-P135</f>
        <v>0</v>
      </c>
      <c r="W135" s="684">
        <f>L135-Q135</f>
        <v>0</v>
      </c>
      <c r="X135" s="346"/>
      <c r="Y135" s="346"/>
      <c r="Z135" s="469"/>
    </row>
    <row r="136" spans="1:26" s="325" customFormat="1" ht="11.25" customHeight="1" x14ac:dyDescent="0.2">
      <c r="A136" s="331" t="s">
        <v>3</v>
      </c>
      <c r="B136" s="332"/>
      <c r="C136" s="332"/>
      <c r="D136" s="333"/>
      <c r="E136" s="334"/>
      <c r="F136" s="335"/>
      <c r="G136" s="472"/>
      <c r="H136" s="336">
        <f t="shared" ref="H136:Y136" si="51">SUM(H109:H135)</f>
        <v>772</v>
      </c>
      <c r="I136" s="336">
        <f t="shared" si="51"/>
        <v>772</v>
      </c>
      <c r="J136" s="336">
        <f t="shared" si="51"/>
        <v>49</v>
      </c>
      <c r="K136" s="336">
        <f t="shared" si="51"/>
        <v>455</v>
      </c>
      <c r="L136" s="336">
        <f t="shared" si="51"/>
        <v>7</v>
      </c>
      <c r="M136" s="336">
        <f t="shared" si="51"/>
        <v>333</v>
      </c>
      <c r="N136" s="336">
        <f t="shared" si="51"/>
        <v>333</v>
      </c>
      <c r="O136" s="336">
        <f t="shared" si="51"/>
        <v>39</v>
      </c>
      <c r="P136" s="336">
        <f t="shared" si="51"/>
        <v>412</v>
      </c>
      <c r="Q136" s="336">
        <f t="shared" si="51"/>
        <v>2</v>
      </c>
      <c r="R136" s="336">
        <f t="shared" si="51"/>
        <v>0</v>
      </c>
      <c r="S136" s="336">
        <f t="shared" si="51"/>
        <v>439</v>
      </c>
      <c r="T136" s="336">
        <f t="shared" si="51"/>
        <v>234</v>
      </c>
      <c r="U136" s="336">
        <f t="shared" si="51"/>
        <v>10</v>
      </c>
      <c r="V136" s="336">
        <f t="shared" si="51"/>
        <v>43</v>
      </c>
      <c r="W136" s="336">
        <f t="shared" si="51"/>
        <v>3</v>
      </c>
      <c r="X136" s="336">
        <f t="shared" si="51"/>
        <v>510</v>
      </c>
      <c r="Y136" s="336">
        <f t="shared" si="51"/>
        <v>394</v>
      </c>
      <c r="Z136" s="469"/>
    </row>
    <row r="137" spans="1:26" s="325" customFormat="1" ht="11.25" customHeight="1" x14ac:dyDescent="0.2">
      <c r="A137" s="328" t="s">
        <v>1313</v>
      </c>
      <c r="B137" s="329" t="s">
        <v>424</v>
      </c>
      <c r="C137" s="329" t="s">
        <v>1349</v>
      </c>
      <c r="D137" s="329" t="s">
        <v>291</v>
      </c>
      <c r="E137" s="329" t="s">
        <v>290</v>
      </c>
      <c r="F137" s="330" t="s">
        <v>464</v>
      </c>
      <c r="G137" s="463"/>
      <c r="H137" s="644">
        <v>5</v>
      </c>
      <c r="I137" s="640"/>
      <c r="J137" s="640">
        <v>78</v>
      </c>
      <c r="K137" s="640">
        <v>41</v>
      </c>
      <c r="L137" s="641"/>
      <c r="M137" s="328"/>
      <c r="N137" s="329"/>
      <c r="O137" s="329">
        <v>20</v>
      </c>
      <c r="P137" s="329"/>
      <c r="Q137" s="338"/>
      <c r="R137" s="642" t="s">
        <v>1644</v>
      </c>
      <c r="S137" s="643">
        <f t="shared" ref="S137:W142" si="52">H137-M137</f>
        <v>5</v>
      </c>
      <c r="T137" s="643">
        <f t="shared" si="52"/>
        <v>0</v>
      </c>
      <c r="U137" s="643">
        <f t="shared" si="52"/>
        <v>58</v>
      </c>
      <c r="V137" s="643">
        <f t="shared" si="52"/>
        <v>41</v>
      </c>
      <c r="W137" s="684">
        <f t="shared" si="52"/>
        <v>0</v>
      </c>
      <c r="X137" s="346"/>
      <c r="Y137" s="346"/>
      <c r="Z137" s="469" t="s">
        <v>1616</v>
      </c>
    </row>
    <row r="138" spans="1:26" s="325" customFormat="1" ht="11.25" customHeight="1" x14ac:dyDescent="0.2">
      <c r="A138" s="328" t="s">
        <v>1313</v>
      </c>
      <c r="B138" s="329" t="s">
        <v>424</v>
      </c>
      <c r="C138" s="329" t="s">
        <v>1349</v>
      </c>
      <c r="D138" s="329" t="s">
        <v>289</v>
      </c>
      <c r="E138" s="329" t="s">
        <v>287</v>
      </c>
      <c r="F138" s="330" t="s">
        <v>464</v>
      </c>
      <c r="G138" s="345" t="s">
        <v>1460</v>
      </c>
      <c r="H138" s="644">
        <v>1</v>
      </c>
      <c r="I138" s="640">
        <v>66</v>
      </c>
      <c r="J138" s="640"/>
      <c r="K138" s="640">
        <v>5</v>
      </c>
      <c r="L138" s="641"/>
      <c r="M138" s="328"/>
      <c r="N138" s="329"/>
      <c r="O138" s="329"/>
      <c r="P138" s="329"/>
      <c r="Q138" s="338"/>
      <c r="R138" s="642"/>
      <c r="S138" s="643">
        <f t="shared" si="52"/>
        <v>1</v>
      </c>
      <c r="T138" s="643">
        <f t="shared" si="52"/>
        <v>66</v>
      </c>
      <c r="U138" s="643">
        <f t="shared" si="52"/>
        <v>0</v>
      </c>
      <c r="V138" s="643">
        <f t="shared" si="52"/>
        <v>5</v>
      </c>
      <c r="W138" s="684">
        <f t="shared" si="52"/>
        <v>0</v>
      </c>
      <c r="X138" s="346"/>
      <c r="Y138" s="346"/>
      <c r="Z138" s="469"/>
    </row>
    <row r="139" spans="1:26" s="325" customFormat="1" ht="11.25" customHeight="1" x14ac:dyDescent="0.2">
      <c r="A139" s="328" t="s">
        <v>1313</v>
      </c>
      <c r="B139" s="329" t="s">
        <v>424</v>
      </c>
      <c r="C139" s="329" t="s">
        <v>1349</v>
      </c>
      <c r="D139" s="329" t="s">
        <v>1350</v>
      </c>
      <c r="E139" s="329" t="s">
        <v>905</v>
      </c>
      <c r="F139" s="330" t="s">
        <v>464</v>
      </c>
      <c r="G139" s="463"/>
      <c r="H139" s="644"/>
      <c r="I139" s="640"/>
      <c r="J139" s="640"/>
      <c r="K139" s="640"/>
      <c r="L139" s="641"/>
      <c r="M139" s="328"/>
      <c r="N139" s="329"/>
      <c r="O139" s="329"/>
      <c r="P139" s="329"/>
      <c r="Q139" s="338"/>
      <c r="R139" s="642"/>
      <c r="S139" s="643">
        <f t="shared" si="52"/>
        <v>0</v>
      </c>
      <c r="T139" s="643">
        <f t="shared" si="52"/>
        <v>0</v>
      </c>
      <c r="U139" s="643">
        <f t="shared" si="52"/>
        <v>0</v>
      </c>
      <c r="V139" s="643">
        <f t="shared" si="52"/>
        <v>0</v>
      </c>
      <c r="W139" s="684">
        <f t="shared" si="52"/>
        <v>0</v>
      </c>
      <c r="X139" s="346"/>
      <c r="Y139" s="346"/>
      <c r="Z139" s="469"/>
    </row>
    <row r="140" spans="1:26" s="325" customFormat="1" ht="11.25" customHeight="1" x14ac:dyDescent="0.2">
      <c r="A140" s="328" t="s">
        <v>1313</v>
      </c>
      <c r="B140" s="329" t="s">
        <v>424</v>
      </c>
      <c r="C140" s="329" t="s">
        <v>1349</v>
      </c>
      <c r="D140" s="329" t="s">
        <v>1351</v>
      </c>
      <c r="E140" s="329" t="s">
        <v>909</v>
      </c>
      <c r="F140" s="330" t="s">
        <v>464</v>
      </c>
      <c r="G140" s="465" t="s">
        <v>1457</v>
      </c>
      <c r="H140" s="644"/>
      <c r="I140" s="640">
        <v>0</v>
      </c>
      <c r="J140" s="640"/>
      <c r="K140" s="640">
        <v>6</v>
      </c>
      <c r="L140" s="641">
        <v>1</v>
      </c>
      <c r="M140" s="328"/>
      <c r="N140" s="329"/>
      <c r="O140" s="329"/>
      <c r="P140" s="329"/>
      <c r="Q140" s="338"/>
      <c r="R140" s="642"/>
      <c r="S140" s="643">
        <f t="shared" si="52"/>
        <v>0</v>
      </c>
      <c r="T140" s="643">
        <f t="shared" si="52"/>
        <v>0</v>
      </c>
      <c r="U140" s="643">
        <f t="shared" si="52"/>
        <v>0</v>
      </c>
      <c r="V140" s="643">
        <f t="shared" si="52"/>
        <v>6</v>
      </c>
      <c r="W140" s="684">
        <f t="shared" si="52"/>
        <v>1</v>
      </c>
      <c r="X140" s="346"/>
      <c r="Y140" s="346"/>
      <c r="Z140" s="469"/>
    </row>
    <row r="141" spans="1:26" s="325" customFormat="1" ht="11.25" customHeight="1" x14ac:dyDescent="0.2">
      <c r="A141" s="328" t="s">
        <v>1313</v>
      </c>
      <c r="B141" s="329" t="s">
        <v>1327</v>
      </c>
      <c r="C141" s="329" t="s">
        <v>1349</v>
      </c>
      <c r="D141" s="329" t="s">
        <v>1140</v>
      </c>
      <c r="E141" s="329" t="s">
        <v>1124</v>
      </c>
      <c r="F141" s="330" t="s">
        <v>464</v>
      </c>
      <c r="G141" s="463"/>
      <c r="H141" s="644">
        <v>62</v>
      </c>
      <c r="I141" s="338"/>
      <c r="J141" s="338"/>
      <c r="K141" s="640"/>
      <c r="L141" s="641"/>
      <c r="M141" s="639"/>
      <c r="N141" s="338"/>
      <c r="O141" s="338"/>
      <c r="P141" s="338"/>
      <c r="Q141" s="338"/>
      <c r="R141" s="642"/>
      <c r="S141" s="643">
        <f t="shared" si="52"/>
        <v>62</v>
      </c>
      <c r="T141" s="643">
        <f t="shared" si="52"/>
        <v>0</v>
      </c>
      <c r="U141" s="643">
        <f t="shared" si="52"/>
        <v>0</v>
      </c>
      <c r="V141" s="643">
        <f t="shared" si="52"/>
        <v>0</v>
      </c>
      <c r="W141" s="684">
        <f t="shared" si="52"/>
        <v>0</v>
      </c>
      <c r="X141" s="346"/>
      <c r="Y141" s="346"/>
      <c r="Z141" s="469"/>
    </row>
    <row r="142" spans="1:26" s="325" customFormat="1" ht="11.25" customHeight="1" x14ac:dyDescent="0.2">
      <c r="A142" s="328" t="s">
        <v>1313</v>
      </c>
      <c r="B142" s="329" t="s">
        <v>1316</v>
      </c>
      <c r="C142" s="329" t="s">
        <v>1349</v>
      </c>
      <c r="D142" s="329" t="s">
        <v>1352</v>
      </c>
      <c r="E142" s="329" t="s">
        <v>294</v>
      </c>
      <c r="F142" s="330" t="s">
        <v>464</v>
      </c>
      <c r="G142" s="463"/>
      <c r="H142" s="644"/>
      <c r="I142" s="640"/>
      <c r="J142" s="640">
        <v>43</v>
      </c>
      <c r="K142" s="640">
        <v>20</v>
      </c>
      <c r="L142" s="641"/>
      <c r="M142" s="639"/>
      <c r="N142" s="338"/>
      <c r="O142" s="338"/>
      <c r="P142" s="338">
        <v>20</v>
      </c>
      <c r="Q142" s="338"/>
      <c r="R142" s="642" t="s">
        <v>1590</v>
      </c>
      <c r="S142" s="643">
        <f t="shared" si="52"/>
        <v>0</v>
      </c>
      <c r="T142" s="643">
        <f t="shared" si="52"/>
        <v>0</v>
      </c>
      <c r="U142" s="643">
        <f t="shared" si="52"/>
        <v>43</v>
      </c>
      <c r="V142" s="643">
        <f t="shared" si="52"/>
        <v>0</v>
      </c>
      <c r="W142" s="684">
        <f t="shared" si="52"/>
        <v>0</v>
      </c>
      <c r="X142" s="346"/>
      <c r="Y142" s="346"/>
      <c r="Z142" s="469" t="s">
        <v>1353</v>
      </c>
    </row>
    <row r="143" spans="1:26" s="325" customFormat="1" ht="11.25" customHeight="1" x14ac:dyDescent="0.2">
      <c r="A143" s="331" t="s">
        <v>3</v>
      </c>
      <c r="B143" s="332"/>
      <c r="C143" s="332"/>
      <c r="D143" s="333"/>
      <c r="E143" s="334"/>
      <c r="F143" s="335"/>
      <c r="G143" s="472"/>
      <c r="H143" s="336">
        <f t="shared" ref="H143:Y143" si="53">SUM(H137:H142)</f>
        <v>68</v>
      </c>
      <c r="I143" s="336">
        <f t="shared" si="53"/>
        <v>66</v>
      </c>
      <c r="J143" s="336">
        <f t="shared" si="53"/>
        <v>121</v>
      </c>
      <c r="K143" s="336">
        <f t="shared" si="53"/>
        <v>72</v>
      </c>
      <c r="L143" s="336">
        <f t="shared" si="53"/>
        <v>1</v>
      </c>
      <c r="M143" s="336">
        <f t="shared" si="53"/>
        <v>0</v>
      </c>
      <c r="N143" s="336">
        <f t="shared" si="53"/>
        <v>0</v>
      </c>
      <c r="O143" s="336">
        <f t="shared" si="53"/>
        <v>20</v>
      </c>
      <c r="P143" s="336">
        <f t="shared" si="53"/>
        <v>20</v>
      </c>
      <c r="Q143" s="336">
        <f t="shared" si="53"/>
        <v>0</v>
      </c>
      <c r="R143" s="336">
        <f t="shared" si="53"/>
        <v>0</v>
      </c>
      <c r="S143" s="336">
        <f t="shared" si="53"/>
        <v>68</v>
      </c>
      <c r="T143" s="336">
        <f t="shared" si="53"/>
        <v>66</v>
      </c>
      <c r="U143" s="336">
        <f t="shared" si="53"/>
        <v>101</v>
      </c>
      <c r="V143" s="336">
        <f t="shared" si="53"/>
        <v>52</v>
      </c>
      <c r="W143" s="336">
        <f t="shared" si="53"/>
        <v>1</v>
      </c>
      <c r="X143" s="336">
        <f t="shared" si="53"/>
        <v>0</v>
      </c>
      <c r="Y143" s="336">
        <f t="shared" si="53"/>
        <v>0</v>
      </c>
      <c r="Z143" s="469"/>
    </row>
    <row r="144" spans="1:26" s="325" customFormat="1" ht="11.25" customHeight="1" x14ac:dyDescent="0.2">
      <c r="A144" s="328" t="s">
        <v>1313</v>
      </c>
      <c r="B144" s="329" t="s">
        <v>1327</v>
      </c>
      <c r="C144" s="329" t="s">
        <v>297</v>
      </c>
      <c r="D144" s="329" t="s">
        <v>1136</v>
      </c>
      <c r="E144" s="329" t="s">
        <v>1121</v>
      </c>
      <c r="F144" s="330" t="s">
        <v>464</v>
      </c>
      <c r="G144" s="463" t="s">
        <v>1304</v>
      </c>
      <c r="H144" s="644">
        <v>25</v>
      </c>
      <c r="I144" s="640">
        <v>25</v>
      </c>
      <c r="J144" s="640"/>
      <c r="K144" s="640"/>
      <c r="L144" s="641"/>
      <c r="M144" s="639">
        <v>25</v>
      </c>
      <c r="N144" s="338">
        <v>25</v>
      </c>
      <c r="O144" s="338"/>
      <c r="P144" s="338"/>
      <c r="Q144" s="338"/>
      <c r="R144" s="642" t="s">
        <v>778</v>
      </c>
      <c r="S144" s="643">
        <f t="shared" ref="S144:W147" si="54">H144-M144</f>
        <v>0</v>
      </c>
      <c r="T144" s="643">
        <f t="shared" si="54"/>
        <v>0</v>
      </c>
      <c r="U144" s="643">
        <f t="shared" si="54"/>
        <v>0</v>
      </c>
      <c r="V144" s="643">
        <f t="shared" si="54"/>
        <v>0</v>
      </c>
      <c r="W144" s="684">
        <f t="shared" si="54"/>
        <v>0</v>
      </c>
      <c r="X144" s="346"/>
      <c r="Y144" s="346"/>
      <c r="Z144" s="469" t="s">
        <v>1315</v>
      </c>
    </row>
    <row r="145" spans="1:26" s="325" customFormat="1" ht="11.25" customHeight="1" x14ac:dyDescent="0.2">
      <c r="A145" s="328" t="s">
        <v>1313</v>
      </c>
      <c r="B145" s="329" t="s">
        <v>1316</v>
      </c>
      <c r="C145" s="329" t="s">
        <v>297</v>
      </c>
      <c r="D145" s="329" t="s">
        <v>1190</v>
      </c>
      <c r="E145" s="329" t="s">
        <v>1172</v>
      </c>
      <c r="F145" s="330" t="s">
        <v>464</v>
      </c>
      <c r="G145" s="463" t="s">
        <v>1304</v>
      </c>
      <c r="H145" s="644">
        <v>31</v>
      </c>
      <c r="I145" s="640">
        <v>31</v>
      </c>
      <c r="J145" s="640">
        <v>43</v>
      </c>
      <c r="K145" s="640">
        <v>20</v>
      </c>
      <c r="L145" s="641">
        <v>1</v>
      </c>
      <c r="M145" s="639">
        <v>20</v>
      </c>
      <c r="N145" s="338">
        <v>20</v>
      </c>
      <c r="O145" s="338">
        <v>43</v>
      </c>
      <c r="P145" s="338">
        <v>20</v>
      </c>
      <c r="Q145" s="338"/>
      <c r="R145" s="642" t="s">
        <v>1770</v>
      </c>
      <c r="S145" s="643">
        <f t="shared" si="54"/>
        <v>11</v>
      </c>
      <c r="T145" s="643">
        <f t="shared" si="54"/>
        <v>11</v>
      </c>
      <c r="U145" s="643">
        <f t="shared" si="54"/>
        <v>0</v>
      </c>
      <c r="V145" s="643">
        <f t="shared" si="54"/>
        <v>0</v>
      </c>
      <c r="W145" s="684">
        <f t="shared" si="54"/>
        <v>1</v>
      </c>
      <c r="X145" s="346"/>
      <c r="Y145" s="346"/>
      <c r="Z145" s="469" t="s">
        <v>1353</v>
      </c>
    </row>
    <row r="146" spans="1:26" s="325" customFormat="1" ht="11.25" customHeight="1" x14ac:dyDescent="0.2">
      <c r="A146" s="328" t="s">
        <v>1313</v>
      </c>
      <c r="B146" s="329" t="s">
        <v>424</v>
      </c>
      <c r="C146" s="329" t="s">
        <v>297</v>
      </c>
      <c r="D146" s="329" t="s">
        <v>759</v>
      </c>
      <c r="E146" s="329" t="s">
        <v>296</v>
      </c>
      <c r="F146" s="330" t="s">
        <v>464</v>
      </c>
      <c r="G146" s="463" t="s">
        <v>1460</v>
      </c>
      <c r="H146" s="644">
        <v>40</v>
      </c>
      <c r="I146" s="640">
        <v>40</v>
      </c>
      <c r="J146" s="640"/>
      <c r="K146" s="640"/>
      <c r="L146" s="641"/>
      <c r="M146" s="328">
        <v>40</v>
      </c>
      <c r="N146" s="329">
        <v>40</v>
      </c>
      <c r="O146" s="329"/>
      <c r="P146" s="329"/>
      <c r="Q146" s="338"/>
      <c r="R146" s="642" t="s">
        <v>1628</v>
      </c>
      <c r="S146" s="643">
        <f t="shared" si="54"/>
        <v>0</v>
      </c>
      <c r="T146" s="643">
        <f t="shared" si="54"/>
        <v>0</v>
      </c>
      <c r="U146" s="643">
        <f t="shared" si="54"/>
        <v>0</v>
      </c>
      <c r="V146" s="643">
        <f t="shared" si="54"/>
        <v>0</v>
      </c>
      <c r="W146" s="684">
        <f t="shared" si="54"/>
        <v>0</v>
      </c>
      <c r="X146" s="346"/>
      <c r="Y146" s="346"/>
      <c r="Z146" s="469" t="s">
        <v>1629</v>
      </c>
    </row>
    <row r="147" spans="1:26" s="325" customFormat="1" ht="11.25" customHeight="1" x14ac:dyDescent="0.2">
      <c r="A147" s="328" t="s">
        <v>1313</v>
      </c>
      <c r="B147" s="329" t="s">
        <v>1316</v>
      </c>
      <c r="C147" s="329" t="s">
        <v>297</v>
      </c>
      <c r="D147" s="329" t="s">
        <v>1275</v>
      </c>
      <c r="E147" s="329" t="s">
        <v>1274</v>
      </c>
      <c r="F147" s="330" t="s">
        <v>464</v>
      </c>
      <c r="G147" s="463" t="s">
        <v>1304</v>
      </c>
      <c r="H147" s="644">
        <v>61</v>
      </c>
      <c r="I147" s="640"/>
      <c r="J147" s="640">
        <v>59</v>
      </c>
      <c r="K147" s="640"/>
      <c r="L147" s="641"/>
      <c r="M147" s="639"/>
      <c r="N147" s="338"/>
      <c r="O147" s="338">
        <v>52</v>
      </c>
      <c r="P147" s="338"/>
      <c r="Q147" s="338"/>
      <c r="R147" s="642" t="s">
        <v>1590</v>
      </c>
      <c r="S147" s="643">
        <f t="shared" si="54"/>
        <v>61</v>
      </c>
      <c r="T147" s="643">
        <f t="shared" si="54"/>
        <v>0</v>
      </c>
      <c r="U147" s="643">
        <f t="shared" si="54"/>
        <v>7</v>
      </c>
      <c r="V147" s="643">
        <f t="shared" si="54"/>
        <v>0</v>
      </c>
      <c r="W147" s="684">
        <f t="shared" si="54"/>
        <v>0</v>
      </c>
      <c r="X147" s="346"/>
      <c r="Y147" s="346"/>
      <c r="Z147" s="469"/>
    </row>
    <row r="148" spans="1:26" s="325" customFormat="1" ht="11.25" customHeight="1" x14ac:dyDescent="0.2">
      <c r="A148" s="331" t="s">
        <v>3</v>
      </c>
      <c r="B148" s="332"/>
      <c r="C148" s="332"/>
      <c r="D148" s="333"/>
      <c r="E148" s="334"/>
      <c r="F148" s="335"/>
      <c r="G148" s="472"/>
      <c r="H148" s="336">
        <f t="shared" ref="H148:Y148" si="55">SUM(H144:H147)</f>
        <v>157</v>
      </c>
      <c r="I148" s="336">
        <f t="shared" si="55"/>
        <v>96</v>
      </c>
      <c r="J148" s="336">
        <f t="shared" si="55"/>
        <v>102</v>
      </c>
      <c r="K148" s="336">
        <f t="shared" si="55"/>
        <v>20</v>
      </c>
      <c r="L148" s="336">
        <f t="shared" si="55"/>
        <v>1</v>
      </c>
      <c r="M148" s="336">
        <f t="shared" si="55"/>
        <v>85</v>
      </c>
      <c r="N148" s="336">
        <f t="shared" si="55"/>
        <v>85</v>
      </c>
      <c r="O148" s="336">
        <f t="shared" si="55"/>
        <v>95</v>
      </c>
      <c r="P148" s="336">
        <f t="shared" si="55"/>
        <v>20</v>
      </c>
      <c r="Q148" s="336">
        <f t="shared" si="55"/>
        <v>0</v>
      </c>
      <c r="R148" s="336">
        <f t="shared" si="55"/>
        <v>0</v>
      </c>
      <c r="S148" s="336">
        <f t="shared" si="55"/>
        <v>72</v>
      </c>
      <c r="T148" s="336">
        <f t="shared" si="55"/>
        <v>11</v>
      </c>
      <c r="U148" s="336">
        <f t="shared" si="55"/>
        <v>7</v>
      </c>
      <c r="V148" s="336">
        <f t="shared" si="55"/>
        <v>0</v>
      </c>
      <c r="W148" s="336">
        <f t="shared" si="55"/>
        <v>1</v>
      </c>
      <c r="X148" s="336">
        <f t="shared" si="55"/>
        <v>0</v>
      </c>
      <c r="Y148" s="336">
        <f t="shared" si="55"/>
        <v>0</v>
      </c>
      <c r="Z148" s="469"/>
    </row>
    <row r="149" spans="1:26" s="325" customFormat="1" ht="11.25" customHeight="1" x14ac:dyDescent="0.2">
      <c r="A149" s="328" t="s">
        <v>378</v>
      </c>
      <c r="B149" s="352" t="s">
        <v>1327</v>
      </c>
      <c r="C149" s="329" t="s">
        <v>299</v>
      </c>
      <c r="D149" s="648" t="s">
        <v>300</v>
      </c>
      <c r="E149" s="329" t="s">
        <v>298</v>
      </c>
      <c r="F149" s="330" t="s">
        <v>464</v>
      </c>
      <c r="G149" s="463"/>
      <c r="H149" s="644"/>
      <c r="I149" s="640"/>
      <c r="J149" s="640"/>
      <c r="K149" s="640"/>
      <c r="L149" s="641"/>
      <c r="M149" s="639"/>
      <c r="N149" s="338"/>
      <c r="O149" s="338"/>
      <c r="P149" s="338"/>
      <c r="Q149" s="338"/>
      <c r="R149" s="642"/>
      <c r="S149" s="643">
        <f t="shared" ref="S149:W150" si="56">H149-M149</f>
        <v>0</v>
      </c>
      <c r="T149" s="643">
        <f t="shared" si="56"/>
        <v>0</v>
      </c>
      <c r="U149" s="643">
        <f t="shared" si="56"/>
        <v>0</v>
      </c>
      <c r="V149" s="643">
        <f t="shared" si="56"/>
        <v>0</v>
      </c>
      <c r="W149" s="684">
        <f t="shared" si="56"/>
        <v>0</v>
      </c>
      <c r="X149" s="346"/>
      <c r="Y149" s="346"/>
      <c r="Z149" s="469"/>
    </row>
    <row r="150" spans="1:26" s="325" customFormat="1" ht="11.25" customHeight="1" x14ac:dyDescent="0.2">
      <c r="A150" s="328" t="s">
        <v>378</v>
      </c>
      <c r="B150" s="329" t="s">
        <v>424</v>
      </c>
      <c r="C150" s="329" t="s">
        <v>299</v>
      </c>
      <c r="D150" s="648" t="s">
        <v>1045</v>
      </c>
      <c r="E150" s="329" t="s">
        <v>1044</v>
      </c>
      <c r="F150" s="330" t="s">
        <v>464</v>
      </c>
      <c r="G150" s="463"/>
      <c r="H150" s="644"/>
      <c r="I150" s="640"/>
      <c r="J150" s="640"/>
      <c r="K150" s="640">
        <v>30</v>
      </c>
      <c r="L150" s="641">
        <v>1</v>
      </c>
      <c r="M150" s="328"/>
      <c r="N150" s="329"/>
      <c r="O150" s="329"/>
      <c r="P150" s="329"/>
      <c r="Q150" s="338"/>
      <c r="R150" s="642"/>
      <c r="S150" s="643">
        <f t="shared" si="56"/>
        <v>0</v>
      </c>
      <c r="T150" s="643">
        <f t="shared" si="56"/>
        <v>0</v>
      </c>
      <c r="U150" s="643">
        <f t="shared" si="56"/>
        <v>0</v>
      </c>
      <c r="V150" s="643">
        <f t="shared" si="56"/>
        <v>30</v>
      </c>
      <c r="W150" s="684">
        <f t="shared" si="56"/>
        <v>1</v>
      </c>
      <c r="X150" s="346"/>
      <c r="Y150" s="346"/>
      <c r="Z150" s="469"/>
    </row>
    <row r="151" spans="1:26" s="325" customFormat="1" ht="11.25" customHeight="1" x14ac:dyDescent="0.2">
      <c r="A151" s="331" t="s">
        <v>3</v>
      </c>
      <c r="B151" s="332"/>
      <c r="C151" s="332"/>
      <c r="D151" s="333"/>
      <c r="E151" s="334"/>
      <c r="F151" s="335"/>
      <c r="G151" s="472"/>
      <c r="H151" s="336">
        <f t="shared" ref="H151:Y151" si="57">SUM(H149:H150)</f>
        <v>0</v>
      </c>
      <c r="I151" s="336">
        <f t="shared" si="57"/>
        <v>0</v>
      </c>
      <c r="J151" s="336">
        <f t="shared" si="57"/>
        <v>0</v>
      </c>
      <c r="K151" s="336">
        <f t="shared" si="57"/>
        <v>30</v>
      </c>
      <c r="L151" s="336">
        <f t="shared" si="57"/>
        <v>1</v>
      </c>
      <c r="M151" s="336">
        <f t="shared" si="57"/>
        <v>0</v>
      </c>
      <c r="N151" s="336">
        <f t="shared" si="57"/>
        <v>0</v>
      </c>
      <c r="O151" s="336">
        <f t="shared" si="57"/>
        <v>0</v>
      </c>
      <c r="P151" s="336">
        <f t="shared" si="57"/>
        <v>0</v>
      </c>
      <c r="Q151" s="336">
        <f t="shared" si="57"/>
        <v>0</v>
      </c>
      <c r="R151" s="336">
        <f t="shared" si="57"/>
        <v>0</v>
      </c>
      <c r="S151" s="336">
        <f t="shared" si="57"/>
        <v>0</v>
      </c>
      <c r="T151" s="336">
        <f t="shared" si="57"/>
        <v>0</v>
      </c>
      <c r="U151" s="336">
        <f t="shared" si="57"/>
        <v>0</v>
      </c>
      <c r="V151" s="336">
        <f t="shared" si="57"/>
        <v>30</v>
      </c>
      <c r="W151" s="336">
        <f t="shared" si="57"/>
        <v>1</v>
      </c>
      <c r="X151" s="336">
        <f t="shared" si="57"/>
        <v>0</v>
      </c>
      <c r="Y151" s="336">
        <f t="shared" si="57"/>
        <v>0</v>
      </c>
      <c r="Z151" s="469"/>
    </row>
    <row r="152" spans="1:26" s="325" customFormat="1" ht="11.25" customHeight="1" x14ac:dyDescent="0.2">
      <c r="A152" s="328" t="s">
        <v>378</v>
      </c>
      <c r="B152" s="329" t="s">
        <v>424</v>
      </c>
      <c r="C152" s="329" t="s">
        <v>1354</v>
      </c>
      <c r="D152" s="329" t="s">
        <v>305</v>
      </c>
      <c r="E152" s="329" t="s">
        <v>304</v>
      </c>
      <c r="F152" s="330" t="s">
        <v>464</v>
      </c>
      <c r="G152" s="463"/>
      <c r="H152" s="644"/>
      <c r="I152" s="640"/>
      <c r="J152" s="640"/>
      <c r="K152" s="640">
        <v>50</v>
      </c>
      <c r="L152" s="641"/>
      <c r="M152" s="328"/>
      <c r="N152" s="329"/>
      <c r="O152" s="329"/>
      <c r="P152" s="329">
        <v>10</v>
      </c>
      <c r="Q152" s="338"/>
      <c r="R152" s="642" t="s">
        <v>1599</v>
      </c>
      <c r="S152" s="643">
        <f t="shared" ref="S152:W153" si="58">H152-M152</f>
        <v>0</v>
      </c>
      <c r="T152" s="643">
        <f t="shared" si="58"/>
        <v>0</v>
      </c>
      <c r="U152" s="643">
        <f t="shared" si="58"/>
        <v>0</v>
      </c>
      <c r="V152" s="643">
        <f t="shared" si="58"/>
        <v>40</v>
      </c>
      <c r="W152" s="684">
        <f t="shared" si="58"/>
        <v>0</v>
      </c>
      <c r="X152" s="346"/>
      <c r="Y152" s="346"/>
      <c r="Z152" s="469"/>
    </row>
    <row r="153" spans="1:26" s="325" customFormat="1" ht="11.25" customHeight="1" x14ac:dyDescent="0.2">
      <c r="A153" s="328" t="s">
        <v>378</v>
      </c>
      <c r="B153" s="329" t="s">
        <v>1300</v>
      </c>
      <c r="C153" s="329" t="s">
        <v>1354</v>
      </c>
      <c r="D153" s="329" t="s">
        <v>307</v>
      </c>
      <c r="E153" s="329" t="s">
        <v>306</v>
      </c>
      <c r="F153" s="330" t="s">
        <v>464</v>
      </c>
      <c r="G153" s="467"/>
      <c r="H153" s="644"/>
      <c r="I153" s="640"/>
      <c r="J153" s="640"/>
      <c r="K153" s="640"/>
      <c r="L153" s="641"/>
      <c r="M153" s="639"/>
      <c r="N153" s="338"/>
      <c r="O153" s="338"/>
      <c r="P153" s="338"/>
      <c r="Q153" s="338"/>
      <c r="R153" s="642"/>
      <c r="S153" s="643">
        <f t="shared" si="58"/>
        <v>0</v>
      </c>
      <c r="T153" s="643">
        <f t="shared" si="58"/>
        <v>0</v>
      </c>
      <c r="U153" s="643">
        <f t="shared" si="58"/>
        <v>0</v>
      </c>
      <c r="V153" s="643">
        <f t="shared" si="58"/>
        <v>0</v>
      </c>
      <c r="W153" s="684">
        <f t="shared" si="58"/>
        <v>0</v>
      </c>
      <c r="X153" s="346"/>
      <c r="Y153" s="346"/>
      <c r="Z153" s="469"/>
    </row>
    <row r="154" spans="1:26" s="325" customFormat="1" ht="11.25" customHeight="1" x14ac:dyDescent="0.2">
      <c r="A154" s="331" t="s">
        <v>3</v>
      </c>
      <c r="B154" s="332"/>
      <c r="C154" s="332"/>
      <c r="D154" s="333"/>
      <c r="E154" s="334"/>
      <c r="F154" s="335"/>
      <c r="G154" s="472"/>
      <c r="H154" s="336">
        <f t="shared" ref="H154:Y154" si="59">SUM(H152:H153)</f>
        <v>0</v>
      </c>
      <c r="I154" s="336">
        <f t="shared" si="59"/>
        <v>0</v>
      </c>
      <c r="J154" s="336">
        <f t="shared" si="59"/>
        <v>0</v>
      </c>
      <c r="K154" s="336">
        <f t="shared" si="59"/>
        <v>50</v>
      </c>
      <c r="L154" s="336">
        <f t="shared" si="59"/>
        <v>0</v>
      </c>
      <c r="M154" s="336">
        <f t="shared" si="59"/>
        <v>0</v>
      </c>
      <c r="N154" s="336">
        <f t="shared" si="59"/>
        <v>0</v>
      </c>
      <c r="O154" s="336">
        <f t="shared" si="59"/>
        <v>0</v>
      </c>
      <c r="P154" s="336">
        <f t="shared" si="59"/>
        <v>10</v>
      </c>
      <c r="Q154" s="336">
        <f t="shared" si="59"/>
        <v>0</v>
      </c>
      <c r="R154" s="336">
        <f t="shared" si="59"/>
        <v>0</v>
      </c>
      <c r="S154" s="336">
        <f t="shared" si="59"/>
        <v>0</v>
      </c>
      <c r="T154" s="336">
        <f t="shared" si="59"/>
        <v>0</v>
      </c>
      <c r="U154" s="336">
        <f t="shared" si="59"/>
        <v>0</v>
      </c>
      <c r="V154" s="336">
        <f t="shared" si="59"/>
        <v>40</v>
      </c>
      <c r="W154" s="336">
        <f t="shared" si="59"/>
        <v>0</v>
      </c>
      <c r="X154" s="336">
        <f t="shared" si="59"/>
        <v>0</v>
      </c>
      <c r="Y154" s="336">
        <f t="shared" si="59"/>
        <v>0</v>
      </c>
      <c r="Z154" s="469"/>
    </row>
    <row r="155" spans="1:26" s="325" customFormat="1" ht="11.25" customHeight="1" x14ac:dyDescent="0.2">
      <c r="A155" s="328" t="s">
        <v>378</v>
      </c>
      <c r="B155" s="329" t="s">
        <v>424</v>
      </c>
      <c r="C155" s="329" t="s">
        <v>1355</v>
      </c>
      <c r="D155" s="329" t="s">
        <v>1067</v>
      </c>
      <c r="E155" s="329" t="s">
        <v>1068</v>
      </c>
      <c r="F155" s="330" t="s">
        <v>466</v>
      </c>
      <c r="G155" s="463" t="s">
        <v>1304</v>
      </c>
      <c r="H155" s="644">
        <v>73</v>
      </c>
      <c r="I155" s="640">
        <v>73</v>
      </c>
      <c r="J155" s="640"/>
      <c r="K155" s="640"/>
      <c r="L155" s="641"/>
      <c r="M155" s="328"/>
      <c r="N155" s="329"/>
      <c r="O155" s="329"/>
      <c r="P155" s="329"/>
      <c r="Q155" s="338"/>
      <c r="R155" s="642"/>
      <c r="S155" s="643">
        <f t="shared" ref="S155:W156" si="60">H155-M155</f>
        <v>73</v>
      </c>
      <c r="T155" s="643">
        <f t="shared" si="60"/>
        <v>73</v>
      </c>
      <c r="U155" s="643">
        <f t="shared" si="60"/>
        <v>0</v>
      </c>
      <c r="V155" s="643">
        <f t="shared" si="60"/>
        <v>0</v>
      </c>
      <c r="W155" s="684">
        <f t="shared" si="60"/>
        <v>0</v>
      </c>
      <c r="X155" s="346"/>
      <c r="Y155" s="346"/>
      <c r="Z155" s="469"/>
    </row>
    <row r="156" spans="1:26" s="325" customFormat="1" ht="11.25" customHeight="1" x14ac:dyDescent="0.2">
      <c r="A156" s="328" t="s">
        <v>378</v>
      </c>
      <c r="B156" s="329" t="s">
        <v>424</v>
      </c>
      <c r="C156" s="346" t="s">
        <v>1355</v>
      </c>
      <c r="D156" s="346" t="s">
        <v>1065</v>
      </c>
      <c r="E156" s="750" t="s">
        <v>1066</v>
      </c>
      <c r="F156" s="347" t="s">
        <v>466</v>
      </c>
      <c r="G156" s="468" t="s">
        <v>1304</v>
      </c>
      <c r="H156" s="644">
        <v>86</v>
      </c>
      <c r="I156" s="640">
        <v>86</v>
      </c>
      <c r="J156" s="640"/>
      <c r="K156" s="640"/>
      <c r="L156" s="641"/>
      <c r="M156" s="328"/>
      <c r="N156" s="329"/>
      <c r="O156" s="329"/>
      <c r="P156" s="329"/>
      <c r="Q156" s="338"/>
      <c r="R156" s="642"/>
      <c r="S156" s="643">
        <f t="shared" si="60"/>
        <v>86</v>
      </c>
      <c r="T156" s="643">
        <f t="shared" si="60"/>
        <v>86</v>
      </c>
      <c r="U156" s="643">
        <f t="shared" si="60"/>
        <v>0</v>
      </c>
      <c r="V156" s="643">
        <f t="shared" si="60"/>
        <v>0</v>
      </c>
      <c r="W156" s="684">
        <f t="shared" si="60"/>
        <v>0</v>
      </c>
      <c r="X156" s="346"/>
      <c r="Y156" s="346"/>
      <c r="Z156" s="469"/>
    </row>
    <row r="157" spans="1:26" s="325" customFormat="1" ht="11.25" customHeight="1" x14ac:dyDescent="0.2">
      <c r="A157" s="331" t="s">
        <v>3</v>
      </c>
      <c r="B157" s="332"/>
      <c r="C157" s="332"/>
      <c r="D157" s="333"/>
      <c r="E157" s="334"/>
      <c r="F157" s="335"/>
      <c r="G157" s="472"/>
      <c r="H157" s="336">
        <f t="shared" ref="H157:Y157" si="61">SUM(H155:H156)</f>
        <v>159</v>
      </c>
      <c r="I157" s="336">
        <f t="shared" si="61"/>
        <v>159</v>
      </c>
      <c r="J157" s="336">
        <f t="shared" si="61"/>
        <v>0</v>
      </c>
      <c r="K157" s="336">
        <f t="shared" si="61"/>
        <v>0</v>
      </c>
      <c r="L157" s="336">
        <f t="shared" si="61"/>
        <v>0</v>
      </c>
      <c r="M157" s="336">
        <f t="shared" si="61"/>
        <v>0</v>
      </c>
      <c r="N157" s="336">
        <f t="shared" si="61"/>
        <v>0</v>
      </c>
      <c r="O157" s="336">
        <f t="shared" si="61"/>
        <v>0</v>
      </c>
      <c r="P157" s="336">
        <f t="shared" si="61"/>
        <v>0</v>
      </c>
      <c r="Q157" s="336">
        <f t="shared" si="61"/>
        <v>0</v>
      </c>
      <c r="R157" s="336">
        <f t="shared" si="61"/>
        <v>0</v>
      </c>
      <c r="S157" s="336">
        <f t="shared" si="61"/>
        <v>159</v>
      </c>
      <c r="T157" s="336">
        <f t="shared" si="61"/>
        <v>159</v>
      </c>
      <c r="U157" s="336">
        <f t="shared" si="61"/>
        <v>0</v>
      </c>
      <c r="V157" s="336">
        <f t="shared" si="61"/>
        <v>0</v>
      </c>
      <c r="W157" s="336">
        <f t="shared" si="61"/>
        <v>0</v>
      </c>
      <c r="X157" s="336">
        <f t="shared" si="61"/>
        <v>0</v>
      </c>
      <c r="Y157" s="336">
        <f t="shared" si="61"/>
        <v>0</v>
      </c>
      <c r="Z157" s="469"/>
    </row>
    <row r="158" spans="1:26" ht="11.25" customHeight="1" x14ac:dyDescent="0.2">
      <c r="A158" s="328" t="s">
        <v>378</v>
      </c>
      <c r="B158" s="463" t="s">
        <v>424</v>
      </c>
      <c r="C158" s="734" t="s">
        <v>1135</v>
      </c>
      <c r="D158" s="734" t="s">
        <v>1727</v>
      </c>
      <c r="E158" s="329"/>
      <c r="F158" s="330"/>
      <c r="G158" s="329"/>
      <c r="H158" s="338">
        <v>101</v>
      </c>
      <c r="I158" s="338">
        <v>101</v>
      </c>
      <c r="J158" s="338"/>
      <c r="K158" s="338"/>
      <c r="L158" s="338">
        <v>2</v>
      </c>
      <c r="M158" s="329">
        <v>20</v>
      </c>
      <c r="N158" s="329">
        <v>20</v>
      </c>
      <c r="O158" s="329"/>
      <c r="P158" s="329"/>
      <c r="Q158" s="338"/>
      <c r="R158" s="338" t="s">
        <v>778</v>
      </c>
      <c r="S158" s="643">
        <f t="shared" ref="S158:T160" si="62">H158-M158</f>
        <v>81</v>
      </c>
      <c r="T158" s="643">
        <f t="shared" si="62"/>
        <v>81</v>
      </c>
      <c r="U158" s="338"/>
      <c r="V158" s="338"/>
      <c r="W158" s="338"/>
      <c r="X158" s="338"/>
      <c r="Y158" s="338"/>
      <c r="Z158" s="329"/>
    </row>
    <row r="159" spans="1:26" ht="11.25" customHeight="1" x14ac:dyDescent="0.2">
      <c r="A159" s="328" t="s">
        <v>378</v>
      </c>
      <c r="B159" s="329" t="s">
        <v>1305</v>
      </c>
      <c r="C159" s="735" t="s">
        <v>1135</v>
      </c>
      <c r="D159" s="736" t="s">
        <v>1393</v>
      </c>
      <c r="E159" s="329"/>
      <c r="F159" s="330"/>
      <c r="G159" s="736"/>
      <c r="H159" s="732">
        <v>34</v>
      </c>
      <c r="I159" s="338">
        <v>34</v>
      </c>
      <c r="J159" s="338"/>
      <c r="K159" s="338"/>
      <c r="L159" s="338"/>
      <c r="M159" s="338">
        <v>33</v>
      </c>
      <c r="N159" s="338">
        <v>33</v>
      </c>
      <c r="O159" s="338"/>
      <c r="P159" s="338"/>
      <c r="Q159" s="338"/>
      <c r="R159" s="338" t="s">
        <v>1943</v>
      </c>
      <c r="S159" s="643">
        <f t="shared" si="62"/>
        <v>1</v>
      </c>
      <c r="T159" s="643">
        <f t="shared" si="62"/>
        <v>1</v>
      </c>
      <c r="U159" s="338"/>
      <c r="V159" s="338"/>
      <c r="W159" s="338"/>
      <c r="X159" s="338"/>
      <c r="Y159" s="338"/>
      <c r="Z159" s="329"/>
    </row>
    <row r="160" spans="1:26" ht="11.25" customHeight="1" x14ac:dyDescent="0.2">
      <c r="A160" s="737" t="s">
        <v>378</v>
      </c>
      <c r="B160" s="738" t="s">
        <v>1305</v>
      </c>
      <c r="C160" s="739" t="s">
        <v>1135</v>
      </c>
      <c r="D160" s="329" t="s">
        <v>1773</v>
      </c>
      <c r="E160" s="329"/>
      <c r="F160" s="330"/>
      <c r="G160" s="329"/>
      <c r="H160" s="338">
        <v>100</v>
      </c>
      <c r="I160" s="338">
        <v>100</v>
      </c>
      <c r="J160" s="338"/>
      <c r="K160" s="338"/>
      <c r="L160" s="338"/>
      <c r="M160" s="338">
        <v>60</v>
      </c>
      <c r="N160" s="338">
        <v>60</v>
      </c>
      <c r="O160" s="338"/>
      <c r="P160" s="338"/>
      <c r="Q160" s="338"/>
      <c r="R160" s="338" t="s">
        <v>1943</v>
      </c>
      <c r="S160" s="733">
        <f t="shared" si="62"/>
        <v>40</v>
      </c>
      <c r="T160" s="733">
        <f t="shared" si="62"/>
        <v>40</v>
      </c>
      <c r="U160" s="338"/>
      <c r="V160" s="338"/>
      <c r="W160" s="338"/>
      <c r="X160" s="338"/>
      <c r="Y160" s="338"/>
    </row>
    <row r="161" spans="1:26" s="325" customFormat="1" ht="11.25" customHeight="1" x14ac:dyDescent="0.2">
      <c r="A161" s="331" t="s">
        <v>3</v>
      </c>
      <c r="B161" s="332"/>
      <c r="C161" s="332"/>
      <c r="D161" s="333"/>
      <c r="E161" s="334"/>
      <c r="F161" s="335"/>
      <c r="G161" s="472"/>
      <c r="H161" s="472">
        <f t="shared" ref="H161:Y161" si="63">SUM(H158:H160)</f>
        <v>235</v>
      </c>
      <c r="I161" s="336">
        <f t="shared" si="63"/>
        <v>235</v>
      </c>
      <c r="J161" s="336">
        <f t="shared" si="63"/>
        <v>0</v>
      </c>
      <c r="K161" s="336">
        <f t="shared" si="63"/>
        <v>0</v>
      </c>
      <c r="L161" s="336">
        <f t="shared" si="63"/>
        <v>2</v>
      </c>
      <c r="M161" s="336">
        <f t="shared" si="63"/>
        <v>113</v>
      </c>
      <c r="N161" s="336">
        <f t="shared" si="63"/>
        <v>113</v>
      </c>
      <c r="O161" s="336">
        <f t="shared" si="63"/>
        <v>0</v>
      </c>
      <c r="P161" s="336">
        <f t="shared" si="63"/>
        <v>0</v>
      </c>
      <c r="Q161" s="336">
        <f t="shared" si="63"/>
        <v>0</v>
      </c>
      <c r="R161" s="336">
        <f t="shared" si="63"/>
        <v>0</v>
      </c>
      <c r="S161" s="336">
        <f t="shared" si="63"/>
        <v>122</v>
      </c>
      <c r="T161" s="336">
        <f t="shared" si="63"/>
        <v>122</v>
      </c>
      <c r="U161" s="336">
        <f t="shared" si="63"/>
        <v>0</v>
      </c>
      <c r="V161" s="336">
        <f t="shared" si="63"/>
        <v>0</v>
      </c>
      <c r="W161" s="336">
        <f t="shared" si="63"/>
        <v>0</v>
      </c>
      <c r="X161" s="336">
        <f t="shared" si="63"/>
        <v>0</v>
      </c>
      <c r="Y161" s="336">
        <f t="shared" si="63"/>
        <v>0</v>
      </c>
      <c r="Z161" s="469"/>
    </row>
    <row r="162" spans="1:26" s="325" customFormat="1" ht="11.25" customHeight="1" x14ac:dyDescent="0.2">
      <c r="A162" s="328" t="s">
        <v>378</v>
      </c>
      <c r="B162" s="329" t="s">
        <v>1305</v>
      </c>
      <c r="C162" s="329" t="s">
        <v>309</v>
      </c>
      <c r="D162" s="329" t="s">
        <v>1356</v>
      </c>
      <c r="E162" s="329" t="s">
        <v>332</v>
      </c>
      <c r="F162" s="330" t="s">
        <v>466</v>
      </c>
      <c r="G162" s="463" t="s">
        <v>1304</v>
      </c>
      <c r="H162" s="644"/>
      <c r="I162" s="640"/>
      <c r="J162" s="640"/>
      <c r="K162" s="640"/>
      <c r="L162" s="641"/>
      <c r="M162" s="639"/>
      <c r="N162" s="338"/>
      <c r="O162" s="338"/>
      <c r="P162" s="338"/>
      <c r="Q162" s="338"/>
      <c r="R162" s="642"/>
      <c r="S162" s="643">
        <f t="shared" ref="S162:S180" si="64">H162-M162</f>
        <v>0</v>
      </c>
      <c r="T162" s="643">
        <f t="shared" ref="T162:T180" si="65">I162-N162</f>
        <v>0</v>
      </c>
      <c r="U162" s="643">
        <f t="shared" ref="U162:U180" si="66">J162-O162</f>
        <v>0</v>
      </c>
      <c r="V162" s="643">
        <f t="shared" ref="V162:V180" si="67">K162-P162</f>
        <v>0</v>
      </c>
      <c r="W162" s="684">
        <f t="shared" ref="W162:W180" si="68">L162-Q162</f>
        <v>0</v>
      </c>
      <c r="X162" s="346"/>
      <c r="Y162" s="346"/>
      <c r="Z162" s="469"/>
    </row>
    <row r="163" spans="1:26" s="325" customFormat="1" ht="11.25" customHeight="1" x14ac:dyDescent="0.2">
      <c r="A163" s="328" t="s">
        <v>378</v>
      </c>
      <c r="B163" s="329" t="s">
        <v>462</v>
      </c>
      <c r="C163" s="329" t="s">
        <v>309</v>
      </c>
      <c r="D163" s="329" t="s">
        <v>1357</v>
      </c>
      <c r="E163" s="329" t="s">
        <v>311</v>
      </c>
      <c r="F163" s="330" t="s">
        <v>464</v>
      </c>
      <c r="G163" s="465"/>
      <c r="H163" s="644">
        <v>0</v>
      </c>
      <c r="I163" s="640">
        <v>0</v>
      </c>
      <c r="J163" s="640">
        <v>30</v>
      </c>
      <c r="K163" s="640">
        <v>28</v>
      </c>
      <c r="L163" s="641">
        <v>0</v>
      </c>
      <c r="M163" s="639">
        <v>0</v>
      </c>
      <c r="N163" s="338">
        <v>0</v>
      </c>
      <c r="O163" s="338"/>
      <c r="P163" s="338">
        <v>28</v>
      </c>
      <c r="Q163" s="338">
        <v>0</v>
      </c>
      <c r="R163" s="642" t="s">
        <v>1598</v>
      </c>
      <c r="S163" s="643">
        <f t="shared" si="64"/>
        <v>0</v>
      </c>
      <c r="T163" s="643">
        <f t="shared" si="65"/>
        <v>0</v>
      </c>
      <c r="U163" s="643">
        <f t="shared" si="66"/>
        <v>30</v>
      </c>
      <c r="V163" s="643">
        <f t="shared" si="67"/>
        <v>0</v>
      </c>
      <c r="W163" s="684">
        <f t="shared" si="68"/>
        <v>0</v>
      </c>
      <c r="X163" s="346"/>
      <c r="Y163" s="346"/>
      <c r="Z163" s="469"/>
    </row>
    <row r="164" spans="1:26" s="325" customFormat="1" ht="11.25" customHeight="1" x14ac:dyDescent="0.2">
      <c r="A164" s="328" t="s">
        <v>378</v>
      </c>
      <c r="B164" s="329" t="s">
        <v>424</v>
      </c>
      <c r="C164" s="329" t="s">
        <v>309</v>
      </c>
      <c r="D164" s="329" t="s">
        <v>335</v>
      </c>
      <c r="E164" s="329" t="s">
        <v>334</v>
      </c>
      <c r="F164" s="330" t="s">
        <v>466</v>
      </c>
      <c r="G164" s="463" t="s">
        <v>1304</v>
      </c>
      <c r="H164" s="644">
        <v>10</v>
      </c>
      <c r="I164" s="640">
        <v>10</v>
      </c>
      <c r="J164" s="640">
        <v>10</v>
      </c>
      <c r="K164" s="640"/>
      <c r="L164" s="641"/>
      <c r="M164" s="328"/>
      <c r="N164" s="329"/>
      <c r="O164" s="329"/>
      <c r="P164" s="329"/>
      <c r="Q164" s="338"/>
      <c r="R164" s="642"/>
      <c r="S164" s="643">
        <f t="shared" si="64"/>
        <v>10</v>
      </c>
      <c r="T164" s="643">
        <f t="shared" si="65"/>
        <v>10</v>
      </c>
      <c r="U164" s="643">
        <f t="shared" si="66"/>
        <v>10</v>
      </c>
      <c r="V164" s="643">
        <f t="shared" si="67"/>
        <v>0</v>
      </c>
      <c r="W164" s="684">
        <f t="shared" si="68"/>
        <v>0</v>
      </c>
      <c r="X164" s="346"/>
      <c r="Y164" s="346"/>
      <c r="Z164" s="469" t="s">
        <v>1330</v>
      </c>
    </row>
    <row r="165" spans="1:26" s="325" customFormat="1" ht="11.25" customHeight="1" x14ac:dyDescent="0.2">
      <c r="A165" s="328" t="s">
        <v>378</v>
      </c>
      <c r="B165" s="329" t="s">
        <v>424</v>
      </c>
      <c r="C165" s="329" t="s">
        <v>309</v>
      </c>
      <c r="D165" s="329" t="s">
        <v>319</v>
      </c>
      <c r="E165" s="329" t="s">
        <v>318</v>
      </c>
      <c r="F165" s="330" t="s">
        <v>464</v>
      </c>
      <c r="G165" s="467"/>
      <c r="H165" s="644"/>
      <c r="I165" s="640"/>
      <c r="J165" s="640">
        <v>6</v>
      </c>
      <c r="K165" s="640">
        <v>20</v>
      </c>
      <c r="L165" s="641"/>
      <c r="M165" s="328"/>
      <c r="N165" s="329"/>
      <c r="O165" s="329"/>
      <c r="P165" s="329">
        <v>20</v>
      </c>
      <c r="Q165" s="338"/>
      <c r="R165" s="642" t="s">
        <v>1599</v>
      </c>
      <c r="S165" s="643">
        <f t="shared" si="64"/>
        <v>0</v>
      </c>
      <c r="T165" s="643">
        <f t="shared" si="65"/>
        <v>0</v>
      </c>
      <c r="U165" s="643">
        <f t="shared" si="66"/>
        <v>6</v>
      </c>
      <c r="V165" s="643">
        <f t="shared" si="67"/>
        <v>0</v>
      </c>
      <c r="W165" s="684">
        <f t="shared" si="68"/>
        <v>0</v>
      </c>
      <c r="X165" s="346"/>
      <c r="Y165" s="346"/>
      <c r="Z165" s="469"/>
    </row>
    <row r="166" spans="1:26" s="325" customFormat="1" ht="11.25" customHeight="1" x14ac:dyDescent="0.2">
      <c r="A166" s="328" t="s">
        <v>378</v>
      </c>
      <c r="B166" s="329" t="s">
        <v>1305</v>
      </c>
      <c r="C166" s="329" t="s">
        <v>309</v>
      </c>
      <c r="D166" s="329" t="s">
        <v>1358</v>
      </c>
      <c r="E166" s="329" t="s">
        <v>320</v>
      </c>
      <c r="F166" s="330" t="s">
        <v>466</v>
      </c>
      <c r="G166" s="463" t="s">
        <v>1304</v>
      </c>
      <c r="H166" s="644">
        <v>279</v>
      </c>
      <c r="I166" s="640">
        <v>279</v>
      </c>
      <c r="J166" s="640"/>
      <c r="K166" s="640"/>
      <c r="L166" s="641"/>
      <c r="M166" s="639">
        <v>0</v>
      </c>
      <c r="N166" s="338">
        <v>0</v>
      </c>
      <c r="O166" s="338"/>
      <c r="P166" s="338"/>
      <c r="Q166" s="338"/>
      <c r="R166" s="642"/>
      <c r="S166" s="643">
        <f t="shared" si="64"/>
        <v>279</v>
      </c>
      <c r="T166" s="643">
        <f t="shared" si="65"/>
        <v>279</v>
      </c>
      <c r="U166" s="643">
        <f t="shared" si="66"/>
        <v>0</v>
      </c>
      <c r="V166" s="643">
        <f t="shared" si="67"/>
        <v>0</v>
      </c>
      <c r="W166" s="684">
        <f t="shared" si="68"/>
        <v>0</v>
      </c>
      <c r="X166" s="346"/>
      <c r="Y166" s="346"/>
      <c r="Z166" s="469"/>
    </row>
    <row r="167" spans="1:26" s="325" customFormat="1" ht="11.25" customHeight="1" x14ac:dyDescent="0.2">
      <c r="A167" s="328" t="s">
        <v>378</v>
      </c>
      <c r="B167" s="329" t="s">
        <v>462</v>
      </c>
      <c r="C167" s="329" t="s">
        <v>309</v>
      </c>
      <c r="D167" s="329" t="s">
        <v>327</v>
      </c>
      <c r="E167" s="329" t="s">
        <v>326</v>
      </c>
      <c r="F167" s="330" t="s">
        <v>464</v>
      </c>
      <c r="G167" s="467"/>
      <c r="H167" s="644">
        <v>0</v>
      </c>
      <c r="I167" s="640">
        <v>0</v>
      </c>
      <c r="J167" s="640">
        <v>0</v>
      </c>
      <c r="K167" s="640">
        <v>40</v>
      </c>
      <c r="L167" s="641">
        <v>0</v>
      </c>
      <c r="M167" s="639"/>
      <c r="N167" s="338"/>
      <c r="O167" s="338">
        <v>0</v>
      </c>
      <c r="P167" s="338">
        <v>25</v>
      </c>
      <c r="Q167" s="338">
        <v>0</v>
      </c>
      <c r="R167" s="642" t="s">
        <v>1598</v>
      </c>
      <c r="S167" s="643">
        <f t="shared" si="64"/>
        <v>0</v>
      </c>
      <c r="T167" s="643">
        <f t="shared" si="65"/>
        <v>0</v>
      </c>
      <c r="U167" s="643">
        <f t="shared" si="66"/>
        <v>0</v>
      </c>
      <c r="V167" s="643">
        <f t="shared" si="67"/>
        <v>15</v>
      </c>
      <c r="W167" s="684">
        <f t="shared" si="68"/>
        <v>0</v>
      </c>
      <c r="X167" s="346"/>
      <c r="Y167" s="346"/>
      <c r="Z167" s="469"/>
    </row>
    <row r="168" spans="1:26" s="325" customFormat="1" ht="11.25" customHeight="1" x14ac:dyDescent="0.2">
      <c r="A168" s="328" t="s">
        <v>378</v>
      </c>
      <c r="B168" s="329" t="s">
        <v>1305</v>
      </c>
      <c r="C168" s="329" t="s">
        <v>309</v>
      </c>
      <c r="D168" s="329" t="s">
        <v>1359</v>
      </c>
      <c r="E168" s="329" t="s">
        <v>328</v>
      </c>
      <c r="F168" s="330" t="s">
        <v>464</v>
      </c>
      <c r="G168" s="463" t="s">
        <v>1304</v>
      </c>
      <c r="H168" s="644">
        <v>59</v>
      </c>
      <c r="I168" s="640">
        <v>59</v>
      </c>
      <c r="J168" s="640"/>
      <c r="K168" s="640"/>
      <c r="L168" s="641">
        <v>1</v>
      </c>
      <c r="M168" s="639">
        <v>50</v>
      </c>
      <c r="N168" s="338">
        <v>50</v>
      </c>
      <c r="O168" s="338"/>
      <c r="P168" s="338"/>
      <c r="Q168" s="338"/>
      <c r="R168" s="642" t="s">
        <v>1764</v>
      </c>
      <c r="S168" s="643">
        <f t="shared" si="64"/>
        <v>9</v>
      </c>
      <c r="T168" s="643">
        <f t="shared" si="65"/>
        <v>9</v>
      </c>
      <c r="U168" s="643">
        <f t="shared" si="66"/>
        <v>0</v>
      </c>
      <c r="V168" s="643">
        <f t="shared" si="67"/>
        <v>0</v>
      </c>
      <c r="W168" s="684">
        <f t="shared" si="68"/>
        <v>1</v>
      </c>
      <c r="X168" s="346"/>
      <c r="Y168" s="346"/>
      <c r="Z168" s="469" t="s">
        <v>1725</v>
      </c>
    </row>
    <row r="169" spans="1:26" s="325" customFormat="1" ht="11.25" customHeight="1" x14ac:dyDescent="0.2">
      <c r="A169" s="328" t="s">
        <v>378</v>
      </c>
      <c r="B169" s="329" t="s">
        <v>424</v>
      </c>
      <c r="C169" s="329" t="s">
        <v>309</v>
      </c>
      <c r="D169" s="329" t="s">
        <v>323</v>
      </c>
      <c r="E169" s="329" t="s">
        <v>322</v>
      </c>
      <c r="F169" s="330" t="s">
        <v>464</v>
      </c>
      <c r="G169" s="467" t="s">
        <v>1304</v>
      </c>
      <c r="H169" s="644">
        <v>50</v>
      </c>
      <c r="I169" s="640">
        <v>50</v>
      </c>
      <c r="J169" s="640">
        <v>20</v>
      </c>
      <c r="K169" s="640">
        <v>30</v>
      </c>
      <c r="L169" s="641"/>
      <c r="M169" s="328">
        <v>30</v>
      </c>
      <c r="N169" s="329">
        <v>90</v>
      </c>
      <c r="O169" s="329"/>
      <c r="P169" s="329"/>
      <c r="Q169" s="338"/>
      <c r="R169" s="642" t="s">
        <v>1719</v>
      </c>
      <c r="S169" s="643">
        <f t="shared" si="64"/>
        <v>20</v>
      </c>
      <c r="T169" s="643">
        <f t="shared" si="65"/>
        <v>-40</v>
      </c>
      <c r="U169" s="643">
        <f t="shared" si="66"/>
        <v>20</v>
      </c>
      <c r="V169" s="643">
        <f t="shared" si="67"/>
        <v>30</v>
      </c>
      <c r="W169" s="684">
        <f t="shared" si="68"/>
        <v>0</v>
      </c>
      <c r="X169" s="346"/>
      <c r="Y169" s="346"/>
      <c r="Z169" s="469"/>
    </row>
    <row r="170" spans="1:26" s="325" customFormat="1" ht="11.25" customHeight="1" x14ac:dyDescent="0.2">
      <c r="A170" s="328" t="s">
        <v>378</v>
      </c>
      <c r="B170" s="329" t="s">
        <v>424</v>
      </c>
      <c r="C170" s="329" t="s">
        <v>309</v>
      </c>
      <c r="D170" s="329" t="s">
        <v>325</v>
      </c>
      <c r="E170" s="329" t="s">
        <v>324</v>
      </c>
      <c r="F170" s="330" t="s">
        <v>464</v>
      </c>
      <c r="G170" s="463" t="s">
        <v>1304</v>
      </c>
      <c r="H170" s="644"/>
      <c r="I170" s="640"/>
      <c r="J170" s="640"/>
      <c r="K170" s="640">
        <v>20</v>
      </c>
      <c r="L170" s="641"/>
      <c r="M170" s="328"/>
      <c r="N170" s="329"/>
      <c r="O170" s="329"/>
      <c r="P170" s="329"/>
      <c r="Q170" s="338"/>
      <c r="R170" s="642"/>
      <c r="S170" s="643">
        <f t="shared" si="64"/>
        <v>0</v>
      </c>
      <c r="T170" s="643">
        <f t="shared" si="65"/>
        <v>0</v>
      </c>
      <c r="U170" s="643">
        <f t="shared" si="66"/>
        <v>0</v>
      </c>
      <c r="V170" s="643">
        <f t="shared" si="67"/>
        <v>20</v>
      </c>
      <c r="W170" s="684">
        <f t="shared" si="68"/>
        <v>0</v>
      </c>
      <c r="X170" s="346"/>
      <c r="Y170" s="346"/>
      <c r="Z170" s="469" t="s">
        <v>1330</v>
      </c>
    </row>
    <row r="171" spans="1:26" s="325" customFormat="1" ht="11.25" customHeight="1" x14ac:dyDescent="0.2">
      <c r="A171" s="328" t="s">
        <v>378</v>
      </c>
      <c r="B171" s="329" t="s">
        <v>462</v>
      </c>
      <c r="C171" s="329" t="s">
        <v>309</v>
      </c>
      <c r="D171" s="329" t="s">
        <v>342</v>
      </c>
      <c r="E171" s="329" t="s">
        <v>341</v>
      </c>
      <c r="F171" s="330" t="s">
        <v>464</v>
      </c>
      <c r="G171" s="467"/>
      <c r="H171" s="644">
        <v>5</v>
      </c>
      <c r="I171" s="640">
        <v>5</v>
      </c>
      <c r="J171" s="640">
        <v>1</v>
      </c>
      <c r="K171" s="743">
        <v>5</v>
      </c>
      <c r="L171" s="641">
        <v>0</v>
      </c>
      <c r="M171" s="639">
        <v>0</v>
      </c>
      <c r="N171" s="338">
        <v>0</v>
      </c>
      <c r="O171" s="338">
        <v>0</v>
      </c>
      <c r="P171" s="329">
        <v>6</v>
      </c>
      <c r="Q171" s="338">
        <v>0</v>
      </c>
      <c r="R171" s="642" t="s">
        <v>1598</v>
      </c>
      <c r="S171" s="643">
        <f t="shared" si="64"/>
        <v>5</v>
      </c>
      <c r="T171" s="643">
        <f t="shared" si="65"/>
        <v>5</v>
      </c>
      <c r="U171" s="643">
        <f t="shared" si="66"/>
        <v>1</v>
      </c>
      <c r="V171" s="643">
        <f t="shared" si="67"/>
        <v>-1</v>
      </c>
      <c r="W171" s="684">
        <f t="shared" si="68"/>
        <v>0</v>
      </c>
      <c r="X171" s="346"/>
      <c r="Y171" s="346"/>
      <c r="Z171" s="469"/>
    </row>
    <row r="172" spans="1:26" s="325" customFormat="1" ht="11.25" customHeight="1" x14ac:dyDescent="0.2">
      <c r="A172" s="328" t="s">
        <v>378</v>
      </c>
      <c r="B172" s="329" t="s">
        <v>424</v>
      </c>
      <c r="C172" s="329" t="s">
        <v>309</v>
      </c>
      <c r="D172" s="329" t="s">
        <v>1029</v>
      </c>
      <c r="E172" s="329" t="s">
        <v>343</v>
      </c>
      <c r="F172" s="330" t="s">
        <v>466</v>
      </c>
      <c r="G172" s="463" t="s">
        <v>1457</v>
      </c>
      <c r="H172" s="644">
        <v>46</v>
      </c>
      <c r="I172" s="640">
        <v>46</v>
      </c>
      <c r="J172" s="640"/>
      <c r="K172" s="640">
        <v>10</v>
      </c>
      <c r="L172" s="641"/>
      <c r="M172" s="328"/>
      <c r="N172" s="329"/>
      <c r="O172" s="329"/>
      <c r="P172" s="329"/>
      <c r="Q172" s="338"/>
      <c r="R172" s="642"/>
      <c r="S172" s="643">
        <f t="shared" si="64"/>
        <v>46</v>
      </c>
      <c r="T172" s="643">
        <f t="shared" si="65"/>
        <v>46</v>
      </c>
      <c r="U172" s="643">
        <f t="shared" si="66"/>
        <v>0</v>
      </c>
      <c r="V172" s="643">
        <f t="shared" si="67"/>
        <v>10</v>
      </c>
      <c r="W172" s="684">
        <f t="shared" si="68"/>
        <v>0</v>
      </c>
      <c r="X172" s="346"/>
      <c r="Y172" s="346"/>
      <c r="Z172" s="469" t="s">
        <v>1330</v>
      </c>
    </row>
    <row r="173" spans="1:26" s="325" customFormat="1" ht="11.25" customHeight="1" x14ac:dyDescent="0.2">
      <c r="A173" s="328" t="s">
        <v>378</v>
      </c>
      <c r="B173" s="329" t="s">
        <v>1305</v>
      </c>
      <c r="C173" s="329" t="s">
        <v>309</v>
      </c>
      <c r="D173" s="329" t="s">
        <v>1360</v>
      </c>
      <c r="E173" s="329" t="s">
        <v>352</v>
      </c>
      <c r="F173" s="343" t="s">
        <v>466</v>
      </c>
      <c r="G173" s="465"/>
      <c r="H173" s="644"/>
      <c r="I173" s="640"/>
      <c r="J173" s="640"/>
      <c r="K173" s="640"/>
      <c r="L173" s="641"/>
      <c r="M173" s="639"/>
      <c r="N173" s="338"/>
      <c r="O173" s="338"/>
      <c r="P173" s="338"/>
      <c r="Q173" s="338"/>
      <c r="R173" s="642"/>
      <c r="S173" s="643">
        <f t="shared" si="64"/>
        <v>0</v>
      </c>
      <c r="T173" s="643">
        <f t="shared" si="65"/>
        <v>0</v>
      </c>
      <c r="U173" s="643">
        <f t="shared" si="66"/>
        <v>0</v>
      </c>
      <c r="V173" s="643">
        <f t="shared" si="67"/>
        <v>0</v>
      </c>
      <c r="W173" s="684">
        <f t="shared" si="68"/>
        <v>0</v>
      </c>
      <c r="X173" s="346"/>
      <c r="Y173" s="346"/>
      <c r="Z173" s="469"/>
    </row>
    <row r="174" spans="1:26" s="325" customFormat="1" ht="11.25" customHeight="1" x14ac:dyDescent="0.2">
      <c r="A174" s="328" t="s">
        <v>378</v>
      </c>
      <c r="B174" s="329" t="s">
        <v>462</v>
      </c>
      <c r="C174" s="329" t="s">
        <v>309</v>
      </c>
      <c r="D174" s="329" t="s">
        <v>1361</v>
      </c>
      <c r="E174" s="329" t="s">
        <v>316</v>
      </c>
      <c r="F174" s="330" t="s">
        <v>464</v>
      </c>
      <c r="G174" s="463" t="s">
        <v>1304</v>
      </c>
      <c r="H174" s="644">
        <v>10</v>
      </c>
      <c r="I174" s="640">
        <v>10</v>
      </c>
      <c r="J174" s="640">
        <v>10</v>
      </c>
      <c r="K174" s="640">
        <v>45</v>
      </c>
      <c r="L174" s="641">
        <v>1</v>
      </c>
      <c r="M174" s="328"/>
      <c r="N174" s="329"/>
      <c r="O174" s="744">
        <v>0</v>
      </c>
      <c r="P174" s="338">
        <v>26</v>
      </c>
      <c r="Q174" s="338">
        <v>1</v>
      </c>
      <c r="R174" s="642" t="s">
        <v>1766</v>
      </c>
      <c r="S174" s="643">
        <f t="shared" si="64"/>
        <v>10</v>
      </c>
      <c r="T174" s="643">
        <f t="shared" si="65"/>
        <v>10</v>
      </c>
      <c r="U174" s="643">
        <f t="shared" si="66"/>
        <v>10</v>
      </c>
      <c r="V174" s="643">
        <f t="shared" si="67"/>
        <v>19</v>
      </c>
      <c r="W174" s="684">
        <f t="shared" si="68"/>
        <v>0</v>
      </c>
      <c r="X174" s="346"/>
      <c r="Y174" s="346"/>
      <c r="Z174" s="469"/>
    </row>
    <row r="175" spans="1:26" s="325" customFormat="1" ht="11.25" customHeight="1" x14ac:dyDescent="0.2">
      <c r="A175" s="328" t="s">
        <v>378</v>
      </c>
      <c r="B175" s="329" t="s">
        <v>424</v>
      </c>
      <c r="C175" s="329" t="s">
        <v>309</v>
      </c>
      <c r="D175" s="329" t="s">
        <v>1362</v>
      </c>
      <c r="E175" s="329" t="s">
        <v>339</v>
      </c>
      <c r="F175" s="330" t="s">
        <v>464</v>
      </c>
      <c r="G175" s="465" t="s">
        <v>1457</v>
      </c>
      <c r="H175" s="644">
        <v>20</v>
      </c>
      <c r="I175" s="640">
        <v>20</v>
      </c>
      <c r="J175" s="640"/>
      <c r="K175" s="640">
        <v>20</v>
      </c>
      <c r="L175" s="641"/>
      <c r="M175" s="328">
        <v>10</v>
      </c>
      <c r="N175" s="329">
        <v>10</v>
      </c>
      <c r="O175" s="329"/>
      <c r="P175" s="329">
        <v>20</v>
      </c>
      <c r="Q175" s="338"/>
      <c r="R175" s="642" t="s">
        <v>1782</v>
      </c>
      <c r="S175" s="643">
        <f t="shared" si="64"/>
        <v>10</v>
      </c>
      <c r="T175" s="643">
        <f t="shared" si="65"/>
        <v>10</v>
      </c>
      <c r="U175" s="643">
        <f t="shared" si="66"/>
        <v>0</v>
      </c>
      <c r="V175" s="643">
        <f t="shared" si="67"/>
        <v>0</v>
      </c>
      <c r="W175" s="684">
        <f t="shared" si="68"/>
        <v>0</v>
      </c>
      <c r="X175" s="346"/>
      <c r="Y175" s="346"/>
      <c r="Z175" s="469"/>
    </row>
    <row r="176" spans="1:26" s="325" customFormat="1" ht="11.25" customHeight="1" x14ac:dyDescent="0.2">
      <c r="A176" s="328" t="s">
        <v>378</v>
      </c>
      <c r="B176" s="329" t="s">
        <v>462</v>
      </c>
      <c r="C176" s="329" t="s">
        <v>309</v>
      </c>
      <c r="D176" s="329" t="s">
        <v>1363</v>
      </c>
      <c r="E176" s="329" t="s">
        <v>336</v>
      </c>
      <c r="F176" s="330" t="s">
        <v>464</v>
      </c>
      <c r="G176" s="463"/>
      <c r="H176" s="644">
        <v>36</v>
      </c>
      <c r="I176" s="640">
        <v>36</v>
      </c>
      <c r="J176" s="640"/>
      <c r="K176" s="640">
        <v>10</v>
      </c>
      <c r="L176" s="641">
        <v>0</v>
      </c>
      <c r="M176" s="639">
        <v>0</v>
      </c>
      <c r="N176" s="338">
        <v>0</v>
      </c>
      <c r="O176" s="338"/>
      <c r="P176" s="744"/>
      <c r="Q176" s="338">
        <v>0</v>
      </c>
      <c r="R176" s="642"/>
      <c r="S176" s="643">
        <f t="shared" si="64"/>
        <v>36</v>
      </c>
      <c r="T176" s="643">
        <f t="shared" si="65"/>
        <v>36</v>
      </c>
      <c r="U176" s="643">
        <f t="shared" si="66"/>
        <v>0</v>
      </c>
      <c r="V176" s="643">
        <f t="shared" si="67"/>
        <v>10</v>
      </c>
      <c r="W176" s="684">
        <f t="shared" si="68"/>
        <v>0</v>
      </c>
      <c r="X176" s="346"/>
      <c r="Y176" s="346"/>
      <c r="Z176" s="469"/>
    </row>
    <row r="177" spans="1:26" s="325" customFormat="1" ht="11.25" customHeight="1" x14ac:dyDescent="0.2">
      <c r="A177" s="328" t="s">
        <v>378</v>
      </c>
      <c r="B177" s="329" t="s">
        <v>424</v>
      </c>
      <c r="C177" s="329" t="s">
        <v>309</v>
      </c>
      <c r="D177" s="329" t="s">
        <v>345</v>
      </c>
      <c r="E177" s="329" t="s">
        <v>344</v>
      </c>
      <c r="F177" s="330" t="s">
        <v>464</v>
      </c>
      <c r="G177" s="463" t="s">
        <v>1457</v>
      </c>
      <c r="H177" s="644">
        <v>20</v>
      </c>
      <c r="I177" s="640">
        <v>20</v>
      </c>
      <c r="J177" s="640"/>
      <c r="K177" s="640">
        <v>80</v>
      </c>
      <c r="L177" s="641">
        <v>0</v>
      </c>
      <c r="M177" s="328"/>
      <c r="N177" s="329"/>
      <c r="O177" s="329"/>
      <c r="P177" s="329"/>
      <c r="Q177" s="338"/>
      <c r="R177" s="642"/>
      <c r="S177" s="643">
        <f t="shared" si="64"/>
        <v>20</v>
      </c>
      <c r="T177" s="643">
        <f t="shared" si="65"/>
        <v>20</v>
      </c>
      <c r="U177" s="643">
        <f t="shared" si="66"/>
        <v>0</v>
      </c>
      <c r="V177" s="643">
        <f t="shared" si="67"/>
        <v>80</v>
      </c>
      <c r="W177" s="684">
        <f t="shared" si="68"/>
        <v>0</v>
      </c>
      <c r="X177" s="346"/>
      <c r="Y177" s="346"/>
      <c r="Z177" s="469" t="s">
        <v>1330</v>
      </c>
    </row>
    <row r="178" spans="1:26" s="325" customFormat="1" ht="11.25" customHeight="1" x14ac:dyDescent="0.2">
      <c r="A178" s="328" t="s">
        <v>378</v>
      </c>
      <c r="B178" s="329" t="s">
        <v>462</v>
      </c>
      <c r="C178" s="329" t="s">
        <v>309</v>
      </c>
      <c r="D178" s="329" t="s">
        <v>347</v>
      </c>
      <c r="E178" s="329" t="s">
        <v>346</v>
      </c>
      <c r="F178" s="330" t="s">
        <v>464</v>
      </c>
      <c r="G178" s="467"/>
      <c r="H178" s="644">
        <v>0</v>
      </c>
      <c r="I178" s="640">
        <v>10</v>
      </c>
      <c r="J178" s="640"/>
      <c r="K178" s="640">
        <v>15</v>
      </c>
      <c r="L178" s="641">
        <v>1</v>
      </c>
      <c r="M178" s="639">
        <v>0</v>
      </c>
      <c r="N178" s="338"/>
      <c r="O178" s="338"/>
      <c r="P178" s="338">
        <v>10</v>
      </c>
      <c r="Q178" s="338"/>
      <c r="R178" s="642" t="s">
        <v>1598</v>
      </c>
      <c r="S178" s="643">
        <f t="shared" si="64"/>
        <v>0</v>
      </c>
      <c r="T178" s="643">
        <f t="shared" si="65"/>
        <v>10</v>
      </c>
      <c r="U178" s="643">
        <f t="shared" si="66"/>
        <v>0</v>
      </c>
      <c r="V178" s="643">
        <f t="shared" si="67"/>
        <v>5</v>
      </c>
      <c r="W178" s="684">
        <f t="shared" si="68"/>
        <v>1</v>
      </c>
      <c r="X178" s="346"/>
      <c r="Y178" s="346"/>
      <c r="Z178" s="469"/>
    </row>
    <row r="179" spans="1:26" s="325" customFormat="1" ht="11.25" customHeight="1" x14ac:dyDescent="0.2">
      <c r="A179" s="328" t="s">
        <v>378</v>
      </c>
      <c r="B179" s="329" t="s">
        <v>462</v>
      </c>
      <c r="C179" s="329" t="s">
        <v>309</v>
      </c>
      <c r="D179" s="338" t="s">
        <v>1364</v>
      </c>
      <c r="E179" s="329" t="s">
        <v>314</v>
      </c>
      <c r="F179" s="330" t="s">
        <v>464</v>
      </c>
      <c r="G179" s="463"/>
      <c r="H179" s="644">
        <v>0</v>
      </c>
      <c r="I179" s="640">
        <v>0</v>
      </c>
      <c r="J179" s="640">
        <v>0</v>
      </c>
      <c r="K179" s="640">
        <v>20</v>
      </c>
      <c r="L179" s="641">
        <v>1</v>
      </c>
      <c r="M179" s="639">
        <v>0</v>
      </c>
      <c r="N179" s="338">
        <v>0</v>
      </c>
      <c r="O179" s="338">
        <v>0</v>
      </c>
      <c r="P179" s="338">
        <v>15</v>
      </c>
      <c r="Q179" s="338">
        <v>0</v>
      </c>
      <c r="R179" s="642" t="s">
        <v>1598</v>
      </c>
      <c r="S179" s="643">
        <f t="shared" si="64"/>
        <v>0</v>
      </c>
      <c r="T179" s="643">
        <f t="shared" si="65"/>
        <v>0</v>
      </c>
      <c r="U179" s="643">
        <f t="shared" si="66"/>
        <v>0</v>
      </c>
      <c r="V179" s="643">
        <f t="shared" si="67"/>
        <v>5</v>
      </c>
      <c r="W179" s="684">
        <f t="shared" si="68"/>
        <v>1</v>
      </c>
      <c r="X179" s="346"/>
      <c r="Y179" s="346"/>
      <c r="Z179" s="469"/>
    </row>
    <row r="180" spans="1:26" s="325" customFormat="1" ht="11.25" customHeight="1" x14ac:dyDescent="0.2">
      <c r="A180" s="328" t="s">
        <v>378</v>
      </c>
      <c r="B180" s="329" t="s">
        <v>424</v>
      </c>
      <c r="C180" s="329" t="s">
        <v>309</v>
      </c>
      <c r="D180" s="338" t="s">
        <v>1263</v>
      </c>
      <c r="E180" s="329" t="s">
        <v>1261</v>
      </c>
      <c r="F180" s="330" t="s">
        <v>466</v>
      </c>
      <c r="G180" s="463" t="s">
        <v>1304</v>
      </c>
      <c r="H180" s="644">
        <v>15</v>
      </c>
      <c r="I180" s="640">
        <v>15</v>
      </c>
      <c r="J180" s="640"/>
      <c r="K180" s="640"/>
      <c r="L180" s="641">
        <v>2</v>
      </c>
      <c r="M180" s="328">
        <v>0</v>
      </c>
      <c r="N180" s="329">
        <v>0</v>
      </c>
      <c r="O180" s="329">
        <v>0</v>
      </c>
      <c r="P180" s="329"/>
      <c r="Q180" s="338">
        <v>2</v>
      </c>
      <c r="R180" s="642" t="s">
        <v>1613</v>
      </c>
      <c r="S180" s="643">
        <f t="shared" si="64"/>
        <v>15</v>
      </c>
      <c r="T180" s="643">
        <f t="shared" si="65"/>
        <v>15</v>
      </c>
      <c r="U180" s="643">
        <f t="shared" si="66"/>
        <v>0</v>
      </c>
      <c r="V180" s="643">
        <f t="shared" si="67"/>
        <v>0</v>
      </c>
      <c r="W180" s="684">
        <f t="shared" si="68"/>
        <v>0</v>
      </c>
      <c r="X180" s="346"/>
      <c r="Y180" s="346"/>
      <c r="Z180" s="469" t="s">
        <v>1330</v>
      </c>
    </row>
    <row r="181" spans="1:26" s="325" customFormat="1" ht="11.25" customHeight="1" x14ac:dyDescent="0.2">
      <c r="A181" s="328" t="s">
        <v>378</v>
      </c>
      <c r="B181" s="329" t="s">
        <v>424</v>
      </c>
      <c r="C181" s="329" t="s">
        <v>309</v>
      </c>
      <c r="D181" s="338" t="s">
        <v>1745</v>
      </c>
      <c r="E181" s="329" t="s">
        <v>1694</v>
      </c>
      <c r="F181" s="330" t="s">
        <v>464</v>
      </c>
      <c r="G181" s="463"/>
      <c r="H181" s="644">
        <v>79</v>
      </c>
      <c r="I181" s="640">
        <v>79</v>
      </c>
      <c r="J181" s="640"/>
      <c r="K181" s="640"/>
      <c r="L181" s="641">
        <v>2</v>
      </c>
      <c r="M181" s="328">
        <v>35</v>
      </c>
      <c r="N181" s="329">
        <v>35</v>
      </c>
      <c r="O181" s="329"/>
      <c r="P181" s="329"/>
      <c r="Q181" s="338"/>
      <c r="R181" s="642" t="s">
        <v>1788</v>
      </c>
      <c r="S181" s="643">
        <f>H181-M181</f>
        <v>44</v>
      </c>
      <c r="T181" s="643">
        <f>I181-N181</f>
        <v>44</v>
      </c>
      <c r="U181" s="643"/>
      <c r="V181" s="643"/>
      <c r="W181" s="684"/>
      <c r="X181" s="346">
        <v>40</v>
      </c>
      <c r="Y181" s="346"/>
      <c r="Z181" s="469"/>
    </row>
    <row r="182" spans="1:26" s="325" customFormat="1" ht="11.25" customHeight="1" x14ac:dyDescent="0.2">
      <c r="A182" s="328" t="s">
        <v>378</v>
      </c>
      <c r="B182" s="329" t="s">
        <v>1305</v>
      </c>
      <c r="C182" s="329" t="s">
        <v>309</v>
      </c>
      <c r="D182" s="329" t="s">
        <v>1365</v>
      </c>
      <c r="E182" s="329" t="s">
        <v>350</v>
      </c>
      <c r="F182" s="343" t="s">
        <v>466</v>
      </c>
      <c r="G182" s="465"/>
      <c r="H182" s="644">
        <v>700</v>
      </c>
      <c r="I182" s="640">
        <v>733</v>
      </c>
      <c r="J182" s="640">
        <v>40</v>
      </c>
      <c r="K182" s="640"/>
      <c r="L182" s="641"/>
      <c r="M182" s="639">
        <v>48</v>
      </c>
      <c r="N182" s="338">
        <v>48</v>
      </c>
      <c r="O182" s="338">
        <v>40</v>
      </c>
      <c r="P182" s="338"/>
      <c r="Q182" s="338"/>
      <c r="R182" s="642" t="s">
        <v>1647</v>
      </c>
      <c r="S182" s="643">
        <f>H182-M182</f>
        <v>652</v>
      </c>
      <c r="T182" s="643">
        <f>I182-N182</f>
        <v>685</v>
      </c>
      <c r="U182" s="643">
        <f>J182-O182</f>
        <v>0</v>
      </c>
      <c r="V182" s="643">
        <f>K182-P182</f>
        <v>0</v>
      </c>
      <c r="W182" s="684">
        <f>L182-Q182</f>
        <v>0</v>
      </c>
      <c r="X182" s="346"/>
      <c r="Y182" s="346"/>
      <c r="Z182" s="469"/>
    </row>
    <row r="183" spans="1:26" s="325" customFormat="1" ht="11.25" customHeight="1" x14ac:dyDescent="0.2">
      <c r="A183" s="331" t="s">
        <v>3</v>
      </c>
      <c r="B183" s="332"/>
      <c r="C183" s="332"/>
      <c r="D183" s="333"/>
      <c r="E183" s="334"/>
      <c r="F183" s="335"/>
      <c r="G183" s="472"/>
      <c r="H183" s="336">
        <f t="shared" ref="H183:Y183" si="69">SUM(H162:H182)</f>
        <v>1329</v>
      </c>
      <c r="I183" s="336">
        <f t="shared" si="69"/>
        <v>1372</v>
      </c>
      <c r="J183" s="336">
        <f t="shared" si="69"/>
        <v>117</v>
      </c>
      <c r="K183" s="336">
        <f t="shared" si="69"/>
        <v>343</v>
      </c>
      <c r="L183" s="336">
        <f t="shared" si="69"/>
        <v>8</v>
      </c>
      <c r="M183" s="336">
        <f t="shared" si="69"/>
        <v>173</v>
      </c>
      <c r="N183" s="336">
        <f t="shared" si="69"/>
        <v>233</v>
      </c>
      <c r="O183" s="336">
        <f t="shared" si="69"/>
        <v>40</v>
      </c>
      <c r="P183" s="336">
        <f t="shared" si="69"/>
        <v>150</v>
      </c>
      <c r="Q183" s="336">
        <f t="shared" si="69"/>
        <v>3</v>
      </c>
      <c r="R183" s="336">
        <f t="shared" si="69"/>
        <v>0</v>
      </c>
      <c r="S183" s="336">
        <f t="shared" si="69"/>
        <v>1156</v>
      </c>
      <c r="T183" s="336">
        <f t="shared" si="69"/>
        <v>1139</v>
      </c>
      <c r="U183" s="336">
        <f t="shared" si="69"/>
        <v>77</v>
      </c>
      <c r="V183" s="336">
        <f t="shared" si="69"/>
        <v>193</v>
      </c>
      <c r="W183" s="336">
        <f t="shared" si="69"/>
        <v>3</v>
      </c>
      <c r="X183" s="336">
        <f t="shared" si="69"/>
        <v>40</v>
      </c>
      <c r="Y183" s="336">
        <f t="shared" si="69"/>
        <v>0</v>
      </c>
      <c r="Z183" s="469"/>
    </row>
    <row r="184" spans="1:26" s="325" customFormat="1" ht="11.25" customHeight="1" thickBot="1" x14ac:dyDescent="0.25">
      <c r="A184" s="348"/>
      <c r="B184" s="349"/>
      <c r="C184" s="349" t="s">
        <v>1366</v>
      </c>
      <c r="D184" s="349"/>
      <c r="E184" s="349"/>
      <c r="F184" s="350"/>
      <c r="G184" s="473"/>
      <c r="H184" s="649">
        <f t="shared" ref="H184:Y184" si="70">H183+H161+H157+H154+H151+H148+H143+H136+H108+H104+H91+H88+H79+H75+H65+H48+H46+H44+H20+H14</f>
        <v>6212</v>
      </c>
      <c r="I184" s="649">
        <f t="shared" si="70"/>
        <v>6284</v>
      </c>
      <c r="J184" s="649">
        <f t="shared" si="70"/>
        <v>1664</v>
      </c>
      <c r="K184" s="649">
        <f t="shared" si="70"/>
        <v>1730</v>
      </c>
      <c r="L184" s="649">
        <f t="shared" si="70"/>
        <v>32</v>
      </c>
      <c r="M184" s="649">
        <f t="shared" si="70"/>
        <v>2128</v>
      </c>
      <c r="N184" s="649">
        <f t="shared" ref="N184" si="71">N183+N161+N157+N154+N151+N148+N143+N136+N108+N104+N91+N88+N79+N75+N65+N48+N46+N44+N20+N14</f>
        <v>2171</v>
      </c>
      <c r="O184" s="649">
        <f t="shared" ref="O184" si="72">O183+O161+O157+O154+O151+O148+O143+O136+O108+O104+O91+O88+O79+O75+O65+O48+O46+O44+O20+O14</f>
        <v>1143</v>
      </c>
      <c r="P184" s="649">
        <f t="shared" ref="P184" si="73">P183+P161+P157+P154+P151+P148+P143+P136+P108+P104+P91+P88+P79+P75+P65+P48+P46+P44+P20+P14</f>
        <v>917</v>
      </c>
      <c r="Q184" s="649">
        <f t="shared" si="70"/>
        <v>6</v>
      </c>
      <c r="R184" s="649">
        <f t="shared" si="70"/>
        <v>0</v>
      </c>
      <c r="S184" s="649">
        <f t="shared" si="70"/>
        <v>4084</v>
      </c>
      <c r="T184" s="649">
        <f t="shared" si="70"/>
        <v>3987</v>
      </c>
      <c r="U184" s="649">
        <f t="shared" si="70"/>
        <v>521</v>
      </c>
      <c r="V184" s="649">
        <f t="shared" si="70"/>
        <v>813</v>
      </c>
      <c r="W184" s="649">
        <f t="shared" si="70"/>
        <v>20</v>
      </c>
      <c r="X184" s="649">
        <f t="shared" si="70"/>
        <v>658</v>
      </c>
      <c r="Y184" s="649">
        <f t="shared" si="70"/>
        <v>599</v>
      </c>
      <c r="Z184" s="351"/>
    </row>
  </sheetData>
  <autoFilter ref="A4:Z184"/>
  <mergeCells count="13">
    <mergeCell ref="X2:X4"/>
    <mergeCell ref="Y2:Y4"/>
    <mergeCell ref="S2:W2"/>
    <mergeCell ref="A1:W1"/>
    <mergeCell ref="A2:A4"/>
    <mergeCell ref="B2:B4"/>
    <mergeCell ref="C2:C4"/>
    <mergeCell ref="D2:D4"/>
    <mergeCell ref="E2:E4"/>
    <mergeCell ref="F2:F4"/>
    <mergeCell ref="G2:G4"/>
    <mergeCell ref="H2:L2"/>
    <mergeCell ref="M2:R2"/>
  </mergeCells>
  <conditionalFormatting sqref="H1:Y2 H3:W4 H5:Y13 H158:R160 U158:Y160 H184:Y1048576">
    <cfRule type="cellIs" dxfId="887" priority="6" operator="greaterThan">
      <formula>0</formula>
    </cfRule>
  </conditionalFormatting>
  <conditionalFormatting sqref="R15">
    <cfRule type="cellIs" dxfId="886" priority="2" operator="greaterThan">
      <formula>0</formula>
    </cfRule>
  </conditionalFormatting>
  <pageMargins left="0.7" right="0.7" top="0.75" bottom="0.75" header="0.3" footer="0.3"/>
  <pageSetup scale="2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306"/>
  <sheetViews>
    <sheetView workbookViewId="0">
      <selection activeCell="I9" sqref="I9"/>
    </sheetView>
  </sheetViews>
  <sheetFormatPr defaultRowHeight="15" x14ac:dyDescent="0.25"/>
  <cols>
    <col min="1" max="1" width="13.85546875" customWidth="1"/>
    <col min="2"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6.42578125" customWidth="1"/>
    <col min="13" max="13" width="16.140625" style="38" bestFit="1" customWidth="1"/>
    <col min="14" max="14" width="56.7109375" style="38" bestFit="1" customWidth="1"/>
    <col min="15" max="15" width="13.85546875" style="38" bestFit="1" customWidth="1"/>
    <col min="16" max="16" width="10.140625" style="38" bestFit="1" customWidth="1"/>
    <col min="17" max="17" width="12" bestFit="1" customWidth="1"/>
    <col min="21" max="21" width="15.7109375" customWidth="1"/>
    <col min="22" max="22" width="7.140625" customWidth="1"/>
  </cols>
  <sheetData>
    <row r="1" spans="1:22" x14ac:dyDescent="0.25">
      <c r="A1" s="139" t="s">
        <v>458</v>
      </c>
      <c r="B1" s="305" t="s">
        <v>537</v>
      </c>
      <c r="M1" s="139" t="s">
        <v>458</v>
      </c>
      <c r="N1" s="305" t="s">
        <v>537</v>
      </c>
    </row>
    <row r="2" spans="1:22" x14ac:dyDescent="0.25">
      <c r="G2" s="37"/>
      <c r="U2" s="139" t="s">
        <v>458</v>
      </c>
      <c r="V2" s="305" t="s">
        <v>537</v>
      </c>
    </row>
    <row r="3" spans="1:22" x14ac:dyDescent="0.25">
      <c r="A3" s="139" t="s">
        <v>0</v>
      </c>
      <c r="B3" s="139" t="s">
        <v>507</v>
      </c>
      <c r="G3" s="139" t="s">
        <v>507</v>
      </c>
      <c r="H3" s="139" t="s">
        <v>833</v>
      </c>
      <c r="I3" s="139" t="s">
        <v>458</v>
      </c>
      <c r="J3" s="139" t="s">
        <v>782</v>
      </c>
      <c r="K3" t="s">
        <v>794</v>
      </c>
      <c r="M3" s="139" t="s">
        <v>833</v>
      </c>
      <c r="N3" s="139" t="s">
        <v>507</v>
      </c>
      <c r="O3" s="139" t="s">
        <v>0</v>
      </c>
      <c r="P3" s="305" t="s">
        <v>794</v>
      </c>
      <c r="Q3" s="305" t="s">
        <v>764</v>
      </c>
    </row>
    <row r="4" spans="1:22" x14ac:dyDescent="0.25">
      <c r="A4" s="305" t="s">
        <v>5</v>
      </c>
      <c r="B4" s="305" t="s">
        <v>6</v>
      </c>
      <c r="G4" s="305" t="s">
        <v>128</v>
      </c>
      <c r="H4" s="305" t="s">
        <v>127</v>
      </c>
      <c r="I4" s="305" t="s">
        <v>775</v>
      </c>
      <c r="J4" s="305" t="s">
        <v>1219</v>
      </c>
      <c r="K4" s="133">
        <v>0</v>
      </c>
      <c r="M4" s="305" t="s">
        <v>236</v>
      </c>
      <c r="N4" s="305" t="s">
        <v>238</v>
      </c>
      <c r="O4" s="305" t="s">
        <v>237</v>
      </c>
      <c r="P4" s="133">
        <v>75</v>
      </c>
      <c r="Q4" s="133">
        <v>415</v>
      </c>
      <c r="U4" s="139" t="s">
        <v>833</v>
      </c>
    </row>
    <row r="5" spans="1:22" x14ac:dyDescent="0.25">
      <c r="A5" s="305" t="s">
        <v>5</v>
      </c>
      <c r="B5" s="305" t="s">
        <v>465</v>
      </c>
      <c r="G5" s="305" t="s">
        <v>62</v>
      </c>
      <c r="H5" s="305" t="s">
        <v>61</v>
      </c>
      <c r="I5" s="305" t="s">
        <v>775</v>
      </c>
      <c r="J5" s="73">
        <v>41275</v>
      </c>
      <c r="K5" s="133"/>
      <c r="M5" s="305" t="s">
        <v>267</v>
      </c>
      <c r="N5" s="305" t="s">
        <v>268</v>
      </c>
      <c r="O5" s="305" t="s">
        <v>237</v>
      </c>
      <c r="P5" s="133">
        <v>68</v>
      </c>
      <c r="Q5" s="133">
        <v>298</v>
      </c>
      <c r="U5" s="305" t="s">
        <v>236</v>
      </c>
    </row>
    <row r="6" spans="1:22" x14ac:dyDescent="0.25">
      <c r="A6" s="305" t="s">
        <v>5</v>
      </c>
      <c r="B6" s="305" t="s">
        <v>10</v>
      </c>
      <c r="G6" s="305" t="s">
        <v>120</v>
      </c>
      <c r="H6" s="305" t="s">
        <v>119</v>
      </c>
      <c r="I6" s="305" t="s">
        <v>1740</v>
      </c>
      <c r="J6" s="73">
        <v>41275</v>
      </c>
      <c r="K6" s="133">
        <v>68</v>
      </c>
      <c r="M6" s="305" t="s">
        <v>249</v>
      </c>
      <c r="N6" s="305" t="s">
        <v>250</v>
      </c>
      <c r="O6" s="305" t="s">
        <v>237</v>
      </c>
      <c r="P6" s="133">
        <v>32</v>
      </c>
      <c r="Q6" s="133">
        <v>174</v>
      </c>
      <c r="U6" s="305" t="s">
        <v>267</v>
      </c>
    </row>
    <row r="7" spans="1:22" x14ac:dyDescent="0.25">
      <c r="A7" s="305" t="s">
        <v>5</v>
      </c>
      <c r="B7" s="305" t="s">
        <v>12</v>
      </c>
      <c r="G7" s="305" t="s">
        <v>1153</v>
      </c>
      <c r="H7" s="305" t="s">
        <v>1159</v>
      </c>
      <c r="I7" s="305" t="s">
        <v>775</v>
      </c>
      <c r="J7" s="73">
        <v>42584</v>
      </c>
      <c r="K7" s="133"/>
      <c r="M7" s="305" t="s">
        <v>247</v>
      </c>
      <c r="N7" s="305" t="s">
        <v>248</v>
      </c>
      <c r="O7" s="305" t="s">
        <v>237</v>
      </c>
      <c r="P7" s="133">
        <v>16</v>
      </c>
      <c r="Q7" s="133">
        <v>77</v>
      </c>
      <c r="U7" s="305" t="s">
        <v>249</v>
      </c>
    </row>
    <row r="8" spans="1:22" x14ac:dyDescent="0.25">
      <c r="A8" s="305" t="s">
        <v>5</v>
      </c>
      <c r="B8" s="305" t="s">
        <v>14</v>
      </c>
      <c r="G8" s="305" t="s">
        <v>6</v>
      </c>
      <c r="H8" s="305" t="s">
        <v>4</v>
      </c>
      <c r="I8" s="305" t="s">
        <v>1740</v>
      </c>
      <c r="J8" s="73">
        <v>40848</v>
      </c>
      <c r="K8" s="133">
        <v>235</v>
      </c>
      <c r="M8" s="305" t="s">
        <v>273</v>
      </c>
      <c r="N8" s="305" t="s">
        <v>274</v>
      </c>
      <c r="O8" s="305" t="s">
        <v>237</v>
      </c>
      <c r="P8" s="133">
        <v>46</v>
      </c>
      <c r="Q8" s="133">
        <v>242</v>
      </c>
      <c r="U8" s="305" t="s">
        <v>247</v>
      </c>
    </row>
    <row r="9" spans="1:22" x14ac:dyDescent="0.25">
      <c r="A9" s="305" t="s">
        <v>5</v>
      </c>
      <c r="B9" s="305" t="s">
        <v>16</v>
      </c>
      <c r="G9" s="305" t="s">
        <v>1526</v>
      </c>
      <c r="H9" s="305" t="s">
        <v>1544</v>
      </c>
      <c r="I9" s="305" t="s">
        <v>775</v>
      </c>
      <c r="J9" s="73">
        <v>42963</v>
      </c>
      <c r="K9" s="133">
        <v>25</v>
      </c>
      <c r="M9" s="305" t="s">
        <v>275</v>
      </c>
      <c r="N9" s="305" t="s">
        <v>276</v>
      </c>
      <c r="O9" s="305" t="s">
        <v>237</v>
      </c>
      <c r="P9" s="133">
        <v>120</v>
      </c>
      <c r="Q9" s="133">
        <v>582</v>
      </c>
      <c r="U9" s="305" t="s">
        <v>273</v>
      </c>
    </row>
    <row r="10" spans="1:22" x14ac:dyDescent="0.25">
      <c r="A10" s="305" t="s">
        <v>5</v>
      </c>
      <c r="B10" s="305" t="s">
        <v>18</v>
      </c>
      <c r="G10" s="305" t="s">
        <v>41</v>
      </c>
      <c r="H10" s="305" t="s">
        <v>40</v>
      </c>
      <c r="I10" s="305" t="s">
        <v>1740</v>
      </c>
      <c r="J10" s="73">
        <v>41275</v>
      </c>
      <c r="K10" s="133">
        <v>70</v>
      </c>
      <c r="M10" s="305" t="s">
        <v>277</v>
      </c>
      <c r="N10" s="305" t="s">
        <v>278</v>
      </c>
      <c r="O10" s="305" t="s">
        <v>237</v>
      </c>
      <c r="P10" s="133">
        <v>23</v>
      </c>
      <c r="Q10" s="133">
        <v>112</v>
      </c>
      <c r="U10" s="305" t="s">
        <v>275</v>
      </c>
    </row>
    <row r="11" spans="1:22" x14ac:dyDescent="0.25">
      <c r="A11" s="305" t="s">
        <v>5</v>
      </c>
      <c r="B11" s="305" t="s">
        <v>8</v>
      </c>
      <c r="G11" s="305" t="s">
        <v>43</v>
      </c>
      <c r="H11" s="305" t="s">
        <v>42</v>
      </c>
      <c r="I11" s="305" t="s">
        <v>1740</v>
      </c>
      <c r="J11" s="73">
        <v>41275</v>
      </c>
      <c r="K11" s="133">
        <v>13</v>
      </c>
      <c r="M11" s="305" t="s">
        <v>259</v>
      </c>
      <c r="N11" s="305" t="s">
        <v>260</v>
      </c>
      <c r="O11" s="305" t="s">
        <v>237</v>
      </c>
      <c r="P11" s="133">
        <v>103</v>
      </c>
      <c r="Q11" s="133">
        <v>586</v>
      </c>
      <c r="U11" s="305" t="s">
        <v>277</v>
      </c>
    </row>
    <row r="12" spans="1:22" x14ac:dyDescent="0.25">
      <c r="A12" s="305" t="s">
        <v>5</v>
      </c>
      <c r="B12" s="305" t="s">
        <v>20</v>
      </c>
      <c r="G12" s="305" t="s">
        <v>39</v>
      </c>
      <c r="H12" s="305" t="s">
        <v>38</v>
      </c>
      <c r="I12" s="305" t="s">
        <v>775</v>
      </c>
      <c r="J12" s="305" t="s">
        <v>1219</v>
      </c>
      <c r="K12" s="133"/>
      <c r="M12" s="305" t="s">
        <v>279</v>
      </c>
      <c r="N12" s="305" t="s">
        <v>280</v>
      </c>
      <c r="O12" s="305" t="s">
        <v>237</v>
      </c>
      <c r="P12" s="133">
        <v>91</v>
      </c>
      <c r="Q12" s="133">
        <v>511</v>
      </c>
      <c r="U12" s="305" t="s">
        <v>259</v>
      </c>
    </row>
    <row r="13" spans="1:22" x14ac:dyDescent="0.25">
      <c r="A13" s="305" t="s">
        <v>5</v>
      </c>
      <c r="B13" s="305" t="s">
        <v>364</v>
      </c>
      <c r="G13" s="305" t="s">
        <v>1209</v>
      </c>
      <c r="H13" s="305" t="s">
        <v>1177</v>
      </c>
      <c r="I13" s="305" t="s">
        <v>775</v>
      </c>
      <c r="J13" s="305" t="s">
        <v>1219</v>
      </c>
      <c r="K13" s="133"/>
      <c r="M13" s="305" t="s">
        <v>244</v>
      </c>
      <c r="N13" s="305" t="s">
        <v>1509</v>
      </c>
      <c r="O13" s="305" t="s">
        <v>237</v>
      </c>
      <c r="P13" s="133">
        <v>42</v>
      </c>
      <c r="Q13" s="133">
        <v>187</v>
      </c>
      <c r="U13" s="305" t="s">
        <v>279</v>
      </c>
    </row>
    <row r="14" spans="1:22" x14ac:dyDescent="0.25">
      <c r="A14" s="305" t="s">
        <v>5</v>
      </c>
      <c r="B14" s="305" t="s">
        <v>22</v>
      </c>
      <c r="G14" s="305" t="s">
        <v>465</v>
      </c>
      <c r="H14" s="305" t="s">
        <v>375</v>
      </c>
      <c r="I14" s="305" t="s">
        <v>1740</v>
      </c>
      <c r="J14" s="73">
        <v>40787</v>
      </c>
      <c r="K14" s="133">
        <v>12</v>
      </c>
      <c r="M14" s="305" t="s">
        <v>255</v>
      </c>
      <c r="N14" s="305" t="s">
        <v>256</v>
      </c>
      <c r="O14" s="305" t="s">
        <v>237</v>
      </c>
      <c r="P14" s="133">
        <v>46</v>
      </c>
      <c r="Q14" s="133">
        <v>217</v>
      </c>
      <c r="U14" s="305" t="s">
        <v>244</v>
      </c>
    </row>
    <row r="15" spans="1:22" x14ac:dyDescent="0.25">
      <c r="A15" s="305" t="s">
        <v>5</v>
      </c>
      <c r="B15" s="305" t="s">
        <v>822</v>
      </c>
      <c r="G15" s="305" t="s">
        <v>48</v>
      </c>
      <c r="H15" s="305" t="s">
        <v>47</v>
      </c>
      <c r="I15" s="305" t="s">
        <v>775</v>
      </c>
      <c r="J15" s="305" t="s">
        <v>1219</v>
      </c>
      <c r="K15" s="133"/>
      <c r="M15" s="305" t="s">
        <v>283</v>
      </c>
      <c r="N15" s="305" t="s">
        <v>284</v>
      </c>
      <c r="O15" s="305" t="s">
        <v>237</v>
      </c>
      <c r="P15" s="133">
        <v>138</v>
      </c>
      <c r="Q15" s="133">
        <v>705</v>
      </c>
      <c r="U15" s="305" t="s">
        <v>255</v>
      </c>
    </row>
    <row r="16" spans="1:22" x14ac:dyDescent="0.25">
      <c r="A16" s="305" t="s">
        <v>5</v>
      </c>
      <c r="B16" s="305" t="s">
        <v>24</v>
      </c>
      <c r="G16" s="305" t="s">
        <v>50</v>
      </c>
      <c r="H16" s="305" t="s">
        <v>49</v>
      </c>
      <c r="I16" s="305" t="s">
        <v>775</v>
      </c>
      <c r="J16" s="305" t="s">
        <v>1219</v>
      </c>
      <c r="K16" s="133"/>
      <c r="M16" s="305" t="s">
        <v>239</v>
      </c>
      <c r="N16" s="305" t="s">
        <v>240</v>
      </c>
      <c r="O16" s="305" t="s">
        <v>237</v>
      </c>
      <c r="P16" s="133">
        <v>107</v>
      </c>
      <c r="Q16" s="133">
        <v>561</v>
      </c>
      <c r="U16" s="305" t="s">
        <v>283</v>
      </c>
    </row>
    <row r="17" spans="1:21" x14ac:dyDescent="0.25">
      <c r="A17" s="305" t="s">
        <v>5</v>
      </c>
      <c r="B17" s="305" t="s">
        <v>795</v>
      </c>
      <c r="G17" s="305" t="s">
        <v>1193</v>
      </c>
      <c r="H17" s="305" t="s">
        <v>1181</v>
      </c>
      <c r="I17" s="305" t="s">
        <v>775</v>
      </c>
      <c r="J17" s="305" t="s">
        <v>1219</v>
      </c>
      <c r="K17" s="133"/>
      <c r="M17" s="305" t="s">
        <v>257</v>
      </c>
      <c r="N17" s="305" t="s">
        <v>258</v>
      </c>
      <c r="O17" s="305" t="s">
        <v>237</v>
      </c>
      <c r="P17" s="133">
        <v>62</v>
      </c>
      <c r="Q17" s="133">
        <v>310</v>
      </c>
      <c r="U17" s="305" t="s">
        <v>239</v>
      </c>
    </row>
    <row r="18" spans="1:21" x14ac:dyDescent="0.25">
      <c r="A18" s="305" t="s">
        <v>5</v>
      </c>
      <c r="B18" s="305" t="s">
        <v>26</v>
      </c>
      <c r="G18" s="305" t="s">
        <v>1194</v>
      </c>
      <c r="H18" s="305" t="s">
        <v>1182</v>
      </c>
      <c r="I18" s="305" t="s">
        <v>775</v>
      </c>
      <c r="J18" s="305" t="s">
        <v>1219</v>
      </c>
      <c r="K18" s="133"/>
      <c r="M18" s="305" t="s">
        <v>265</v>
      </c>
      <c r="N18" s="305" t="s">
        <v>266</v>
      </c>
      <c r="O18" s="305" t="s">
        <v>237</v>
      </c>
      <c r="P18" s="133"/>
      <c r="Q18" s="133"/>
      <c r="U18" s="305" t="s">
        <v>257</v>
      </c>
    </row>
    <row r="19" spans="1:21" x14ac:dyDescent="0.25">
      <c r="A19" s="305" t="s">
        <v>5</v>
      </c>
      <c r="B19" s="305" t="s">
        <v>876</v>
      </c>
      <c r="G19" s="305" t="s">
        <v>808</v>
      </c>
      <c r="H19" s="305" t="s">
        <v>806</v>
      </c>
      <c r="I19" s="305" t="s">
        <v>775</v>
      </c>
      <c r="J19" s="305" t="s">
        <v>1219</v>
      </c>
      <c r="K19" s="133">
        <v>0</v>
      </c>
      <c r="M19" s="305" t="s">
        <v>251</v>
      </c>
      <c r="N19" s="305" t="s">
        <v>252</v>
      </c>
      <c r="O19" s="305" t="s">
        <v>237</v>
      </c>
      <c r="P19" s="133">
        <v>199</v>
      </c>
      <c r="Q19" s="133">
        <v>1118</v>
      </c>
      <c r="U19" s="305" t="s">
        <v>265</v>
      </c>
    </row>
    <row r="20" spans="1:21" x14ac:dyDescent="0.25">
      <c r="A20" s="305" t="s">
        <v>27</v>
      </c>
      <c r="B20" s="305" t="s">
        <v>28</v>
      </c>
      <c r="G20" s="305" t="s">
        <v>803</v>
      </c>
      <c r="H20" s="305" t="s">
        <v>807</v>
      </c>
      <c r="I20" s="305" t="s">
        <v>775</v>
      </c>
      <c r="J20" s="305" t="s">
        <v>1219</v>
      </c>
      <c r="K20" s="133">
        <v>0</v>
      </c>
      <c r="M20" s="305" t="s">
        <v>253</v>
      </c>
      <c r="N20" s="305" t="s">
        <v>254</v>
      </c>
      <c r="O20" s="305" t="s">
        <v>237</v>
      </c>
      <c r="P20" s="133">
        <v>117</v>
      </c>
      <c r="Q20" s="133">
        <v>576</v>
      </c>
      <c r="U20" s="305" t="s">
        <v>251</v>
      </c>
    </row>
    <row r="21" spans="1:21" x14ac:dyDescent="0.25">
      <c r="A21" s="305" t="s">
        <v>27</v>
      </c>
      <c r="B21" s="305" t="s">
        <v>32</v>
      </c>
      <c r="G21" s="305" t="s">
        <v>804</v>
      </c>
      <c r="H21" s="305" t="s">
        <v>805</v>
      </c>
      <c r="I21" s="305" t="s">
        <v>775</v>
      </c>
      <c r="J21" s="305" t="s">
        <v>1219</v>
      </c>
      <c r="K21" s="133">
        <v>0</v>
      </c>
      <c r="M21" s="305" t="s">
        <v>261</v>
      </c>
      <c r="N21" s="305" t="s">
        <v>262</v>
      </c>
      <c r="O21" s="305" t="s">
        <v>237</v>
      </c>
      <c r="P21" s="133">
        <v>22</v>
      </c>
      <c r="Q21" s="133">
        <v>92</v>
      </c>
      <c r="U21" s="305" t="s">
        <v>253</v>
      </c>
    </row>
    <row r="22" spans="1:21" x14ac:dyDescent="0.25">
      <c r="A22" s="305" t="s">
        <v>27</v>
      </c>
      <c r="B22" s="305" t="s">
        <v>362</v>
      </c>
      <c r="G22" s="305" t="s">
        <v>52</v>
      </c>
      <c r="H22" s="305" t="s">
        <v>51</v>
      </c>
      <c r="I22" s="305" t="s">
        <v>1740</v>
      </c>
      <c r="J22" s="73">
        <v>41275</v>
      </c>
      <c r="K22" s="133">
        <v>36</v>
      </c>
      <c r="M22" s="305" t="s">
        <v>263</v>
      </c>
      <c r="N22" s="305" t="s">
        <v>264</v>
      </c>
      <c r="O22" s="305" t="s">
        <v>237</v>
      </c>
      <c r="P22" s="133">
        <v>21</v>
      </c>
      <c r="Q22" s="133">
        <v>123</v>
      </c>
      <c r="U22" s="305" t="s">
        <v>261</v>
      </c>
    </row>
    <row r="23" spans="1:21" x14ac:dyDescent="0.25">
      <c r="A23" s="305" t="s">
        <v>27</v>
      </c>
      <c r="B23" s="305" t="s">
        <v>34</v>
      </c>
      <c r="G23" s="305" t="s">
        <v>58</v>
      </c>
      <c r="H23" s="305" t="s">
        <v>57</v>
      </c>
      <c r="I23" s="305" t="s">
        <v>775</v>
      </c>
      <c r="J23" s="305" t="s">
        <v>1219</v>
      </c>
      <c r="K23" s="133"/>
      <c r="M23" s="305" t="s">
        <v>281</v>
      </c>
      <c r="N23" s="305" t="s">
        <v>282</v>
      </c>
      <c r="O23" s="305" t="s">
        <v>237</v>
      </c>
      <c r="P23" s="133">
        <v>7</v>
      </c>
      <c r="Q23" s="133">
        <v>37</v>
      </c>
      <c r="U23" s="305" t="s">
        <v>263</v>
      </c>
    </row>
    <row r="24" spans="1:21" x14ac:dyDescent="0.25">
      <c r="A24" s="305" t="s">
        <v>27</v>
      </c>
      <c r="B24" s="305" t="s">
        <v>363</v>
      </c>
      <c r="G24" s="305" t="s">
        <v>60</v>
      </c>
      <c r="H24" s="305" t="s">
        <v>59</v>
      </c>
      <c r="I24" s="305" t="s">
        <v>775</v>
      </c>
      <c r="J24" s="73">
        <v>41275</v>
      </c>
      <c r="K24" s="133"/>
      <c r="M24" s="305" t="s">
        <v>241</v>
      </c>
      <c r="N24" s="305" t="s">
        <v>1030</v>
      </c>
      <c r="O24" s="305" t="s">
        <v>237</v>
      </c>
      <c r="P24" s="133">
        <v>54</v>
      </c>
      <c r="Q24" s="133">
        <v>254</v>
      </c>
      <c r="U24" s="305" t="s">
        <v>281</v>
      </c>
    </row>
    <row r="25" spans="1:21" x14ac:dyDescent="0.25">
      <c r="A25" s="305" t="s">
        <v>27</v>
      </c>
      <c r="B25" s="305" t="s">
        <v>790</v>
      </c>
      <c r="G25" s="305" t="s">
        <v>356</v>
      </c>
      <c r="H25" s="305" t="s">
        <v>355</v>
      </c>
      <c r="I25" s="305" t="s">
        <v>775</v>
      </c>
      <c r="J25" s="305" t="s">
        <v>1219</v>
      </c>
      <c r="K25" s="133">
        <v>0</v>
      </c>
      <c r="M25" s="305" t="s">
        <v>269</v>
      </c>
      <c r="N25" s="305" t="s">
        <v>270</v>
      </c>
      <c r="O25" s="305" t="s">
        <v>237</v>
      </c>
      <c r="P25" s="133">
        <v>59</v>
      </c>
      <c r="Q25" s="133">
        <v>309</v>
      </c>
      <c r="U25" s="305" t="s">
        <v>241</v>
      </c>
    </row>
    <row r="26" spans="1:21" x14ac:dyDescent="0.25">
      <c r="A26" s="305" t="s">
        <v>27</v>
      </c>
      <c r="B26" s="305" t="s">
        <v>37</v>
      </c>
      <c r="G26" s="305" t="s">
        <v>333</v>
      </c>
      <c r="H26" s="305" t="s">
        <v>332</v>
      </c>
      <c r="I26" s="305" t="s">
        <v>1740</v>
      </c>
      <c r="J26" s="73">
        <v>40848</v>
      </c>
      <c r="K26" s="133">
        <v>125</v>
      </c>
      <c r="M26" s="305" t="s">
        <v>339</v>
      </c>
      <c r="N26" s="305" t="s">
        <v>340</v>
      </c>
      <c r="O26" s="305" t="s">
        <v>309</v>
      </c>
      <c r="P26" s="133">
        <v>66</v>
      </c>
      <c r="Q26" s="133">
        <v>338</v>
      </c>
      <c r="U26" s="305" t="s">
        <v>269</v>
      </c>
    </row>
    <row r="27" spans="1:21" x14ac:dyDescent="0.25">
      <c r="A27" s="305" t="s">
        <v>27</v>
      </c>
      <c r="B27" s="305" t="s">
        <v>874</v>
      </c>
      <c r="G27" s="305" t="s">
        <v>188</v>
      </c>
      <c r="H27" s="305" t="s">
        <v>187</v>
      </c>
      <c r="I27" s="305" t="s">
        <v>1740</v>
      </c>
      <c r="J27" s="73">
        <v>40817</v>
      </c>
      <c r="K27" s="133">
        <v>358</v>
      </c>
      <c r="M27" s="305" t="s">
        <v>348</v>
      </c>
      <c r="N27" s="305" t="s">
        <v>349</v>
      </c>
      <c r="O27" s="305" t="s">
        <v>309</v>
      </c>
      <c r="P27" s="133">
        <v>92</v>
      </c>
      <c r="Q27" s="133">
        <v>505</v>
      </c>
      <c r="U27" s="305" t="s">
        <v>339</v>
      </c>
    </row>
    <row r="28" spans="1:21" x14ac:dyDescent="0.25">
      <c r="A28" s="305" t="s">
        <v>480</v>
      </c>
      <c r="B28" s="305" t="s">
        <v>128</v>
      </c>
      <c r="G28" s="305" t="s">
        <v>887</v>
      </c>
      <c r="H28" s="305" t="s">
        <v>888</v>
      </c>
      <c r="I28" s="305" t="s">
        <v>775</v>
      </c>
      <c r="J28" s="73">
        <v>40817</v>
      </c>
      <c r="K28" s="133"/>
      <c r="M28" s="305" t="s">
        <v>318</v>
      </c>
      <c r="N28" s="305" t="s">
        <v>319</v>
      </c>
      <c r="O28" s="305" t="s">
        <v>309</v>
      </c>
      <c r="P28" s="133">
        <v>31</v>
      </c>
      <c r="Q28" s="133">
        <v>181</v>
      </c>
      <c r="U28" s="305" t="s">
        <v>348</v>
      </c>
    </row>
    <row r="29" spans="1:21" x14ac:dyDescent="0.25">
      <c r="A29" s="305" t="s">
        <v>480</v>
      </c>
      <c r="B29" s="305" t="s">
        <v>62</v>
      </c>
      <c r="G29" s="305" t="s">
        <v>72</v>
      </c>
      <c r="H29" s="305" t="s">
        <v>71</v>
      </c>
      <c r="I29" s="305" t="s">
        <v>1740</v>
      </c>
      <c r="J29" s="73">
        <v>41487</v>
      </c>
      <c r="K29" s="133">
        <v>6</v>
      </c>
      <c r="M29" s="305" t="s">
        <v>311</v>
      </c>
      <c r="N29" s="305" t="s">
        <v>312</v>
      </c>
      <c r="O29" s="305" t="s">
        <v>309</v>
      </c>
      <c r="P29" s="133">
        <v>92</v>
      </c>
      <c r="Q29" s="133">
        <v>447</v>
      </c>
      <c r="U29" s="305" t="s">
        <v>318</v>
      </c>
    </row>
    <row r="30" spans="1:21" x14ac:dyDescent="0.25">
      <c r="A30" s="305" t="s">
        <v>480</v>
      </c>
      <c r="B30" s="305" t="s">
        <v>120</v>
      </c>
      <c r="G30" s="305" t="s">
        <v>70</v>
      </c>
      <c r="H30" s="305" t="s">
        <v>69</v>
      </c>
      <c r="I30" s="305" t="s">
        <v>775</v>
      </c>
      <c r="J30" s="305" t="s">
        <v>1219</v>
      </c>
      <c r="K30" s="133"/>
      <c r="M30" s="305" t="s">
        <v>328</v>
      </c>
      <c r="N30" s="305" t="s">
        <v>329</v>
      </c>
      <c r="O30" s="305" t="s">
        <v>309</v>
      </c>
      <c r="P30" s="133">
        <v>335</v>
      </c>
      <c r="Q30" s="133">
        <v>1774</v>
      </c>
      <c r="U30" s="305" t="s">
        <v>311</v>
      </c>
    </row>
    <row r="31" spans="1:21" x14ac:dyDescent="0.25">
      <c r="A31" s="305" t="s">
        <v>480</v>
      </c>
      <c r="B31" s="305" t="s">
        <v>41</v>
      </c>
      <c r="G31" s="305" t="s">
        <v>28</v>
      </c>
      <c r="H31" s="305" t="s">
        <v>30</v>
      </c>
      <c r="I31" s="305" t="s">
        <v>1740</v>
      </c>
      <c r="J31" s="73">
        <v>41244</v>
      </c>
      <c r="K31" s="133">
        <v>161</v>
      </c>
      <c r="M31" s="305" t="s">
        <v>336</v>
      </c>
      <c r="N31" s="305" t="s">
        <v>337</v>
      </c>
      <c r="O31" s="305" t="s">
        <v>309</v>
      </c>
      <c r="P31" s="133">
        <v>36</v>
      </c>
      <c r="Q31" s="133">
        <v>185</v>
      </c>
      <c r="U31" s="305" t="s">
        <v>328</v>
      </c>
    </row>
    <row r="32" spans="1:21" x14ac:dyDescent="0.25">
      <c r="A32" s="305" t="s">
        <v>480</v>
      </c>
      <c r="B32" s="305" t="s">
        <v>43</v>
      </c>
      <c r="G32" s="305" t="s">
        <v>10</v>
      </c>
      <c r="H32" s="305" t="s">
        <v>9</v>
      </c>
      <c r="I32" s="305" t="s">
        <v>775</v>
      </c>
      <c r="J32" s="305" t="s">
        <v>1219</v>
      </c>
      <c r="K32" s="133">
        <v>0</v>
      </c>
      <c r="M32" s="305" t="s">
        <v>326</v>
      </c>
      <c r="N32" s="305" t="s">
        <v>327</v>
      </c>
      <c r="O32" s="305" t="s">
        <v>309</v>
      </c>
      <c r="P32" s="133">
        <v>347</v>
      </c>
      <c r="Q32" s="133">
        <v>2047</v>
      </c>
      <c r="U32" s="305" t="s">
        <v>336</v>
      </c>
    </row>
    <row r="33" spans="1:21" x14ac:dyDescent="0.25">
      <c r="A33" s="305" t="s">
        <v>480</v>
      </c>
      <c r="B33" s="305" t="s">
        <v>39</v>
      </c>
      <c r="G33" s="305" t="s">
        <v>1079</v>
      </c>
      <c r="H33" s="305" t="s">
        <v>1080</v>
      </c>
      <c r="I33" s="305" t="s">
        <v>775</v>
      </c>
      <c r="J33" s="305" t="s">
        <v>1219</v>
      </c>
      <c r="K33" s="133"/>
      <c r="M33" s="305" t="s">
        <v>316</v>
      </c>
      <c r="N33" s="305" t="s">
        <v>317</v>
      </c>
      <c r="O33" s="305" t="s">
        <v>309</v>
      </c>
      <c r="P33" s="133">
        <v>121</v>
      </c>
      <c r="Q33" s="133">
        <v>510</v>
      </c>
      <c r="U33" s="305" t="s">
        <v>326</v>
      </c>
    </row>
    <row r="34" spans="1:21" x14ac:dyDescent="0.25">
      <c r="A34" s="305" t="s">
        <v>480</v>
      </c>
      <c r="B34" s="305" t="s">
        <v>48</v>
      </c>
      <c r="G34" s="305" t="s">
        <v>76</v>
      </c>
      <c r="H34" s="305" t="s">
        <v>75</v>
      </c>
      <c r="I34" s="305" t="s">
        <v>1740</v>
      </c>
      <c r="J34" s="73">
        <v>41275</v>
      </c>
      <c r="K34" s="133">
        <v>70</v>
      </c>
      <c r="M34" s="305" t="s">
        <v>341</v>
      </c>
      <c r="N34" s="305" t="s">
        <v>342</v>
      </c>
      <c r="O34" s="305" t="s">
        <v>309</v>
      </c>
      <c r="P34" s="133">
        <v>19</v>
      </c>
      <c r="Q34" s="133">
        <v>85</v>
      </c>
      <c r="U34" s="305" t="s">
        <v>316</v>
      </c>
    </row>
    <row r="35" spans="1:21" x14ac:dyDescent="0.25">
      <c r="A35" s="305" t="s">
        <v>480</v>
      </c>
      <c r="B35" s="305" t="s">
        <v>50</v>
      </c>
      <c r="G35" s="305" t="s">
        <v>1509</v>
      </c>
      <c r="H35" s="305" t="s">
        <v>244</v>
      </c>
      <c r="I35" s="305" t="s">
        <v>1740</v>
      </c>
      <c r="J35" s="73">
        <v>40695</v>
      </c>
      <c r="K35" s="133">
        <v>42</v>
      </c>
      <c r="M35" s="305" t="s">
        <v>358</v>
      </c>
      <c r="N35" s="305" t="s">
        <v>1033</v>
      </c>
      <c r="O35" s="305" t="s">
        <v>309</v>
      </c>
      <c r="P35" s="133"/>
      <c r="Q35" s="133"/>
      <c r="U35" s="305" t="s">
        <v>341</v>
      </c>
    </row>
    <row r="36" spans="1:21" x14ac:dyDescent="0.25">
      <c r="A36" s="305" t="s">
        <v>480</v>
      </c>
      <c r="B36" s="305" t="s">
        <v>52</v>
      </c>
      <c r="G36" s="305" t="s">
        <v>192</v>
      </c>
      <c r="H36" s="305" t="s">
        <v>191</v>
      </c>
      <c r="I36" s="305" t="s">
        <v>1740</v>
      </c>
      <c r="J36" s="73">
        <v>40756</v>
      </c>
      <c r="K36" s="133">
        <v>88</v>
      </c>
      <c r="M36" s="305" t="s">
        <v>357</v>
      </c>
      <c r="N36" s="305" t="s">
        <v>1032</v>
      </c>
      <c r="O36" s="305" t="s">
        <v>309</v>
      </c>
      <c r="P36" s="133"/>
      <c r="Q36" s="133"/>
      <c r="U36" s="305" t="s">
        <v>358</v>
      </c>
    </row>
    <row r="37" spans="1:21" x14ac:dyDescent="0.25">
      <c r="A37" s="305" t="s">
        <v>480</v>
      </c>
      <c r="B37" s="305" t="s">
        <v>58</v>
      </c>
      <c r="G37" s="305" t="s">
        <v>78</v>
      </c>
      <c r="H37" s="305" t="s">
        <v>77</v>
      </c>
      <c r="I37" s="305" t="s">
        <v>775</v>
      </c>
      <c r="J37" s="305" t="s">
        <v>1219</v>
      </c>
      <c r="K37" s="133"/>
      <c r="M37" s="305" t="s">
        <v>308</v>
      </c>
      <c r="N37" s="305" t="s">
        <v>310</v>
      </c>
      <c r="O37" s="305" t="s">
        <v>309</v>
      </c>
      <c r="P37" s="133"/>
      <c r="Q37" s="133"/>
      <c r="U37" s="305" t="s">
        <v>357</v>
      </c>
    </row>
    <row r="38" spans="1:21" x14ac:dyDescent="0.25">
      <c r="A38" s="305" t="s">
        <v>480</v>
      </c>
      <c r="B38" s="305" t="s">
        <v>60</v>
      </c>
      <c r="G38" s="305" t="s">
        <v>1665</v>
      </c>
      <c r="H38" s="305" t="s">
        <v>1652</v>
      </c>
      <c r="I38" s="305" t="s">
        <v>1740</v>
      </c>
      <c r="J38" s="73">
        <v>43212</v>
      </c>
      <c r="K38" s="133">
        <v>6</v>
      </c>
      <c r="M38" s="305" t="s">
        <v>346</v>
      </c>
      <c r="N38" s="305" t="s">
        <v>347</v>
      </c>
      <c r="O38" s="305" t="s">
        <v>309</v>
      </c>
      <c r="P38" s="133">
        <v>45</v>
      </c>
      <c r="Q38" s="133">
        <v>188</v>
      </c>
      <c r="U38" s="305" t="s">
        <v>308</v>
      </c>
    </row>
    <row r="39" spans="1:21" x14ac:dyDescent="0.25">
      <c r="A39" s="305" t="s">
        <v>480</v>
      </c>
      <c r="B39" s="305" t="s">
        <v>72</v>
      </c>
      <c r="G39" s="305" t="s">
        <v>82</v>
      </c>
      <c r="H39" s="305" t="s">
        <v>81</v>
      </c>
      <c r="I39" s="305" t="s">
        <v>775</v>
      </c>
      <c r="J39" s="305" t="s">
        <v>1219</v>
      </c>
      <c r="K39" s="133"/>
      <c r="M39" s="305" t="s">
        <v>314</v>
      </c>
      <c r="N39" s="305" t="s">
        <v>315</v>
      </c>
      <c r="O39" s="305" t="s">
        <v>309</v>
      </c>
      <c r="P39" s="133">
        <v>67</v>
      </c>
      <c r="Q39" s="133">
        <v>273</v>
      </c>
      <c r="U39" s="305" t="s">
        <v>346</v>
      </c>
    </row>
    <row r="40" spans="1:21" x14ac:dyDescent="0.25">
      <c r="A40" s="305" t="s">
        <v>480</v>
      </c>
      <c r="B40" s="305" t="s">
        <v>70</v>
      </c>
      <c r="G40" s="305" t="s">
        <v>837</v>
      </c>
      <c r="H40" s="305" t="s">
        <v>838</v>
      </c>
      <c r="I40" s="305" t="s">
        <v>775</v>
      </c>
      <c r="J40" s="305" t="s">
        <v>1219</v>
      </c>
      <c r="K40" s="133">
        <v>0</v>
      </c>
      <c r="M40" s="305" t="s">
        <v>324</v>
      </c>
      <c r="N40" s="305" t="s">
        <v>325</v>
      </c>
      <c r="O40" s="305" t="s">
        <v>309</v>
      </c>
      <c r="P40" s="133">
        <v>52</v>
      </c>
      <c r="Q40" s="133">
        <v>235</v>
      </c>
      <c r="U40" s="305" t="s">
        <v>314</v>
      </c>
    </row>
    <row r="41" spans="1:21" x14ac:dyDescent="0.25">
      <c r="A41" s="305" t="s">
        <v>480</v>
      </c>
      <c r="B41" s="305" t="s">
        <v>76</v>
      </c>
      <c r="G41" s="305" t="s">
        <v>1934</v>
      </c>
      <c r="H41" s="305" t="s">
        <v>840</v>
      </c>
      <c r="I41" s="305" t="s">
        <v>1740</v>
      </c>
      <c r="J41" s="305" t="s">
        <v>1219</v>
      </c>
      <c r="K41" s="133">
        <v>86</v>
      </c>
      <c r="M41" s="305" t="s">
        <v>322</v>
      </c>
      <c r="N41" s="305" t="s">
        <v>323</v>
      </c>
      <c r="O41" s="305" t="s">
        <v>309</v>
      </c>
      <c r="P41" s="133">
        <v>506</v>
      </c>
      <c r="Q41" s="133">
        <v>2702</v>
      </c>
      <c r="U41" s="305" t="s">
        <v>324</v>
      </c>
    </row>
    <row r="42" spans="1:21" x14ac:dyDescent="0.25">
      <c r="A42" s="305" t="s">
        <v>480</v>
      </c>
      <c r="B42" s="305" t="s">
        <v>78</v>
      </c>
      <c r="G42" s="305" t="s">
        <v>32</v>
      </c>
      <c r="H42" s="305" t="s">
        <v>31</v>
      </c>
      <c r="I42" s="305" t="s">
        <v>775</v>
      </c>
      <c r="J42" s="305" t="s">
        <v>1219</v>
      </c>
      <c r="K42" s="133"/>
      <c r="M42" s="305" t="s">
        <v>344</v>
      </c>
      <c r="N42" s="305" t="s">
        <v>345</v>
      </c>
      <c r="O42" s="305" t="s">
        <v>309</v>
      </c>
      <c r="P42" s="133">
        <v>183</v>
      </c>
      <c r="Q42" s="133">
        <v>1041</v>
      </c>
      <c r="U42" s="305" t="s">
        <v>322</v>
      </c>
    </row>
    <row r="43" spans="1:21" x14ac:dyDescent="0.25">
      <c r="A43" s="305" t="s">
        <v>480</v>
      </c>
      <c r="B43" s="305" t="s">
        <v>82</v>
      </c>
      <c r="G43" s="305" t="s">
        <v>1192</v>
      </c>
      <c r="H43" s="305" t="s">
        <v>1180</v>
      </c>
      <c r="I43" s="305" t="s">
        <v>775</v>
      </c>
      <c r="J43" s="305" t="s">
        <v>1219</v>
      </c>
      <c r="K43" s="133"/>
      <c r="M43" s="305" t="s">
        <v>30</v>
      </c>
      <c r="N43" s="305" t="s">
        <v>28</v>
      </c>
      <c r="O43" s="305" t="s">
        <v>27</v>
      </c>
      <c r="P43" s="133">
        <v>161</v>
      </c>
      <c r="Q43" s="133">
        <v>804</v>
      </c>
      <c r="U43" s="305" t="s">
        <v>344</v>
      </c>
    </row>
    <row r="44" spans="1:21" x14ac:dyDescent="0.25">
      <c r="A44" s="305" t="s">
        <v>480</v>
      </c>
      <c r="B44" s="305" t="s">
        <v>88</v>
      </c>
      <c r="G44" s="305" t="s">
        <v>1252</v>
      </c>
      <c r="H44" s="305" t="s">
        <v>1249</v>
      </c>
      <c r="I44" s="305" t="s">
        <v>1740</v>
      </c>
      <c r="J44" s="305" t="s">
        <v>1219</v>
      </c>
      <c r="K44" s="133">
        <v>62</v>
      </c>
      <c r="M44" s="305" t="s">
        <v>29</v>
      </c>
      <c r="N44" s="305" t="s">
        <v>362</v>
      </c>
      <c r="O44" s="305" t="s">
        <v>27</v>
      </c>
      <c r="P44" s="133">
        <v>163</v>
      </c>
      <c r="Q44" s="133">
        <v>962</v>
      </c>
      <c r="U44" s="305" t="s">
        <v>30</v>
      </c>
    </row>
    <row r="45" spans="1:21" x14ac:dyDescent="0.25">
      <c r="A45" s="305" t="s">
        <v>480</v>
      </c>
      <c r="B45" s="305" t="s">
        <v>44</v>
      </c>
      <c r="G45" s="305" t="s">
        <v>312</v>
      </c>
      <c r="H45" s="305" t="s">
        <v>311</v>
      </c>
      <c r="I45" s="305" t="s">
        <v>1740</v>
      </c>
      <c r="J45" s="73">
        <v>40695</v>
      </c>
      <c r="K45" s="133">
        <v>92</v>
      </c>
      <c r="M45" s="305" t="s">
        <v>36</v>
      </c>
      <c r="N45" s="305" t="s">
        <v>37</v>
      </c>
      <c r="O45" s="305" t="s">
        <v>27</v>
      </c>
      <c r="P45" s="133"/>
      <c r="Q45" s="133"/>
      <c r="U45" s="305" t="s">
        <v>29</v>
      </c>
    </row>
    <row r="46" spans="1:21" x14ac:dyDescent="0.25">
      <c r="A46" s="305" t="s">
        <v>480</v>
      </c>
      <c r="B46" s="305" t="s">
        <v>56</v>
      </c>
      <c r="G46" s="305" t="s">
        <v>335</v>
      </c>
      <c r="H46" s="305" t="s">
        <v>334</v>
      </c>
      <c r="I46" s="305" t="s">
        <v>1740</v>
      </c>
      <c r="J46" s="73">
        <v>40878</v>
      </c>
      <c r="K46" s="133">
        <v>136</v>
      </c>
      <c r="M46" s="305" t="s">
        <v>33</v>
      </c>
      <c r="N46" s="305" t="s">
        <v>34</v>
      </c>
      <c r="O46" s="305" t="s">
        <v>27</v>
      </c>
      <c r="P46" s="133"/>
      <c r="Q46" s="133"/>
      <c r="U46" s="305" t="s">
        <v>36</v>
      </c>
    </row>
    <row r="47" spans="1:21" x14ac:dyDescent="0.25">
      <c r="A47" s="305" t="s">
        <v>480</v>
      </c>
      <c r="B47" s="305" t="s">
        <v>90</v>
      </c>
      <c r="G47" s="305" t="s">
        <v>88</v>
      </c>
      <c r="H47" s="305" t="s">
        <v>87</v>
      </c>
      <c r="I47" s="305" t="s">
        <v>1740</v>
      </c>
      <c r="J47" s="73">
        <v>41183</v>
      </c>
      <c r="K47" s="133">
        <v>34</v>
      </c>
      <c r="M47" s="305" t="s">
        <v>31</v>
      </c>
      <c r="N47" s="305" t="s">
        <v>32</v>
      </c>
      <c r="O47" s="305" t="s">
        <v>27</v>
      </c>
      <c r="P47" s="133"/>
      <c r="Q47" s="133"/>
      <c r="U47" s="305" t="s">
        <v>33</v>
      </c>
    </row>
    <row r="48" spans="1:21" x14ac:dyDescent="0.25">
      <c r="A48" s="305" t="s">
        <v>480</v>
      </c>
      <c r="B48" s="305" t="s">
        <v>92</v>
      </c>
      <c r="G48" s="305" t="s">
        <v>44</v>
      </c>
      <c r="H48" s="305" t="s">
        <v>45</v>
      </c>
      <c r="I48" s="305" t="s">
        <v>1740</v>
      </c>
      <c r="J48" s="73">
        <v>41122</v>
      </c>
      <c r="K48" s="133">
        <v>2</v>
      </c>
      <c r="M48" s="305" t="s">
        <v>21</v>
      </c>
      <c r="N48" s="305" t="s">
        <v>22</v>
      </c>
      <c r="O48" s="305" t="s">
        <v>5</v>
      </c>
      <c r="P48" s="133">
        <v>641</v>
      </c>
      <c r="Q48" s="133">
        <v>4010</v>
      </c>
      <c r="U48" s="305" t="s">
        <v>31</v>
      </c>
    </row>
    <row r="49" spans="1:21" x14ac:dyDescent="0.25">
      <c r="A49" s="305" t="s">
        <v>480</v>
      </c>
      <c r="B49" s="305" t="s">
        <v>94</v>
      </c>
      <c r="G49" s="305" t="s">
        <v>56</v>
      </c>
      <c r="H49" s="305" t="s">
        <v>55</v>
      </c>
      <c r="I49" s="305" t="s">
        <v>775</v>
      </c>
      <c r="J49" s="305" t="s">
        <v>1219</v>
      </c>
      <c r="K49" s="133">
        <v>0</v>
      </c>
      <c r="M49" s="305" t="s">
        <v>15</v>
      </c>
      <c r="N49" s="305" t="s">
        <v>16</v>
      </c>
      <c r="O49" s="305" t="s">
        <v>5</v>
      </c>
      <c r="P49" s="133"/>
      <c r="Q49" s="133"/>
      <c r="U49" s="305" t="s">
        <v>21</v>
      </c>
    </row>
    <row r="50" spans="1:21" x14ac:dyDescent="0.25">
      <c r="A50" s="305" t="s">
        <v>480</v>
      </c>
      <c r="B50" s="305" t="s">
        <v>54</v>
      </c>
      <c r="G50" s="305" t="s">
        <v>983</v>
      </c>
      <c r="H50" s="305" t="s">
        <v>985</v>
      </c>
      <c r="I50" s="305" t="s">
        <v>1740</v>
      </c>
      <c r="J50" s="73">
        <v>41275</v>
      </c>
      <c r="K50" s="133">
        <v>26</v>
      </c>
      <c r="M50" s="305" t="s">
        <v>17</v>
      </c>
      <c r="N50" s="305" t="s">
        <v>18</v>
      </c>
      <c r="O50" s="305" t="s">
        <v>5</v>
      </c>
      <c r="P50" s="133">
        <v>132</v>
      </c>
      <c r="Q50" s="133">
        <v>774</v>
      </c>
      <c r="U50" s="305" t="s">
        <v>15</v>
      </c>
    </row>
    <row r="51" spans="1:21" x14ac:dyDescent="0.25">
      <c r="A51" s="305" t="s">
        <v>480</v>
      </c>
      <c r="B51" s="305" t="s">
        <v>66</v>
      </c>
      <c r="G51" s="305" t="s">
        <v>12</v>
      </c>
      <c r="H51" s="305" t="s">
        <v>11</v>
      </c>
      <c r="I51" s="305" t="s">
        <v>1740</v>
      </c>
      <c r="J51" s="305" t="s">
        <v>1219</v>
      </c>
      <c r="K51" s="133">
        <v>190</v>
      </c>
      <c r="M51" s="305" t="s">
        <v>4</v>
      </c>
      <c r="N51" s="305" t="s">
        <v>6</v>
      </c>
      <c r="O51" s="305" t="s">
        <v>5</v>
      </c>
      <c r="P51" s="133">
        <v>235</v>
      </c>
      <c r="Q51" s="133">
        <v>1166</v>
      </c>
      <c r="U51" s="305" t="s">
        <v>17</v>
      </c>
    </row>
    <row r="52" spans="1:21" x14ac:dyDescent="0.25">
      <c r="A52" s="305" t="s">
        <v>480</v>
      </c>
      <c r="B52" s="305" t="s">
        <v>80</v>
      </c>
      <c r="G52" s="305" t="s">
        <v>12</v>
      </c>
      <c r="H52" s="305" t="s">
        <v>388</v>
      </c>
      <c r="I52" s="305" t="s">
        <v>1740</v>
      </c>
      <c r="J52" s="305" t="s">
        <v>1219</v>
      </c>
      <c r="K52" s="133">
        <v>80</v>
      </c>
      <c r="M52" s="305" t="s">
        <v>7</v>
      </c>
      <c r="N52" s="305" t="s">
        <v>8</v>
      </c>
      <c r="O52" s="305" t="s">
        <v>5</v>
      </c>
      <c r="P52" s="133">
        <v>13</v>
      </c>
      <c r="Q52" s="133">
        <v>57</v>
      </c>
      <c r="U52" s="305" t="s">
        <v>4</v>
      </c>
    </row>
    <row r="53" spans="1:21" x14ac:dyDescent="0.25">
      <c r="A53" s="305" t="s">
        <v>480</v>
      </c>
      <c r="B53" s="305" t="s">
        <v>102</v>
      </c>
      <c r="G53" s="305" t="s">
        <v>12</v>
      </c>
      <c r="H53" s="305" t="s">
        <v>389</v>
      </c>
      <c r="I53" s="305" t="s">
        <v>1740</v>
      </c>
      <c r="J53" s="305" t="s">
        <v>1219</v>
      </c>
      <c r="K53" s="133">
        <v>223</v>
      </c>
      <c r="M53" s="305" t="s">
        <v>13</v>
      </c>
      <c r="N53" s="305" t="s">
        <v>14</v>
      </c>
      <c r="O53" s="305" t="s">
        <v>5</v>
      </c>
      <c r="P53" s="133">
        <v>42</v>
      </c>
      <c r="Q53" s="133">
        <v>234</v>
      </c>
      <c r="U53" s="305" t="s">
        <v>7</v>
      </c>
    </row>
    <row r="54" spans="1:21" x14ac:dyDescent="0.25">
      <c r="A54" s="305" t="s">
        <v>480</v>
      </c>
      <c r="B54" s="305" t="s">
        <v>106</v>
      </c>
      <c r="G54" s="305" t="s">
        <v>12</v>
      </c>
      <c r="H54" s="305" t="s">
        <v>391</v>
      </c>
      <c r="I54" s="305" t="s">
        <v>775</v>
      </c>
      <c r="J54" s="305" t="s">
        <v>1219</v>
      </c>
      <c r="K54" s="133"/>
      <c r="M54" s="305" t="s">
        <v>25</v>
      </c>
      <c r="N54" s="305" t="s">
        <v>26</v>
      </c>
      <c r="O54" s="305" t="s">
        <v>5</v>
      </c>
      <c r="P54" s="133">
        <v>13</v>
      </c>
      <c r="Q54" s="133">
        <v>63</v>
      </c>
      <c r="U54" s="305" t="s">
        <v>13</v>
      </c>
    </row>
    <row r="55" spans="1:21" x14ac:dyDescent="0.25">
      <c r="A55" s="305" t="s">
        <v>480</v>
      </c>
      <c r="B55" s="305" t="s">
        <v>116</v>
      </c>
      <c r="G55" s="305" t="s">
        <v>169</v>
      </c>
      <c r="H55" s="305" t="s">
        <v>168</v>
      </c>
      <c r="I55" s="305" t="s">
        <v>775</v>
      </c>
      <c r="J55" s="305" t="s">
        <v>1219</v>
      </c>
      <c r="K55" s="133"/>
      <c r="M55" s="305" t="s">
        <v>19</v>
      </c>
      <c r="N55" s="305" t="s">
        <v>20</v>
      </c>
      <c r="O55" s="305" t="s">
        <v>5</v>
      </c>
      <c r="P55" s="133">
        <v>17</v>
      </c>
      <c r="Q55" s="133">
        <v>76</v>
      </c>
      <c r="U55" s="305" t="s">
        <v>25</v>
      </c>
    </row>
    <row r="56" spans="1:21" x14ac:dyDescent="0.25">
      <c r="A56" s="305" t="s">
        <v>480</v>
      </c>
      <c r="B56" s="305" t="s">
        <v>130</v>
      </c>
      <c r="G56" s="305" t="s">
        <v>716</v>
      </c>
      <c r="H56" s="305" t="s">
        <v>1242</v>
      </c>
      <c r="I56" s="305" t="s">
        <v>1740</v>
      </c>
      <c r="J56" s="305" t="s">
        <v>1219</v>
      </c>
      <c r="K56" s="133">
        <v>153</v>
      </c>
      <c r="M56" s="305" t="s">
        <v>23</v>
      </c>
      <c r="N56" s="305" t="s">
        <v>24</v>
      </c>
      <c r="O56" s="305" t="s">
        <v>5</v>
      </c>
      <c r="P56" s="133">
        <v>20</v>
      </c>
      <c r="Q56" s="133">
        <v>95</v>
      </c>
      <c r="U56" s="305" t="s">
        <v>19</v>
      </c>
    </row>
    <row r="57" spans="1:21" x14ac:dyDescent="0.25">
      <c r="A57" s="305" t="s">
        <v>480</v>
      </c>
      <c r="B57" s="305" t="s">
        <v>138</v>
      </c>
      <c r="G57" s="305" t="s">
        <v>231</v>
      </c>
      <c r="H57" s="305" t="s">
        <v>386</v>
      </c>
      <c r="I57" s="305" t="s">
        <v>775</v>
      </c>
      <c r="J57" s="305" t="s">
        <v>1219</v>
      </c>
      <c r="K57" s="133">
        <v>32</v>
      </c>
      <c r="M57" s="305" t="s">
        <v>208</v>
      </c>
      <c r="N57" s="305" t="s">
        <v>209</v>
      </c>
      <c r="O57" s="305" t="s">
        <v>185</v>
      </c>
      <c r="P57" s="133">
        <v>427</v>
      </c>
      <c r="Q57" s="133">
        <v>2054</v>
      </c>
      <c r="U57" s="305" t="s">
        <v>23</v>
      </c>
    </row>
    <row r="58" spans="1:21" x14ac:dyDescent="0.25">
      <c r="A58" s="305" t="s">
        <v>480</v>
      </c>
      <c r="B58" s="305" t="s">
        <v>136</v>
      </c>
      <c r="G58" s="305" t="s">
        <v>914</v>
      </c>
      <c r="H58" s="305" t="s">
        <v>915</v>
      </c>
      <c r="I58" s="305" t="s">
        <v>1740</v>
      </c>
      <c r="J58" s="73">
        <v>41122</v>
      </c>
      <c r="K58" s="133">
        <v>107</v>
      </c>
      <c r="M58" s="305" t="s">
        <v>210</v>
      </c>
      <c r="N58" s="305" t="s">
        <v>211</v>
      </c>
      <c r="O58" s="305" t="s">
        <v>185</v>
      </c>
      <c r="P58" s="133"/>
      <c r="Q58" s="133"/>
      <c r="U58" s="305" t="s">
        <v>208</v>
      </c>
    </row>
    <row r="59" spans="1:21" x14ac:dyDescent="0.25">
      <c r="A59" s="305" t="s">
        <v>480</v>
      </c>
      <c r="B59" s="305" t="s">
        <v>68</v>
      </c>
      <c r="G59" s="305" t="s">
        <v>362</v>
      </c>
      <c r="H59" s="305" t="s">
        <v>29</v>
      </c>
      <c r="I59" s="305" t="s">
        <v>1740</v>
      </c>
      <c r="J59" s="73">
        <v>41030</v>
      </c>
      <c r="K59" s="133">
        <v>163</v>
      </c>
      <c r="M59" s="305" t="s">
        <v>206</v>
      </c>
      <c r="N59" s="305" t="s">
        <v>207</v>
      </c>
      <c r="O59" s="305" t="s">
        <v>185</v>
      </c>
      <c r="P59" s="133"/>
      <c r="Q59" s="133"/>
      <c r="U59" s="305" t="s">
        <v>210</v>
      </c>
    </row>
    <row r="60" spans="1:21" x14ac:dyDescent="0.25">
      <c r="A60" s="305" t="s">
        <v>480</v>
      </c>
      <c r="B60" s="305" t="s">
        <v>84</v>
      </c>
      <c r="G60" s="305" t="s">
        <v>194</v>
      </c>
      <c r="H60" s="305" t="s">
        <v>193</v>
      </c>
      <c r="I60" s="305" t="s">
        <v>1740</v>
      </c>
      <c r="J60" s="73">
        <v>40695</v>
      </c>
      <c r="K60" s="133">
        <v>719</v>
      </c>
      <c r="M60" s="305" t="s">
        <v>216</v>
      </c>
      <c r="N60" s="305" t="s">
        <v>217</v>
      </c>
      <c r="O60" s="305" t="s">
        <v>185</v>
      </c>
      <c r="P60" s="133"/>
      <c r="Q60" s="133"/>
      <c r="U60" s="305" t="s">
        <v>206</v>
      </c>
    </row>
    <row r="61" spans="1:21" x14ac:dyDescent="0.25">
      <c r="A61" s="305" t="s">
        <v>480</v>
      </c>
      <c r="B61" s="305" t="s">
        <v>86</v>
      </c>
      <c r="G61" s="305" t="s">
        <v>14</v>
      </c>
      <c r="H61" s="305" t="s">
        <v>13</v>
      </c>
      <c r="I61" s="305" t="s">
        <v>1740</v>
      </c>
      <c r="J61" s="73">
        <v>40878</v>
      </c>
      <c r="K61" s="133">
        <v>42</v>
      </c>
      <c r="M61" s="305" t="s">
        <v>226</v>
      </c>
      <c r="N61" s="305" t="s">
        <v>227</v>
      </c>
      <c r="O61" s="305" t="s">
        <v>185</v>
      </c>
      <c r="P61" s="133"/>
      <c r="Q61" s="133"/>
      <c r="U61" s="305" t="s">
        <v>216</v>
      </c>
    </row>
    <row r="62" spans="1:21" x14ac:dyDescent="0.25">
      <c r="A62" s="305" t="s">
        <v>480</v>
      </c>
      <c r="B62" s="305" t="s">
        <v>100</v>
      </c>
      <c r="G62" s="305" t="s">
        <v>1931</v>
      </c>
      <c r="H62" s="305" t="s">
        <v>1927</v>
      </c>
      <c r="I62" s="305" t="s">
        <v>1740</v>
      </c>
      <c r="J62" s="305" t="s">
        <v>1930</v>
      </c>
      <c r="K62" s="133">
        <v>32</v>
      </c>
      <c r="M62" s="305" t="s">
        <v>212</v>
      </c>
      <c r="N62" s="305" t="s">
        <v>213</v>
      </c>
      <c r="O62" s="305" t="s">
        <v>185</v>
      </c>
      <c r="P62" s="133">
        <v>47</v>
      </c>
      <c r="Q62" s="133">
        <v>153</v>
      </c>
      <c r="U62" s="305" t="s">
        <v>226</v>
      </c>
    </row>
    <row r="63" spans="1:21" x14ac:dyDescent="0.25">
      <c r="A63" s="305" t="s">
        <v>480</v>
      </c>
      <c r="B63" s="305" t="s">
        <v>104</v>
      </c>
      <c r="G63" s="305" t="s">
        <v>751</v>
      </c>
      <c r="H63" s="305" t="s">
        <v>752</v>
      </c>
      <c r="I63" s="305" t="s">
        <v>1740</v>
      </c>
      <c r="J63" s="305" t="s">
        <v>1219</v>
      </c>
      <c r="K63" s="133"/>
      <c r="M63" s="305" t="s">
        <v>201</v>
      </c>
      <c r="N63" s="305" t="s">
        <v>202</v>
      </c>
      <c r="O63" s="305" t="s">
        <v>185</v>
      </c>
      <c r="P63" s="133">
        <v>304</v>
      </c>
      <c r="Q63" s="133">
        <v>1389</v>
      </c>
      <c r="U63" s="305" t="s">
        <v>212</v>
      </c>
    </row>
    <row r="64" spans="1:21" x14ac:dyDescent="0.25">
      <c r="A64" s="305" t="s">
        <v>480</v>
      </c>
      <c r="B64" s="305" t="s">
        <v>98</v>
      </c>
      <c r="G64" s="305" t="s">
        <v>810</v>
      </c>
      <c r="H64" s="305" t="s">
        <v>809</v>
      </c>
      <c r="I64" s="305" t="s">
        <v>775</v>
      </c>
      <c r="J64" s="305" t="s">
        <v>1219</v>
      </c>
      <c r="K64" s="133">
        <v>0</v>
      </c>
      <c r="M64" s="305" t="s">
        <v>203</v>
      </c>
      <c r="N64" s="305" t="s">
        <v>204</v>
      </c>
      <c r="O64" s="305" t="s">
        <v>185</v>
      </c>
      <c r="P64" s="133"/>
      <c r="Q64" s="133"/>
      <c r="U64" s="305" t="s">
        <v>201</v>
      </c>
    </row>
    <row r="65" spans="1:21" x14ac:dyDescent="0.25">
      <c r="A65" s="305" t="s">
        <v>480</v>
      </c>
      <c r="B65" s="305" t="s">
        <v>142</v>
      </c>
      <c r="G65" s="305" t="s">
        <v>891</v>
      </c>
      <c r="H65" s="305" t="s">
        <v>892</v>
      </c>
      <c r="I65" s="305" t="s">
        <v>1740</v>
      </c>
      <c r="J65" s="73">
        <v>41487</v>
      </c>
      <c r="K65" s="133">
        <v>10</v>
      </c>
      <c r="M65" s="305" t="s">
        <v>199</v>
      </c>
      <c r="N65" s="305" t="s">
        <v>200</v>
      </c>
      <c r="O65" s="305" t="s">
        <v>185</v>
      </c>
      <c r="P65" s="133"/>
      <c r="Q65" s="133"/>
      <c r="U65" s="305" t="s">
        <v>203</v>
      </c>
    </row>
    <row r="66" spans="1:21" x14ac:dyDescent="0.25">
      <c r="A66" s="305" t="s">
        <v>480</v>
      </c>
      <c r="B66" s="305" t="s">
        <v>551</v>
      </c>
      <c r="G66" s="305" t="s">
        <v>252</v>
      </c>
      <c r="H66" s="305" t="s">
        <v>251</v>
      </c>
      <c r="I66" s="305" t="s">
        <v>1740</v>
      </c>
      <c r="J66" s="73">
        <v>40725</v>
      </c>
      <c r="K66" s="133">
        <v>199</v>
      </c>
      <c r="M66" s="305" t="s">
        <v>220</v>
      </c>
      <c r="N66" s="305" t="s">
        <v>221</v>
      </c>
      <c r="O66" s="305" t="s">
        <v>185</v>
      </c>
      <c r="P66" s="133"/>
      <c r="Q66" s="133"/>
      <c r="U66" s="305" t="s">
        <v>199</v>
      </c>
    </row>
    <row r="67" spans="1:21" x14ac:dyDescent="0.25">
      <c r="A67" s="305" t="s">
        <v>480</v>
      </c>
      <c r="B67" s="305" t="s">
        <v>108</v>
      </c>
      <c r="G67" s="305" t="s">
        <v>254</v>
      </c>
      <c r="H67" s="305" t="s">
        <v>253</v>
      </c>
      <c r="I67" s="305" t="s">
        <v>1740</v>
      </c>
      <c r="J67" s="73">
        <v>40725</v>
      </c>
      <c r="K67" s="133">
        <v>117</v>
      </c>
      <c r="M67" s="305" t="s">
        <v>150</v>
      </c>
      <c r="N67" s="305" t="s">
        <v>152</v>
      </c>
      <c r="O67" s="305" t="s">
        <v>151</v>
      </c>
      <c r="P67" s="133">
        <v>189</v>
      </c>
      <c r="Q67" s="133">
        <v>834</v>
      </c>
      <c r="U67" s="305" t="s">
        <v>220</v>
      </c>
    </row>
    <row r="68" spans="1:21" x14ac:dyDescent="0.25">
      <c r="A68" s="305" t="s">
        <v>480</v>
      </c>
      <c r="B68" s="305" t="s">
        <v>110</v>
      </c>
      <c r="G68" s="305" t="s">
        <v>1765</v>
      </c>
      <c r="H68" s="305" t="s">
        <v>1690</v>
      </c>
      <c r="I68" s="305" t="s">
        <v>1740</v>
      </c>
      <c r="J68" s="73">
        <v>43312</v>
      </c>
      <c r="K68" s="133">
        <v>143</v>
      </c>
      <c r="M68" s="305" t="s">
        <v>304</v>
      </c>
      <c r="N68" s="305" t="s">
        <v>305</v>
      </c>
      <c r="O68" s="305" t="s">
        <v>301</v>
      </c>
      <c r="P68" s="133">
        <v>47</v>
      </c>
      <c r="Q68" s="133">
        <v>345</v>
      </c>
      <c r="U68" s="305" t="s">
        <v>150</v>
      </c>
    </row>
    <row r="69" spans="1:21" x14ac:dyDescent="0.25">
      <c r="A69" s="305" t="s">
        <v>480</v>
      </c>
      <c r="B69" s="305" t="s">
        <v>112</v>
      </c>
      <c r="G69" s="305" t="s">
        <v>196</v>
      </c>
      <c r="H69" s="305" t="s">
        <v>195</v>
      </c>
      <c r="I69" s="305" t="s">
        <v>1740</v>
      </c>
      <c r="J69" s="73">
        <v>41061</v>
      </c>
      <c r="K69" s="133">
        <v>1492</v>
      </c>
      <c r="M69" s="305" t="s">
        <v>306</v>
      </c>
      <c r="N69" s="305" t="s">
        <v>307</v>
      </c>
      <c r="O69" s="305" t="s">
        <v>301</v>
      </c>
      <c r="P69" s="133">
        <v>47</v>
      </c>
      <c r="Q69" s="133">
        <v>197</v>
      </c>
      <c r="U69" s="305" t="s">
        <v>304</v>
      </c>
    </row>
    <row r="70" spans="1:21" x14ac:dyDescent="0.25">
      <c r="A70" s="305" t="s">
        <v>480</v>
      </c>
      <c r="B70" s="305" t="s">
        <v>114</v>
      </c>
      <c r="G70" s="305" t="s">
        <v>1198</v>
      </c>
      <c r="H70" s="305" t="s">
        <v>1176</v>
      </c>
      <c r="I70" s="305" t="s">
        <v>775</v>
      </c>
      <c r="J70" s="305" t="s">
        <v>1219</v>
      </c>
      <c r="K70" s="133"/>
      <c r="M70" s="305" t="s">
        <v>222</v>
      </c>
      <c r="N70" s="305" t="s">
        <v>223</v>
      </c>
      <c r="O70" s="305" t="s">
        <v>185</v>
      </c>
      <c r="P70" s="133">
        <v>129</v>
      </c>
      <c r="Q70" s="133">
        <v>643</v>
      </c>
      <c r="U70" s="305" t="s">
        <v>306</v>
      </c>
    </row>
    <row r="71" spans="1:21" x14ac:dyDescent="0.25">
      <c r="A71" s="305" t="s">
        <v>480</v>
      </c>
      <c r="B71" s="305" t="s">
        <v>118</v>
      </c>
      <c r="G71" s="305" t="s">
        <v>1512</v>
      </c>
      <c r="H71" s="305" t="s">
        <v>1543</v>
      </c>
      <c r="I71" s="305" t="s">
        <v>1740</v>
      </c>
      <c r="J71" s="73">
        <v>42929</v>
      </c>
      <c r="K71" s="133">
        <v>14</v>
      </c>
      <c r="M71" s="305" t="s">
        <v>189</v>
      </c>
      <c r="N71" s="305" t="s">
        <v>190</v>
      </c>
      <c r="O71" s="305" t="s">
        <v>185</v>
      </c>
      <c r="P71" s="133">
        <v>204</v>
      </c>
      <c r="Q71" s="133">
        <v>1146</v>
      </c>
      <c r="U71" s="305" t="s">
        <v>222</v>
      </c>
    </row>
    <row r="72" spans="1:21" x14ac:dyDescent="0.25">
      <c r="A72" s="305" t="s">
        <v>480</v>
      </c>
      <c r="B72" s="305" t="s">
        <v>122</v>
      </c>
      <c r="G72" s="305" t="s">
        <v>1208</v>
      </c>
      <c r="H72" s="305" t="s">
        <v>1175</v>
      </c>
      <c r="I72" s="305" t="s">
        <v>775</v>
      </c>
      <c r="J72" s="305" t="s">
        <v>1219</v>
      </c>
      <c r="K72" s="133"/>
      <c r="M72" s="305" t="s">
        <v>184</v>
      </c>
      <c r="N72" s="305" t="s">
        <v>186</v>
      </c>
      <c r="O72" s="305" t="s">
        <v>185</v>
      </c>
      <c r="P72" s="133">
        <v>41</v>
      </c>
      <c r="Q72" s="133">
        <v>241</v>
      </c>
      <c r="U72" s="305" t="s">
        <v>189</v>
      </c>
    </row>
    <row r="73" spans="1:21" x14ac:dyDescent="0.25">
      <c r="A73" s="305" t="s">
        <v>480</v>
      </c>
      <c r="B73" s="305" t="s">
        <v>124</v>
      </c>
      <c r="G73" s="305" t="s">
        <v>16</v>
      </c>
      <c r="H73" s="305" t="s">
        <v>15</v>
      </c>
      <c r="I73" s="305" t="s">
        <v>775</v>
      </c>
      <c r="J73" s="305" t="s">
        <v>1219</v>
      </c>
      <c r="K73" s="133"/>
      <c r="M73" s="305" t="s">
        <v>228</v>
      </c>
      <c r="N73" s="305" t="s">
        <v>229</v>
      </c>
      <c r="O73" s="305" t="s">
        <v>185</v>
      </c>
      <c r="P73" s="133">
        <v>48</v>
      </c>
      <c r="Q73" s="133">
        <v>294</v>
      </c>
      <c r="U73" s="305" t="s">
        <v>184</v>
      </c>
    </row>
    <row r="74" spans="1:21" x14ac:dyDescent="0.25">
      <c r="A74" s="305" t="s">
        <v>480</v>
      </c>
      <c r="B74" s="305" t="s">
        <v>96</v>
      </c>
      <c r="G74" s="305" t="s">
        <v>1703</v>
      </c>
      <c r="H74" s="305" t="s">
        <v>1695</v>
      </c>
      <c r="I74" s="305" t="s">
        <v>1740</v>
      </c>
      <c r="J74" s="305" t="s">
        <v>1219</v>
      </c>
      <c r="K74" s="133">
        <v>16</v>
      </c>
      <c r="M74" s="305" t="s">
        <v>224</v>
      </c>
      <c r="N74" s="305" t="s">
        <v>225</v>
      </c>
      <c r="O74" s="305" t="s">
        <v>185</v>
      </c>
      <c r="P74" s="133">
        <v>43</v>
      </c>
      <c r="Q74" s="133">
        <v>269</v>
      </c>
      <c r="U74" s="305" t="s">
        <v>228</v>
      </c>
    </row>
    <row r="75" spans="1:21" x14ac:dyDescent="0.25">
      <c r="A75" s="305" t="s">
        <v>480</v>
      </c>
      <c r="B75" s="305" t="s">
        <v>132</v>
      </c>
      <c r="G75" s="305" t="s">
        <v>1197</v>
      </c>
      <c r="H75" s="305" t="s">
        <v>1173</v>
      </c>
      <c r="I75" s="305" t="s">
        <v>775</v>
      </c>
      <c r="J75" s="305" t="s">
        <v>1219</v>
      </c>
      <c r="K75" s="133"/>
      <c r="M75" s="305" t="s">
        <v>143</v>
      </c>
      <c r="N75" s="305" t="s">
        <v>145</v>
      </c>
      <c r="O75" s="305" t="s">
        <v>144</v>
      </c>
      <c r="P75" s="133"/>
      <c r="Q75" s="133"/>
      <c r="U75" s="305" t="s">
        <v>224</v>
      </c>
    </row>
    <row r="76" spans="1:21" x14ac:dyDescent="0.25">
      <c r="A76" s="305" t="s">
        <v>480</v>
      </c>
      <c r="B76" s="305" t="s">
        <v>134</v>
      </c>
      <c r="G76" s="305" t="s">
        <v>474</v>
      </c>
      <c r="H76" s="305" t="s">
        <v>475</v>
      </c>
      <c r="I76" s="305" t="s">
        <v>1740</v>
      </c>
      <c r="J76" s="305" t="s">
        <v>1219</v>
      </c>
      <c r="K76" s="133">
        <v>3</v>
      </c>
      <c r="M76" s="305" t="s">
        <v>298</v>
      </c>
      <c r="N76" s="305" t="s">
        <v>300</v>
      </c>
      <c r="O76" s="305" t="s">
        <v>299</v>
      </c>
      <c r="P76" s="133">
        <v>14</v>
      </c>
      <c r="Q76" s="133">
        <v>75</v>
      </c>
      <c r="U76" s="305" t="s">
        <v>143</v>
      </c>
    </row>
    <row r="77" spans="1:21" x14ac:dyDescent="0.25">
      <c r="A77" s="305" t="s">
        <v>480</v>
      </c>
      <c r="B77" s="305" t="s">
        <v>64</v>
      </c>
      <c r="G77" s="305" t="s">
        <v>370</v>
      </c>
      <c r="H77" s="305" t="s">
        <v>380</v>
      </c>
      <c r="I77" s="305" t="s">
        <v>775</v>
      </c>
      <c r="J77" s="73">
        <v>41275</v>
      </c>
      <c r="K77" s="133"/>
      <c r="M77" s="305" t="s">
        <v>175</v>
      </c>
      <c r="N77" s="305" t="s">
        <v>1486</v>
      </c>
      <c r="O77" s="305" t="s">
        <v>173</v>
      </c>
      <c r="P77" s="133">
        <v>15</v>
      </c>
      <c r="Q77" s="133">
        <v>75</v>
      </c>
      <c r="U77" s="305" t="s">
        <v>298</v>
      </c>
    </row>
    <row r="78" spans="1:21" x14ac:dyDescent="0.25">
      <c r="A78" s="305" t="s">
        <v>480</v>
      </c>
      <c r="B78" s="305" t="s">
        <v>126</v>
      </c>
      <c r="G78" s="305" t="s">
        <v>955</v>
      </c>
      <c r="H78" s="305" t="s">
        <v>956</v>
      </c>
      <c r="I78" s="305" t="s">
        <v>775</v>
      </c>
      <c r="J78" s="73">
        <v>42019</v>
      </c>
      <c r="K78" s="133"/>
      <c r="M78" s="305" t="s">
        <v>172</v>
      </c>
      <c r="N78" s="305" t="s">
        <v>174</v>
      </c>
      <c r="O78" s="305" t="s">
        <v>173</v>
      </c>
      <c r="P78" s="133">
        <v>13</v>
      </c>
      <c r="Q78" s="133">
        <v>71</v>
      </c>
      <c r="U78" s="305" t="s">
        <v>175</v>
      </c>
    </row>
    <row r="79" spans="1:21" x14ac:dyDescent="0.25">
      <c r="A79" s="305" t="s">
        <v>480</v>
      </c>
      <c r="B79" s="305" t="s">
        <v>74</v>
      </c>
      <c r="G79" s="305" t="s">
        <v>367</v>
      </c>
      <c r="H79" s="305" t="s">
        <v>381</v>
      </c>
      <c r="I79" s="305" t="s">
        <v>1740</v>
      </c>
      <c r="J79" s="73">
        <v>41244</v>
      </c>
      <c r="K79" s="133">
        <v>53</v>
      </c>
      <c r="M79" s="305" t="s">
        <v>177</v>
      </c>
      <c r="N79" s="305" t="s">
        <v>178</v>
      </c>
      <c r="O79" s="305" t="s">
        <v>173</v>
      </c>
      <c r="P79" s="133">
        <v>10</v>
      </c>
      <c r="Q79" s="133">
        <v>42</v>
      </c>
      <c r="U79" s="305" t="s">
        <v>172</v>
      </c>
    </row>
    <row r="80" spans="1:21" x14ac:dyDescent="0.25">
      <c r="A80" s="305" t="s">
        <v>480</v>
      </c>
      <c r="B80" s="305" t="s">
        <v>140</v>
      </c>
      <c r="G80" s="305" t="s">
        <v>1231</v>
      </c>
      <c r="H80" s="305" t="s">
        <v>1230</v>
      </c>
      <c r="I80" s="305" t="s">
        <v>1740</v>
      </c>
      <c r="J80" s="73">
        <v>42724</v>
      </c>
      <c r="K80" s="133">
        <v>37</v>
      </c>
      <c r="M80" s="305" t="s">
        <v>179</v>
      </c>
      <c r="N80" s="305" t="s">
        <v>181</v>
      </c>
      <c r="O80" s="305" t="s">
        <v>180</v>
      </c>
      <c r="P80" s="133">
        <v>11</v>
      </c>
      <c r="Q80" s="133">
        <v>55</v>
      </c>
      <c r="U80" s="305" t="s">
        <v>177</v>
      </c>
    </row>
    <row r="81" spans="1:21" x14ac:dyDescent="0.25">
      <c r="A81" s="305" t="s">
        <v>480</v>
      </c>
      <c r="B81" s="305" t="s">
        <v>467</v>
      </c>
      <c r="G81" s="305" t="s">
        <v>368</v>
      </c>
      <c r="H81" s="305" t="s">
        <v>382</v>
      </c>
      <c r="I81" s="305" t="s">
        <v>1740</v>
      </c>
      <c r="J81" s="73">
        <v>41244</v>
      </c>
      <c r="K81" s="133">
        <v>28</v>
      </c>
      <c r="M81" s="305" t="s">
        <v>182</v>
      </c>
      <c r="N81" s="305" t="s">
        <v>183</v>
      </c>
      <c r="O81" s="305" t="s">
        <v>180</v>
      </c>
      <c r="P81" s="133">
        <v>0</v>
      </c>
      <c r="Q81" s="133">
        <v>0</v>
      </c>
      <c r="U81" s="305" t="s">
        <v>179</v>
      </c>
    </row>
    <row r="82" spans="1:21" x14ac:dyDescent="0.25">
      <c r="A82" s="305" t="s">
        <v>480</v>
      </c>
      <c r="B82" s="305" t="s">
        <v>914</v>
      </c>
      <c r="G82" s="305" t="s">
        <v>1275</v>
      </c>
      <c r="H82" s="305" t="s">
        <v>1274</v>
      </c>
      <c r="I82" s="305" t="s">
        <v>1740</v>
      </c>
      <c r="J82" s="73">
        <v>42781</v>
      </c>
      <c r="K82" s="133">
        <v>61</v>
      </c>
      <c r="M82" s="305" t="s">
        <v>109</v>
      </c>
      <c r="N82" s="305" t="s">
        <v>110</v>
      </c>
      <c r="O82" s="305" t="s">
        <v>480</v>
      </c>
      <c r="P82" s="133">
        <v>0</v>
      </c>
      <c r="Q82" s="133">
        <v>0</v>
      </c>
      <c r="U82" s="305" t="s">
        <v>182</v>
      </c>
    </row>
    <row r="83" spans="1:21" x14ac:dyDescent="0.25">
      <c r="A83" s="305" t="s">
        <v>480</v>
      </c>
      <c r="B83" s="305" t="s">
        <v>955</v>
      </c>
      <c r="G83" s="305" t="s">
        <v>256</v>
      </c>
      <c r="H83" s="305" t="s">
        <v>255</v>
      </c>
      <c r="I83" s="305" t="s">
        <v>1740</v>
      </c>
      <c r="J83" s="73">
        <v>40909</v>
      </c>
      <c r="K83" s="133">
        <v>46</v>
      </c>
      <c r="M83" s="305" t="s">
        <v>111</v>
      </c>
      <c r="N83" s="305" t="s">
        <v>112</v>
      </c>
      <c r="O83" s="305" t="s">
        <v>480</v>
      </c>
      <c r="P83" s="133">
        <v>0</v>
      </c>
      <c r="Q83" s="133">
        <v>0</v>
      </c>
      <c r="U83" s="305" t="s">
        <v>109</v>
      </c>
    </row>
    <row r="84" spans="1:21" x14ac:dyDescent="0.25">
      <c r="A84" s="305" t="s">
        <v>480</v>
      </c>
      <c r="B84" s="305" t="s">
        <v>1132</v>
      </c>
      <c r="G84" s="305" t="s">
        <v>174</v>
      </c>
      <c r="H84" s="305" t="s">
        <v>172</v>
      </c>
      <c r="I84" s="305" t="s">
        <v>1740</v>
      </c>
      <c r="J84" s="73">
        <v>41030</v>
      </c>
      <c r="K84" s="133">
        <v>13</v>
      </c>
      <c r="M84" s="305" t="s">
        <v>85</v>
      </c>
      <c r="N84" s="305" t="s">
        <v>86</v>
      </c>
      <c r="O84" s="305" t="s">
        <v>480</v>
      </c>
      <c r="P84" s="133">
        <v>0</v>
      </c>
      <c r="Q84" s="133">
        <v>0</v>
      </c>
      <c r="U84" s="305" t="s">
        <v>111</v>
      </c>
    </row>
    <row r="85" spans="1:21" x14ac:dyDescent="0.25">
      <c r="A85" s="305" t="s">
        <v>480</v>
      </c>
      <c r="B85" s="305" t="s">
        <v>1153</v>
      </c>
      <c r="G85" s="305" t="s">
        <v>145</v>
      </c>
      <c r="H85" s="305" t="s">
        <v>143</v>
      </c>
      <c r="I85" s="305" t="s">
        <v>775</v>
      </c>
      <c r="J85" s="305" t="s">
        <v>1219</v>
      </c>
      <c r="K85" s="133"/>
      <c r="M85" s="305" t="s">
        <v>83</v>
      </c>
      <c r="N85" s="305" t="s">
        <v>84</v>
      </c>
      <c r="O85" s="305" t="s">
        <v>480</v>
      </c>
      <c r="P85" s="133">
        <v>0</v>
      </c>
      <c r="Q85" s="133">
        <v>0</v>
      </c>
      <c r="U85" s="305" t="s">
        <v>85</v>
      </c>
    </row>
    <row r="86" spans="1:21" x14ac:dyDescent="0.25">
      <c r="A86" s="305" t="s">
        <v>480</v>
      </c>
      <c r="B86" s="305" t="s">
        <v>1157</v>
      </c>
      <c r="G86" s="305" t="s">
        <v>469</v>
      </c>
      <c r="H86" s="305" t="s">
        <v>470</v>
      </c>
      <c r="I86" s="305" t="s">
        <v>775</v>
      </c>
      <c r="J86" s="73">
        <v>41365</v>
      </c>
      <c r="K86" s="133">
        <v>0</v>
      </c>
      <c r="M86" s="305" t="s">
        <v>69</v>
      </c>
      <c r="N86" s="305" t="s">
        <v>70</v>
      </c>
      <c r="O86" s="305" t="s">
        <v>480</v>
      </c>
      <c r="P86" s="133"/>
      <c r="Q86" s="133"/>
      <c r="U86" s="305" t="s">
        <v>83</v>
      </c>
    </row>
    <row r="87" spans="1:21" x14ac:dyDescent="0.25">
      <c r="A87" s="305" t="s">
        <v>480</v>
      </c>
      <c r="B87" s="305" t="s">
        <v>1154</v>
      </c>
      <c r="G87" s="305" t="s">
        <v>1034</v>
      </c>
      <c r="H87" s="305" t="s">
        <v>313</v>
      </c>
      <c r="I87" s="305" t="s">
        <v>775</v>
      </c>
      <c r="J87" s="73">
        <v>40695</v>
      </c>
      <c r="K87" s="133">
        <v>0</v>
      </c>
      <c r="M87" s="305" t="s">
        <v>103</v>
      </c>
      <c r="N87" s="305" t="s">
        <v>104</v>
      </c>
      <c r="O87" s="305" t="s">
        <v>480</v>
      </c>
      <c r="P87" s="133">
        <v>0</v>
      </c>
      <c r="Q87" s="133">
        <v>0</v>
      </c>
      <c r="U87" s="305" t="s">
        <v>69</v>
      </c>
    </row>
    <row r="88" spans="1:21" x14ac:dyDescent="0.25">
      <c r="A88" s="305" t="s">
        <v>480</v>
      </c>
      <c r="B88" s="305" t="s">
        <v>1156</v>
      </c>
      <c r="G88" s="305" t="s">
        <v>1662</v>
      </c>
      <c r="H88" s="305" t="s">
        <v>1650</v>
      </c>
      <c r="I88" s="305" t="s">
        <v>1740</v>
      </c>
      <c r="J88" s="73">
        <v>43212</v>
      </c>
      <c r="K88" s="133">
        <v>80</v>
      </c>
      <c r="M88" s="305" t="s">
        <v>67</v>
      </c>
      <c r="N88" s="305" t="s">
        <v>68</v>
      </c>
      <c r="O88" s="305" t="s">
        <v>480</v>
      </c>
      <c r="P88" s="133">
        <v>0</v>
      </c>
      <c r="Q88" s="133">
        <v>0</v>
      </c>
      <c r="U88" s="305" t="s">
        <v>103</v>
      </c>
    </row>
    <row r="89" spans="1:21" x14ac:dyDescent="0.25">
      <c r="A89" s="305" t="s">
        <v>480</v>
      </c>
      <c r="B89" s="305" t="s">
        <v>1155</v>
      </c>
      <c r="G89" s="305" t="s">
        <v>34</v>
      </c>
      <c r="H89" s="305" t="s">
        <v>33</v>
      </c>
      <c r="I89" s="305" t="s">
        <v>775</v>
      </c>
      <c r="J89" s="305" t="s">
        <v>1219</v>
      </c>
      <c r="K89" s="133"/>
      <c r="M89" s="305" t="s">
        <v>99</v>
      </c>
      <c r="N89" s="305" t="s">
        <v>100</v>
      </c>
      <c r="O89" s="305" t="s">
        <v>480</v>
      </c>
      <c r="P89" s="133">
        <v>3</v>
      </c>
      <c r="Q89" s="133">
        <v>15</v>
      </c>
      <c r="U89" s="305" t="s">
        <v>67</v>
      </c>
    </row>
    <row r="90" spans="1:21" x14ac:dyDescent="0.25">
      <c r="A90" s="305" t="s">
        <v>480</v>
      </c>
      <c r="B90" s="305" t="s">
        <v>1276</v>
      </c>
      <c r="G90" s="305" t="s">
        <v>198</v>
      </c>
      <c r="H90" s="305" t="s">
        <v>197</v>
      </c>
      <c r="I90" s="305" t="s">
        <v>1740</v>
      </c>
      <c r="J90" s="73">
        <v>40817</v>
      </c>
      <c r="K90" s="133">
        <v>535</v>
      </c>
      <c r="M90" s="305" t="s">
        <v>49</v>
      </c>
      <c r="N90" s="305" t="s">
        <v>50</v>
      </c>
      <c r="O90" s="305" t="s">
        <v>480</v>
      </c>
      <c r="P90" s="133"/>
      <c r="Q90" s="133"/>
      <c r="U90" s="305" t="s">
        <v>99</v>
      </c>
    </row>
    <row r="91" spans="1:21" x14ac:dyDescent="0.25">
      <c r="A91" s="305" t="s">
        <v>480</v>
      </c>
      <c r="B91" s="305" t="s">
        <v>1639</v>
      </c>
      <c r="G91" s="305" t="s">
        <v>1639</v>
      </c>
      <c r="H91" s="305" t="s">
        <v>1693</v>
      </c>
      <c r="I91" s="305" t="s">
        <v>1740</v>
      </c>
      <c r="J91" s="305" t="s">
        <v>1219</v>
      </c>
      <c r="K91" s="133">
        <v>42</v>
      </c>
      <c r="M91" s="305" t="s">
        <v>65</v>
      </c>
      <c r="N91" s="305" t="s">
        <v>66</v>
      </c>
      <c r="O91" s="305" t="s">
        <v>480</v>
      </c>
      <c r="P91" s="133">
        <v>0</v>
      </c>
      <c r="Q91" s="133">
        <v>0</v>
      </c>
      <c r="U91" s="305" t="s">
        <v>49</v>
      </c>
    </row>
    <row r="92" spans="1:21" x14ac:dyDescent="0.25">
      <c r="A92" s="305" t="s">
        <v>480</v>
      </c>
      <c r="B92" s="305" t="s">
        <v>1703</v>
      </c>
      <c r="G92" s="305" t="s">
        <v>303</v>
      </c>
      <c r="H92" s="305" t="s">
        <v>302</v>
      </c>
      <c r="I92" s="305" t="s">
        <v>1740</v>
      </c>
      <c r="J92" s="73">
        <v>41701</v>
      </c>
      <c r="K92" s="133">
        <v>375</v>
      </c>
      <c r="M92" s="305" t="s">
        <v>53</v>
      </c>
      <c r="N92" s="305" t="s">
        <v>54</v>
      </c>
      <c r="O92" s="305" t="s">
        <v>480</v>
      </c>
      <c r="P92" s="133">
        <v>0</v>
      </c>
      <c r="Q92" s="133">
        <v>0</v>
      </c>
      <c r="U92" s="305" t="s">
        <v>65</v>
      </c>
    </row>
    <row r="93" spans="1:21" x14ac:dyDescent="0.25">
      <c r="A93" s="305" t="s">
        <v>719</v>
      </c>
      <c r="B93" s="305" t="s">
        <v>535</v>
      </c>
      <c r="G93" s="305" t="s">
        <v>35</v>
      </c>
      <c r="H93" s="305" t="s">
        <v>360</v>
      </c>
      <c r="I93" s="305" t="s">
        <v>775</v>
      </c>
      <c r="J93" s="305" t="s">
        <v>1219</v>
      </c>
      <c r="K93" s="133">
        <v>0</v>
      </c>
      <c r="M93" s="305" t="s">
        <v>115</v>
      </c>
      <c r="N93" s="305" t="s">
        <v>116</v>
      </c>
      <c r="O93" s="305" t="s">
        <v>480</v>
      </c>
      <c r="P93" s="133">
        <v>0</v>
      </c>
      <c r="Q93" s="133">
        <v>0</v>
      </c>
      <c r="U93" s="305" t="s">
        <v>53</v>
      </c>
    </row>
    <row r="94" spans="1:21" x14ac:dyDescent="0.25">
      <c r="A94" s="305" t="s">
        <v>719</v>
      </c>
      <c r="B94" s="305" t="s">
        <v>1059</v>
      </c>
      <c r="G94" s="305" t="s">
        <v>1276</v>
      </c>
      <c r="H94" s="305" t="s">
        <v>1267</v>
      </c>
      <c r="I94" s="305" t="s">
        <v>1740</v>
      </c>
      <c r="J94" s="73">
        <v>42887</v>
      </c>
      <c r="K94" s="133">
        <v>123</v>
      </c>
      <c r="M94" s="305" t="s">
        <v>79</v>
      </c>
      <c r="N94" s="305" t="s">
        <v>80</v>
      </c>
      <c r="O94" s="305" t="s">
        <v>480</v>
      </c>
      <c r="P94" s="133">
        <v>0</v>
      </c>
      <c r="Q94" s="133">
        <v>0</v>
      </c>
      <c r="U94" s="305" t="s">
        <v>115</v>
      </c>
    </row>
    <row r="95" spans="1:21" x14ac:dyDescent="0.25">
      <c r="A95" s="305" t="s">
        <v>719</v>
      </c>
      <c r="B95" s="305" t="s">
        <v>1142</v>
      </c>
      <c r="G95" s="305" t="s">
        <v>240</v>
      </c>
      <c r="H95" s="305" t="s">
        <v>239</v>
      </c>
      <c r="I95" s="305" t="s">
        <v>1740</v>
      </c>
      <c r="J95" s="73">
        <v>40603</v>
      </c>
      <c r="K95" s="133">
        <v>107</v>
      </c>
      <c r="M95" s="305" t="s">
        <v>137</v>
      </c>
      <c r="N95" s="305" t="s">
        <v>138</v>
      </c>
      <c r="O95" s="305" t="s">
        <v>480</v>
      </c>
      <c r="P95" s="133">
        <v>0</v>
      </c>
      <c r="Q95" s="133">
        <v>0</v>
      </c>
      <c r="U95" s="305" t="s">
        <v>79</v>
      </c>
    </row>
    <row r="96" spans="1:21" x14ac:dyDescent="0.25">
      <c r="A96" s="305" t="s">
        <v>361</v>
      </c>
      <c r="B96" s="305" t="s">
        <v>35</v>
      </c>
      <c r="G96" s="305" t="s">
        <v>284</v>
      </c>
      <c r="H96" s="305" t="s">
        <v>283</v>
      </c>
      <c r="I96" s="305" t="s">
        <v>1740</v>
      </c>
      <c r="J96" s="73">
        <v>40695</v>
      </c>
      <c r="K96" s="133">
        <v>138</v>
      </c>
      <c r="M96" s="305" t="s">
        <v>101</v>
      </c>
      <c r="N96" s="305" t="s">
        <v>102</v>
      </c>
      <c r="O96" s="305" t="s">
        <v>480</v>
      </c>
      <c r="P96" s="133">
        <v>0</v>
      </c>
      <c r="Q96" s="133">
        <v>0</v>
      </c>
      <c r="U96" s="305" t="s">
        <v>137</v>
      </c>
    </row>
    <row r="97" spans="1:21" x14ac:dyDescent="0.25">
      <c r="A97" s="305" t="s">
        <v>144</v>
      </c>
      <c r="B97" s="305" t="s">
        <v>145</v>
      </c>
      <c r="G97" s="305" t="s">
        <v>363</v>
      </c>
      <c r="H97" s="305" t="s">
        <v>376</v>
      </c>
      <c r="I97" s="305" t="s">
        <v>1740</v>
      </c>
      <c r="J97" s="73">
        <v>40940</v>
      </c>
      <c r="K97" s="133">
        <v>205</v>
      </c>
      <c r="M97" s="305" t="s">
        <v>105</v>
      </c>
      <c r="N97" s="305" t="s">
        <v>106</v>
      </c>
      <c r="O97" s="305" t="s">
        <v>480</v>
      </c>
      <c r="P97" s="133">
        <v>0</v>
      </c>
      <c r="Q97" s="133">
        <v>0</v>
      </c>
      <c r="U97" s="305" t="s">
        <v>101</v>
      </c>
    </row>
    <row r="98" spans="1:21" x14ac:dyDescent="0.25">
      <c r="A98" s="305" t="s">
        <v>146</v>
      </c>
      <c r="B98" s="305" t="s">
        <v>837</v>
      </c>
      <c r="G98" s="305" t="s">
        <v>90</v>
      </c>
      <c r="H98" s="305" t="s">
        <v>89</v>
      </c>
      <c r="I98" s="305" t="s">
        <v>1740</v>
      </c>
      <c r="J98" s="73">
        <v>41275</v>
      </c>
      <c r="K98" s="133">
        <v>18</v>
      </c>
      <c r="M98" s="305" t="s">
        <v>129</v>
      </c>
      <c r="N98" s="305" t="s">
        <v>130</v>
      </c>
      <c r="O98" s="305" t="s">
        <v>480</v>
      </c>
      <c r="P98" s="133">
        <v>0</v>
      </c>
      <c r="Q98" s="133">
        <v>0</v>
      </c>
      <c r="U98" s="305" t="s">
        <v>105</v>
      </c>
    </row>
    <row r="99" spans="1:21" x14ac:dyDescent="0.25">
      <c r="A99" s="305" t="s">
        <v>146</v>
      </c>
      <c r="B99" s="305" t="s">
        <v>370</v>
      </c>
      <c r="G99" s="305" t="s">
        <v>92</v>
      </c>
      <c r="H99" s="305" t="s">
        <v>91</v>
      </c>
      <c r="I99" s="305" t="s">
        <v>1740</v>
      </c>
      <c r="J99" s="73">
        <v>41275</v>
      </c>
      <c r="K99" s="133">
        <v>11</v>
      </c>
      <c r="M99" s="305" t="s">
        <v>133</v>
      </c>
      <c r="N99" s="305" t="s">
        <v>134</v>
      </c>
      <c r="O99" s="305" t="s">
        <v>480</v>
      </c>
      <c r="P99" s="133"/>
      <c r="Q99" s="133"/>
      <c r="U99" s="305" t="s">
        <v>129</v>
      </c>
    </row>
    <row r="100" spans="1:21" x14ac:dyDescent="0.25">
      <c r="A100" s="305" t="s">
        <v>146</v>
      </c>
      <c r="B100" s="305" t="s">
        <v>367</v>
      </c>
      <c r="G100" s="305" t="s">
        <v>18</v>
      </c>
      <c r="H100" s="305" t="s">
        <v>17</v>
      </c>
      <c r="I100" s="305" t="s">
        <v>1740</v>
      </c>
      <c r="J100" s="73">
        <v>40695</v>
      </c>
      <c r="K100" s="133">
        <v>132</v>
      </c>
      <c r="M100" s="305" t="s">
        <v>113</v>
      </c>
      <c r="N100" s="305" t="s">
        <v>114</v>
      </c>
      <c r="O100" s="305" t="s">
        <v>480</v>
      </c>
      <c r="P100" s="133">
        <v>0</v>
      </c>
      <c r="Q100" s="133">
        <v>0</v>
      </c>
      <c r="U100" s="305" t="s">
        <v>133</v>
      </c>
    </row>
    <row r="101" spans="1:21" x14ac:dyDescent="0.25">
      <c r="A101" s="305" t="s">
        <v>146</v>
      </c>
      <c r="B101" s="305" t="s">
        <v>368</v>
      </c>
      <c r="G101" s="305" t="s">
        <v>1190</v>
      </c>
      <c r="H101" s="305" t="s">
        <v>1172</v>
      </c>
      <c r="I101" s="305" t="s">
        <v>1740</v>
      </c>
      <c r="J101" s="305" t="s">
        <v>1219</v>
      </c>
      <c r="K101" s="133">
        <v>41</v>
      </c>
      <c r="M101" s="305" t="s">
        <v>107</v>
      </c>
      <c r="N101" s="305" t="s">
        <v>108</v>
      </c>
      <c r="O101" s="305" t="s">
        <v>480</v>
      </c>
      <c r="P101" s="133">
        <v>50</v>
      </c>
      <c r="Q101" s="133">
        <v>237</v>
      </c>
      <c r="U101" s="305" t="s">
        <v>113</v>
      </c>
    </row>
    <row r="102" spans="1:21" x14ac:dyDescent="0.25">
      <c r="A102" s="305" t="s">
        <v>146</v>
      </c>
      <c r="B102" s="305" t="s">
        <v>369</v>
      </c>
      <c r="G102" s="305" t="s">
        <v>186</v>
      </c>
      <c r="H102" s="305" t="s">
        <v>184</v>
      </c>
      <c r="I102" s="305" t="s">
        <v>1740</v>
      </c>
      <c r="J102" s="73">
        <v>41030</v>
      </c>
      <c r="K102" s="133">
        <v>41</v>
      </c>
      <c r="M102" s="305" t="s">
        <v>95</v>
      </c>
      <c r="N102" s="305" t="s">
        <v>96</v>
      </c>
      <c r="O102" s="305" t="s">
        <v>480</v>
      </c>
      <c r="P102" s="133">
        <v>0</v>
      </c>
      <c r="Q102" s="133">
        <v>0</v>
      </c>
      <c r="U102" s="305" t="s">
        <v>107</v>
      </c>
    </row>
    <row r="103" spans="1:21" x14ac:dyDescent="0.25">
      <c r="A103" s="305" t="s">
        <v>146</v>
      </c>
      <c r="B103" s="305" t="s">
        <v>365</v>
      </c>
      <c r="G103" s="305" t="s">
        <v>223</v>
      </c>
      <c r="H103" s="305" t="s">
        <v>222</v>
      </c>
      <c r="I103" s="305" t="s">
        <v>1740</v>
      </c>
      <c r="J103" s="73">
        <v>40848</v>
      </c>
      <c r="K103" s="133">
        <v>129</v>
      </c>
      <c r="M103" s="305" t="s">
        <v>139</v>
      </c>
      <c r="N103" s="305" t="s">
        <v>140</v>
      </c>
      <c r="O103" s="305" t="s">
        <v>480</v>
      </c>
      <c r="P103" s="133">
        <v>16</v>
      </c>
      <c r="Q103" s="133">
        <v>68</v>
      </c>
      <c r="U103" s="305" t="s">
        <v>95</v>
      </c>
    </row>
    <row r="104" spans="1:21" x14ac:dyDescent="0.25">
      <c r="A104" s="305" t="s">
        <v>146</v>
      </c>
      <c r="B104" s="305" t="s">
        <v>149</v>
      </c>
      <c r="G104" s="305" t="s">
        <v>190</v>
      </c>
      <c r="H104" s="305" t="s">
        <v>189</v>
      </c>
      <c r="I104" s="305" t="s">
        <v>1740</v>
      </c>
      <c r="J104" s="73">
        <v>41000</v>
      </c>
      <c r="K104" s="133">
        <v>204</v>
      </c>
      <c r="M104" s="305" t="s">
        <v>135</v>
      </c>
      <c r="N104" s="305" t="s">
        <v>136</v>
      </c>
      <c r="O104" s="305" t="s">
        <v>480</v>
      </c>
      <c r="P104" s="133">
        <v>0</v>
      </c>
      <c r="Q104" s="133">
        <v>0</v>
      </c>
      <c r="U104" s="305" t="s">
        <v>139</v>
      </c>
    </row>
    <row r="105" spans="1:21" x14ac:dyDescent="0.25">
      <c r="A105" s="305" t="s">
        <v>146</v>
      </c>
      <c r="B105" s="305" t="s">
        <v>371</v>
      </c>
      <c r="G105" s="305" t="s">
        <v>158</v>
      </c>
      <c r="H105" s="305" t="s">
        <v>157</v>
      </c>
      <c r="I105" s="305" t="s">
        <v>775</v>
      </c>
      <c r="J105" s="73">
        <v>41122</v>
      </c>
      <c r="K105" s="133">
        <v>0</v>
      </c>
      <c r="M105" s="305" t="s">
        <v>93</v>
      </c>
      <c r="N105" s="305" t="s">
        <v>94</v>
      </c>
      <c r="O105" s="305" t="s">
        <v>480</v>
      </c>
      <c r="P105" s="133">
        <v>0</v>
      </c>
      <c r="Q105" s="133">
        <v>0</v>
      </c>
      <c r="U105" s="305" t="s">
        <v>135</v>
      </c>
    </row>
    <row r="106" spans="1:21" x14ac:dyDescent="0.25">
      <c r="A106" s="305" t="s">
        <v>146</v>
      </c>
      <c r="B106" s="305" t="s">
        <v>942</v>
      </c>
      <c r="G106" s="305" t="s">
        <v>1045</v>
      </c>
      <c r="H106" s="305" t="s">
        <v>1044</v>
      </c>
      <c r="I106" s="305" t="s">
        <v>1740</v>
      </c>
      <c r="J106" s="73">
        <v>42180</v>
      </c>
      <c r="K106" s="133">
        <v>61</v>
      </c>
      <c r="M106" s="305" t="s">
        <v>121</v>
      </c>
      <c r="N106" s="305" t="s">
        <v>122</v>
      </c>
      <c r="O106" s="305" t="s">
        <v>480</v>
      </c>
      <c r="P106" s="133">
        <v>0</v>
      </c>
      <c r="Q106" s="133">
        <v>0</v>
      </c>
      <c r="U106" s="305" t="s">
        <v>93</v>
      </c>
    </row>
    <row r="107" spans="1:21" x14ac:dyDescent="0.25">
      <c r="A107" s="305" t="s">
        <v>146</v>
      </c>
      <c r="B107" s="305" t="s">
        <v>1081</v>
      </c>
      <c r="G107" s="305" t="s">
        <v>1486</v>
      </c>
      <c r="H107" s="305" t="s">
        <v>175</v>
      </c>
      <c r="I107" s="305" t="s">
        <v>1740</v>
      </c>
      <c r="J107" s="73">
        <v>41030</v>
      </c>
      <c r="K107" s="133">
        <v>15</v>
      </c>
      <c r="M107" s="305" t="s">
        <v>71</v>
      </c>
      <c r="N107" s="305" t="s">
        <v>72</v>
      </c>
      <c r="O107" s="305" t="s">
        <v>480</v>
      </c>
      <c r="P107" s="133">
        <v>6</v>
      </c>
      <c r="Q107" s="133">
        <v>31</v>
      </c>
      <c r="U107" s="305" t="s">
        <v>121</v>
      </c>
    </row>
    <row r="108" spans="1:21" x14ac:dyDescent="0.25">
      <c r="A108" s="305" t="s">
        <v>146</v>
      </c>
      <c r="B108" s="305" t="s">
        <v>1145</v>
      </c>
      <c r="G108" s="305" t="s">
        <v>1053</v>
      </c>
      <c r="H108" s="305" t="s">
        <v>1056</v>
      </c>
      <c r="I108" s="305" t="s">
        <v>775</v>
      </c>
      <c r="J108" s="73">
        <v>42125</v>
      </c>
      <c r="K108" s="133">
        <v>6</v>
      </c>
      <c r="M108" s="305" t="s">
        <v>131</v>
      </c>
      <c r="N108" s="305" t="s">
        <v>132</v>
      </c>
      <c r="O108" s="305" t="s">
        <v>480</v>
      </c>
      <c r="P108" s="133">
        <v>0</v>
      </c>
      <c r="Q108" s="133">
        <v>0</v>
      </c>
      <c r="U108" s="305" t="s">
        <v>71</v>
      </c>
    </row>
    <row r="109" spans="1:21" x14ac:dyDescent="0.25">
      <c r="A109" s="305" t="s">
        <v>146</v>
      </c>
      <c r="B109" s="305" t="s">
        <v>1231</v>
      </c>
      <c r="G109" s="305" t="s">
        <v>94</v>
      </c>
      <c r="H109" s="305" t="s">
        <v>93</v>
      </c>
      <c r="I109" s="305" t="s">
        <v>775</v>
      </c>
      <c r="J109" s="305" t="s">
        <v>1219</v>
      </c>
      <c r="K109" s="133">
        <v>0</v>
      </c>
      <c r="M109" s="305" t="s">
        <v>354</v>
      </c>
      <c r="N109" s="305" t="s">
        <v>1031</v>
      </c>
      <c r="O109" s="305" t="s">
        <v>309</v>
      </c>
      <c r="P109" s="133"/>
      <c r="Q109" s="133"/>
      <c r="U109" s="305" t="s">
        <v>131</v>
      </c>
    </row>
    <row r="110" spans="1:21" x14ac:dyDescent="0.25">
      <c r="A110" s="305" t="s">
        <v>146</v>
      </c>
      <c r="B110" s="305" t="s">
        <v>1238</v>
      </c>
      <c r="G110" s="305" t="s">
        <v>819</v>
      </c>
      <c r="H110" s="305" t="s">
        <v>820</v>
      </c>
      <c r="I110" s="305" t="s">
        <v>775</v>
      </c>
      <c r="J110" s="73">
        <v>41518</v>
      </c>
      <c r="K110" s="133"/>
      <c r="M110" s="305" t="s">
        <v>332</v>
      </c>
      <c r="N110" s="305" t="s">
        <v>333</v>
      </c>
      <c r="O110" s="305" t="s">
        <v>309</v>
      </c>
      <c r="P110" s="133">
        <v>125</v>
      </c>
      <c r="Q110" s="133">
        <v>486</v>
      </c>
      <c r="U110" s="305" t="s">
        <v>354</v>
      </c>
    </row>
    <row r="111" spans="1:21" x14ac:dyDescent="0.25">
      <c r="A111" s="305" t="s">
        <v>146</v>
      </c>
      <c r="B111" s="305" t="s">
        <v>1529</v>
      </c>
      <c r="G111" s="305" t="s">
        <v>319</v>
      </c>
      <c r="H111" s="305" t="s">
        <v>318</v>
      </c>
      <c r="I111" s="305" t="s">
        <v>1740</v>
      </c>
      <c r="J111" s="73">
        <v>41030</v>
      </c>
      <c r="K111" s="133">
        <v>31</v>
      </c>
      <c r="M111" s="305" t="s">
        <v>355</v>
      </c>
      <c r="N111" s="305" t="s">
        <v>356</v>
      </c>
      <c r="O111" s="305" t="s">
        <v>309</v>
      </c>
      <c r="P111" s="133">
        <v>0</v>
      </c>
      <c r="Q111" s="133">
        <v>0</v>
      </c>
      <c r="U111" s="305" t="s">
        <v>332</v>
      </c>
    </row>
    <row r="112" spans="1:21" x14ac:dyDescent="0.25">
      <c r="A112" s="305" t="s">
        <v>146</v>
      </c>
      <c r="B112" s="305" t="s">
        <v>1570</v>
      </c>
      <c r="G112" s="305" t="s">
        <v>321</v>
      </c>
      <c r="H112" s="305" t="s">
        <v>320</v>
      </c>
      <c r="I112" s="305" t="s">
        <v>1740</v>
      </c>
      <c r="J112" s="73">
        <v>40695</v>
      </c>
      <c r="K112" s="133">
        <v>414</v>
      </c>
      <c r="M112" s="305" t="s">
        <v>334</v>
      </c>
      <c r="N112" s="305" t="s">
        <v>335</v>
      </c>
      <c r="O112" s="305" t="s">
        <v>309</v>
      </c>
      <c r="P112" s="133">
        <v>136</v>
      </c>
      <c r="Q112" s="133">
        <v>985</v>
      </c>
      <c r="U112" s="305" t="s">
        <v>355</v>
      </c>
    </row>
    <row r="113" spans="1:21" x14ac:dyDescent="0.25">
      <c r="A113" s="305" t="s">
        <v>146</v>
      </c>
      <c r="B113" s="305" t="s">
        <v>1614</v>
      </c>
      <c r="G113" s="305" t="s">
        <v>200</v>
      </c>
      <c r="H113" s="305" t="s">
        <v>199</v>
      </c>
      <c r="I113" s="305" t="s">
        <v>775</v>
      </c>
      <c r="J113" s="305" t="s">
        <v>1219</v>
      </c>
      <c r="K113" s="133"/>
      <c r="M113" s="305" t="s">
        <v>350</v>
      </c>
      <c r="N113" s="305" t="s">
        <v>351</v>
      </c>
      <c r="O113" s="305" t="s">
        <v>309</v>
      </c>
      <c r="P113" s="133">
        <v>1417</v>
      </c>
      <c r="Q113" s="133">
        <v>7074</v>
      </c>
      <c r="U113" s="305" t="s">
        <v>334</v>
      </c>
    </row>
    <row r="114" spans="1:21" x14ac:dyDescent="0.25">
      <c r="A114" s="305" t="s">
        <v>146</v>
      </c>
      <c r="B114" s="305" t="s">
        <v>1615</v>
      </c>
      <c r="G114" s="305" t="s">
        <v>1615</v>
      </c>
      <c r="H114" s="305" t="s">
        <v>1120</v>
      </c>
      <c r="I114" s="305" t="s">
        <v>1740</v>
      </c>
      <c r="J114" s="73">
        <v>42435</v>
      </c>
      <c r="K114" s="133">
        <v>82</v>
      </c>
      <c r="M114" s="305" t="s">
        <v>313</v>
      </c>
      <c r="N114" s="305" t="s">
        <v>1034</v>
      </c>
      <c r="O114" s="305" t="s">
        <v>309</v>
      </c>
      <c r="P114" s="133">
        <v>0</v>
      </c>
      <c r="Q114" s="133">
        <v>0</v>
      </c>
      <c r="U114" s="305" t="s">
        <v>350</v>
      </c>
    </row>
    <row r="115" spans="1:21" x14ac:dyDescent="0.25">
      <c r="A115" s="305" t="s">
        <v>146</v>
      </c>
      <c r="B115" s="305" t="s">
        <v>1934</v>
      </c>
      <c r="G115" s="305" t="s">
        <v>327</v>
      </c>
      <c r="H115" s="305" t="s">
        <v>326</v>
      </c>
      <c r="I115" s="305" t="s">
        <v>1740</v>
      </c>
      <c r="J115" s="73">
        <v>41456</v>
      </c>
      <c r="K115" s="133">
        <v>347</v>
      </c>
      <c r="M115" s="305" t="s">
        <v>330</v>
      </c>
      <c r="N115" s="305" t="s">
        <v>331</v>
      </c>
      <c r="O115" s="305" t="s">
        <v>309</v>
      </c>
      <c r="P115" s="133">
        <v>0</v>
      </c>
      <c r="Q115" s="133">
        <v>0</v>
      </c>
      <c r="U115" s="305" t="s">
        <v>313</v>
      </c>
    </row>
    <row r="116" spans="1:21" x14ac:dyDescent="0.25">
      <c r="A116" s="305" t="s">
        <v>146</v>
      </c>
      <c r="B116" s="305" t="s">
        <v>1931</v>
      </c>
      <c r="G116" s="305" t="s">
        <v>329</v>
      </c>
      <c r="H116" s="305" t="s">
        <v>328</v>
      </c>
      <c r="I116" s="305" t="s">
        <v>1740</v>
      </c>
      <c r="J116" s="73">
        <v>41426</v>
      </c>
      <c r="K116" s="133">
        <v>335</v>
      </c>
      <c r="M116" s="305" t="s">
        <v>320</v>
      </c>
      <c r="N116" s="305" t="s">
        <v>321</v>
      </c>
      <c r="O116" s="305" t="s">
        <v>309</v>
      </c>
      <c r="P116" s="133">
        <v>414</v>
      </c>
      <c r="Q116" s="133">
        <v>1551</v>
      </c>
      <c r="U116" s="305" t="s">
        <v>330</v>
      </c>
    </row>
    <row r="117" spans="1:21" x14ac:dyDescent="0.25">
      <c r="A117" s="305" t="s">
        <v>817</v>
      </c>
      <c r="B117" s="305" t="s">
        <v>819</v>
      </c>
      <c r="G117" s="305" t="s">
        <v>323</v>
      </c>
      <c r="H117" s="305" t="s">
        <v>322</v>
      </c>
      <c r="I117" s="305" t="s">
        <v>1740</v>
      </c>
      <c r="J117" s="73">
        <v>41061</v>
      </c>
      <c r="K117" s="133">
        <v>506</v>
      </c>
      <c r="M117" s="305" t="s">
        <v>343</v>
      </c>
      <c r="N117" s="305" t="s">
        <v>1029</v>
      </c>
      <c r="O117" s="305" t="s">
        <v>309</v>
      </c>
      <c r="P117" s="133">
        <v>185</v>
      </c>
      <c r="Q117" s="133">
        <v>931</v>
      </c>
      <c r="U117" s="305" t="s">
        <v>320</v>
      </c>
    </row>
    <row r="118" spans="1:21" x14ac:dyDescent="0.25">
      <c r="A118" s="305" t="s">
        <v>151</v>
      </c>
      <c r="B118" s="305" t="s">
        <v>808</v>
      </c>
      <c r="G118" s="305" t="s">
        <v>325</v>
      </c>
      <c r="H118" s="305" t="s">
        <v>324</v>
      </c>
      <c r="I118" s="305" t="s">
        <v>1740</v>
      </c>
      <c r="J118" s="73">
        <v>40878</v>
      </c>
      <c r="K118" s="133">
        <v>52</v>
      </c>
      <c r="M118" s="305" t="s">
        <v>195</v>
      </c>
      <c r="N118" s="305" t="s">
        <v>196</v>
      </c>
      <c r="O118" s="305" t="s">
        <v>185</v>
      </c>
      <c r="P118" s="133">
        <v>1492</v>
      </c>
      <c r="Q118" s="133">
        <v>8514</v>
      </c>
      <c r="U118" s="305" t="s">
        <v>343</v>
      </c>
    </row>
    <row r="119" spans="1:21" x14ac:dyDescent="0.25">
      <c r="A119" s="305" t="s">
        <v>151</v>
      </c>
      <c r="B119" s="305" t="s">
        <v>803</v>
      </c>
      <c r="G119" s="305" t="s">
        <v>1742</v>
      </c>
      <c r="H119" s="305" t="s">
        <v>1743</v>
      </c>
      <c r="I119" s="305" t="s">
        <v>1739</v>
      </c>
      <c r="J119" s="73">
        <v>43252</v>
      </c>
      <c r="K119" s="133">
        <v>95</v>
      </c>
      <c r="M119" s="305" t="s">
        <v>193</v>
      </c>
      <c r="N119" s="305" t="s">
        <v>194</v>
      </c>
      <c r="O119" s="305" t="s">
        <v>185</v>
      </c>
      <c r="P119" s="133">
        <v>719</v>
      </c>
      <c r="Q119" s="133">
        <v>3641</v>
      </c>
      <c r="U119" s="305" t="s">
        <v>195</v>
      </c>
    </row>
    <row r="120" spans="1:21" x14ac:dyDescent="0.25">
      <c r="A120" s="305" t="s">
        <v>151</v>
      </c>
      <c r="B120" s="305" t="s">
        <v>804</v>
      </c>
      <c r="G120" s="305" t="s">
        <v>811</v>
      </c>
      <c r="H120" s="305" t="s">
        <v>812</v>
      </c>
      <c r="I120" s="305" t="s">
        <v>1740</v>
      </c>
      <c r="J120" s="73">
        <v>41548</v>
      </c>
      <c r="K120" s="133">
        <v>433</v>
      </c>
      <c r="M120" s="305" t="s">
        <v>191</v>
      </c>
      <c r="N120" s="305" t="s">
        <v>192</v>
      </c>
      <c r="O120" s="305" t="s">
        <v>185</v>
      </c>
      <c r="P120" s="133">
        <v>88</v>
      </c>
      <c r="Q120" s="133">
        <v>338</v>
      </c>
      <c r="U120" s="305" t="s">
        <v>193</v>
      </c>
    </row>
    <row r="121" spans="1:21" x14ac:dyDescent="0.25">
      <c r="A121" s="305" t="s">
        <v>151</v>
      </c>
      <c r="B121" s="305" t="s">
        <v>188</v>
      </c>
      <c r="G121" s="305" t="s">
        <v>846</v>
      </c>
      <c r="H121" s="305" t="s">
        <v>845</v>
      </c>
      <c r="I121" s="305" t="s">
        <v>1740</v>
      </c>
      <c r="J121" s="73">
        <v>41548</v>
      </c>
      <c r="K121" s="133">
        <v>167</v>
      </c>
      <c r="M121" s="305" t="s">
        <v>218</v>
      </c>
      <c r="N121" s="305" t="s">
        <v>219</v>
      </c>
      <c r="O121" s="305" t="s">
        <v>185</v>
      </c>
      <c r="P121" s="133">
        <v>632</v>
      </c>
      <c r="Q121" s="133">
        <v>3551</v>
      </c>
      <c r="U121" s="305" t="s">
        <v>191</v>
      </c>
    </row>
    <row r="122" spans="1:21" x14ac:dyDescent="0.25">
      <c r="A122" s="305" t="s">
        <v>151</v>
      </c>
      <c r="B122" s="305" t="s">
        <v>12</v>
      </c>
      <c r="G122" s="305" t="s">
        <v>258</v>
      </c>
      <c r="H122" s="305" t="s">
        <v>257</v>
      </c>
      <c r="I122" s="305" t="s">
        <v>1740</v>
      </c>
      <c r="J122" s="73">
        <v>40756</v>
      </c>
      <c r="K122" s="133">
        <v>62</v>
      </c>
      <c r="M122" s="305" t="s">
        <v>197</v>
      </c>
      <c r="N122" s="305" t="s">
        <v>198</v>
      </c>
      <c r="O122" s="305" t="s">
        <v>151</v>
      </c>
      <c r="P122" s="133">
        <v>535</v>
      </c>
      <c r="Q122" s="133">
        <v>2490</v>
      </c>
      <c r="U122" s="305" t="s">
        <v>218</v>
      </c>
    </row>
    <row r="123" spans="1:21" x14ac:dyDescent="0.25">
      <c r="A123" s="305" t="s">
        <v>151</v>
      </c>
      <c r="B123" s="305" t="s">
        <v>810</v>
      </c>
      <c r="G123" s="305" t="s">
        <v>202</v>
      </c>
      <c r="H123" s="305" t="s">
        <v>201</v>
      </c>
      <c r="I123" s="305" t="s">
        <v>1740</v>
      </c>
      <c r="J123" s="73">
        <v>41030</v>
      </c>
      <c r="K123" s="133">
        <v>304</v>
      </c>
      <c r="M123" s="305" t="s">
        <v>187</v>
      </c>
      <c r="N123" s="305" t="s">
        <v>188</v>
      </c>
      <c r="O123" s="305" t="s">
        <v>151</v>
      </c>
      <c r="P123" s="133">
        <v>358</v>
      </c>
      <c r="Q123" s="133">
        <v>1680</v>
      </c>
      <c r="U123" s="305" t="s">
        <v>197</v>
      </c>
    </row>
    <row r="124" spans="1:21" x14ac:dyDescent="0.25">
      <c r="A124" s="305" t="s">
        <v>151</v>
      </c>
      <c r="B124" s="305" t="s">
        <v>469</v>
      </c>
      <c r="G124" s="305" t="s">
        <v>260</v>
      </c>
      <c r="H124" s="305" t="s">
        <v>259</v>
      </c>
      <c r="I124" s="305" t="s">
        <v>1740</v>
      </c>
      <c r="J124" s="73">
        <v>40725</v>
      </c>
      <c r="K124" s="133">
        <v>103</v>
      </c>
      <c r="M124" s="305" t="s">
        <v>214</v>
      </c>
      <c r="N124" s="305" t="s">
        <v>215</v>
      </c>
      <c r="O124" s="305" t="s">
        <v>185</v>
      </c>
      <c r="P124" s="133">
        <v>354</v>
      </c>
      <c r="Q124" s="133">
        <v>1547</v>
      </c>
      <c r="U124" s="305" t="s">
        <v>187</v>
      </c>
    </row>
    <row r="125" spans="1:21" x14ac:dyDescent="0.25">
      <c r="A125" s="305" t="s">
        <v>151</v>
      </c>
      <c r="B125" s="305" t="s">
        <v>198</v>
      </c>
      <c r="G125" s="305" t="s">
        <v>1196</v>
      </c>
      <c r="H125" s="305" t="s">
        <v>1184</v>
      </c>
      <c r="I125" s="305" t="s">
        <v>1740</v>
      </c>
      <c r="J125" s="305" t="s">
        <v>1219</v>
      </c>
      <c r="K125" s="133">
        <v>37</v>
      </c>
      <c r="M125" s="305" t="s">
        <v>153</v>
      </c>
      <c r="N125" s="305" t="s">
        <v>154</v>
      </c>
      <c r="O125" s="305" t="s">
        <v>151</v>
      </c>
      <c r="P125" s="133">
        <v>442</v>
      </c>
      <c r="Q125" s="133">
        <v>2301</v>
      </c>
      <c r="U125" s="305" t="s">
        <v>214</v>
      </c>
    </row>
    <row r="126" spans="1:21" x14ac:dyDescent="0.25">
      <c r="A126" s="305" t="s">
        <v>151</v>
      </c>
      <c r="B126" s="305" t="s">
        <v>158</v>
      </c>
      <c r="G126" s="305" t="s">
        <v>802</v>
      </c>
      <c r="H126" s="305" t="s">
        <v>796</v>
      </c>
      <c r="I126" s="305" t="s">
        <v>775</v>
      </c>
      <c r="J126" s="305" t="s">
        <v>1219</v>
      </c>
      <c r="K126" s="133">
        <v>0</v>
      </c>
      <c r="M126" s="305" t="s">
        <v>159</v>
      </c>
      <c r="N126" s="305" t="s">
        <v>160</v>
      </c>
      <c r="O126" s="305" t="s">
        <v>151</v>
      </c>
      <c r="P126" s="133">
        <v>127</v>
      </c>
      <c r="Q126" s="133">
        <v>653</v>
      </c>
      <c r="U126" s="305" t="s">
        <v>153</v>
      </c>
    </row>
    <row r="127" spans="1:21" x14ac:dyDescent="0.25">
      <c r="A127" s="305" t="s">
        <v>151</v>
      </c>
      <c r="B127" s="305" t="s">
        <v>811</v>
      </c>
      <c r="G127" s="305" t="s">
        <v>801</v>
      </c>
      <c r="H127" s="305" t="s">
        <v>800</v>
      </c>
      <c r="I127" s="305" t="s">
        <v>775</v>
      </c>
      <c r="J127" s="305" t="s">
        <v>1219</v>
      </c>
      <c r="K127" s="133">
        <v>0</v>
      </c>
      <c r="M127" s="305" t="s">
        <v>155</v>
      </c>
      <c r="N127" s="305" t="s">
        <v>156</v>
      </c>
      <c r="O127" s="305" t="s">
        <v>151</v>
      </c>
      <c r="P127" s="133">
        <v>175</v>
      </c>
      <c r="Q127" s="133">
        <v>834</v>
      </c>
      <c r="U127" s="305" t="s">
        <v>159</v>
      </c>
    </row>
    <row r="128" spans="1:21" x14ac:dyDescent="0.25">
      <c r="A128" s="305" t="s">
        <v>151</v>
      </c>
      <c r="B128" s="305" t="s">
        <v>802</v>
      </c>
      <c r="G128" s="305" t="s">
        <v>1238</v>
      </c>
      <c r="H128" s="305" t="s">
        <v>1239</v>
      </c>
      <c r="I128" s="305" t="s">
        <v>1740</v>
      </c>
      <c r="J128" s="305" t="s">
        <v>1219</v>
      </c>
      <c r="K128" s="133">
        <v>24</v>
      </c>
      <c r="M128" s="305" t="s">
        <v>157</v>
      </c>
      <c r="N128" s="305" t="s">
        <v>158</v>
      </c>
      <c r="O128" s="305" t="s">
        <v>151</v>
      </c>
      <c r="P128" s="133">
        <v>0</v>
      </c>
      <c r="Q128" s="133">
        <v>0</v>
      </c>
      <c r="U128" s="305" t="s">
        <v>155</v>
      </c>
    </row>
    <row r="129" spans="1:21" x14ac:dyDescent="0.25">
      <c r="A129" s="305" t="s">
        <v>151</v>
      </c>
      <c r="B129" s="305" t="s">
        <v>801</v>
      </c>
      <c r="G129" s="305" t="s">
        <v>204</v>
      </c>
      <c r="H129" s="305" t="s">
        <v>203</v>
      </c>
      <c r="I129" s="305" t="s">
        <v>775</v>
      </c>
      <c r="J129" s="305" t="s">
        <v>1219</v>
      </c>
      <c r="K129" s="133"/>
      <c r="M129" s="305" t="s">
        <v>161</v>
      </c>
      <c r="N129" s="305" t="s">
        <v>162</v>
      </c>
      <c r="O129" s="305" t="s">
        <v>151</v>
      </c>
      <c r="P129" s="133">
        <v>0</v>
      </c>
      <c r="Q129" s="133">
        <v>0</v>
      </c>
      <c r="U129" s="305" t="s">
        <v>157</v>
      </c>
    </row>
    <row r="130" spans="1:21" x14ac:dyDescent="0.25">
      <c r="A130" s="305" t="s">
        <v>151</v>
      </c>
      <c r="B130" s="305" t="s">
        <v>160</v>
      </c>
      <c r="G130" s="305" t="s">
        <v>1139</v>
      </c>
      <c r="H130" s="305" t="s">
        <v>1122</v>
      </c>
      <c r="I130" s="305" t="s">
        <v>775</v>
      </c>
      <c r="J130" s="73">
        <v>42370</v>
      </c>
      <c r="K130" s="133">
        <v>36</v>
      </c>
      <c r="M130" s="305" t="s">
        <v>163</v>
      </c>
      <c r="N130" s="305" t="s">
        <v>164</v>
      </c>
      <c r="O130" s="305" t="s">
        <v>151</v>
      </c>
      <c r="P130" s="133">
        <v>0</v>
      </c>
      <c r="Q130" s="133">
        <v>0</v>
      </c>
      <c r="U130" s="305" t="s">
        <v>161</v>
      </c>
    </row>
    <row r="131" spans="1:21" x14ac:dyDescent="0.25">
      <c r="A131" s="305" t="s">
        <v>151</v>
      </c>
      <c r="B131" s="305" t="s">
        <v>154</v>
      </c>
      <c r="G131" s="305" t="s">
        <v>205</v>
      </c>
      <c r="H131" s="305" t="s">
        <v>390</v>
      </c>
      <c r="I131" s="305" t="s">
        <v>775</v>
      </c>
      <c r="J131" s="305" t="s">
        <v>1219</v>
      </c>
      <c r="K131" s="133"/>
      <c r="M131" s="305" t="s">
        <v>360</v>
      </c>
      <c r="N131" s="305" t="s">
        <v>35</v>
      </c>
      <c r="O131" s="305" t="s">
        <v>361</v>
      </c>
      <c r="P131" s="133">
        <v>0</v>
      </c>
      <c r="Q131" s="133">
        <v>0</v>
      </c>
      <c r="U131" s="305" t="s">
        <v>163</v>
      </c>
    </row>
    <row r="132" spans="1:21" x14ac:dyDescent="0.25">
      <c r="A132" s="305" t="s">
        <v>151</v>
      </c>
      <c r="B132" s="305" t="s">
        <v>156</v>
      </c>
      <c r="G132" s="305" t="s">
        <v>160</v>
      </c>
      <c r="H132" s="305" t="s">
        <v>159</v>
      </c>
      <c r="I132" s="305" t="s">
        <v>1740</v>
      </c>
      <c r="J132" s="73">
        <v>40940</v>
      </c>
      <c r="K132" s="133">
        <v>127</v>
      </c>
      <c r="M132" s="305" t="s">
        <v>302</v>
      </c>
      <c r="N132" s="305" t="s">
        <v>303</v>
      </c>
      <c r="O132" s="305" t="s">
        <v>237</v>
      </c>
      <c r="P132" s="133">
        <v>375</v>
      </c>
      <c r="Q132" s="133">
        <v>1691</v>
      </c>
      <c r="U132" s="305" t="s">
        <v>360</v>
      </c>
    </row>
    <row r="133" spans="1:21" x14ac:dyDescent="0.25">
      <c r="A133" s="305" t="s">
        <v>151</v>
      </c>
      <c r="B133" s="305" t="s">
        <v>152</v>
      </c>
      <c r="G133" s="305" t="s">
        <v>937</v>
      </c>
      <c r="H133" s="305" t="s">
        <v>938</v>
      </c>
      <c r="I133" s="305" t="s">
        <v>1740</v>
      </c>
      <c r="J133" s="73">
        <v>41730</v>
      </c>
      <c r="K133" s="133">
        <v>155</v>
      </c>
      <c r="M133" s="305" t="s">
        <v>87</v>
      </c>
      <c r="N133" s="305" t="s">
        <v>88</v>
      </c>
      <c r="O133" s="305" t="s">
        <v>480</v>
      </c>
      <c r="P133" s="133">
        <v>34</v>
      </c>
      <c r="Q133" s="133">
        <v>136</v>
      </c>
      <c r="U133" s="305" t="s">
        <v>302</v>
      </c>
    </row>
    <row r="134" spans="1:21" x14ac:dyDescent="0.25">
      <c r="A134" s="305" t="s">
        <v>151</v>
      </c>
      <c r="B134" s="305" t="s">
        <v>295</v>
      </c>
      <c r="G134" s="305" t="s">
        <v>154</v>
      </c>
      <c r="H134" s="305" t="s">
        <v>153</v>
      </c>
      <c r="I134" s="305" t="s">
        <v>1740</v>
      </c>
      <c r="J134" s="73">
        <v>40848</v>
      </c>
      <c r="K134" s="133">
        <v>442</v>
      </c>
      <c r="M134" s="305" t="s">
        <v>285</v>
      </c>
      <c r="N134" s="305" t="s">
        <v>286</v>
      </c>
      <c r="O134" s="305" t="s">
        <v>180</v>
      </c>
      <c r="P134" s="133">
        <v>26</v>
      </c>
      <c r="Q134" s="133">
        <v>117</v>
      </c>
      <c r="U134" s="305" t="s">
        <v>87</v>
      </c>
    </row>
    <row r="135" spans="1:21" x14ac:dyDescent="0.25">
      <c r="A135" s="305" t="s">
        <v>151</v>
      </c>
      <c r="B135" s="305" t="s">
        <v>471</v>
      </c>
      <c r="G135" s="305" t="s">
        <v>910</v>
      </c>
      <c r="H135" s="305" t="s">
        <v>911</v>
      </c>
      <c r="I135" s="305" t="s">
        <v>1740</v>
      </c>
      <c r="J135" s="73">
        <v>41791</v>
      </c>
      <c r="K135" s="133">
        <v>151</v>
      </c>
      <c r="M135" s="305" t="s">
        <v>9</v>
      </c>
      <c r="N135" s="305" t="s">
        <v>10</v>
      </c>
      <c r="O135" s="305" t="s">
        <v>5</v>
      </c>
      <c r="P135" s="133">
        <v>0</v>
      </c>
      <c r="Q135" s="133">
        <v>0</v>
      </c>
      <c r="U135" s="305" t="s">
        <v>285</v>
      </c>
    </row>
    <row r="136" spans="1:21" x14ac:dyDescent="0.25">
      <c r="A136" s="305" t="s">
        <v>151</v>
      </c>
      <c r="B136" s="305" t="s">
        <v>162</v>
      </c>
      <c r="G136" s="305" t="s">
        <v>156</v>
      </c>
      <c r="H136" s="305" t="s">
        <v>155</v>
      </c>
      <c r="I136" s="305" t="s">
        <v>1740</v>
      </c>
      <c r="J136" s="305" t="s">
        <v>1219</v>
      </c>
      <c r="K136" s="133">
        <v>175</v>
      </c>
      <c r="M136" s="305" t="s">
        <v>352</v>
      </c>
      <c r="N136" s="305" t="s">
        <v>353</v>
      </c>
      <c r="O136" s="305" t="s">
        <v>309</v>
      </c>
      <c r="P136" s="133">
        <v>82</v>
      </c>
      <c r="Q136" s="133">
        <v>518</v>
      </c>
      <c r="U136" s="305" t="s">
        <v>9</v>
      </c>
    </row>
    <row r="137" spans="1:21" x14ac:dyDescent="0.25">
      <c r="A137" s="305" t="s">
        <v>151</v>
      </c>
      <c r="B137" s="305" t="s">
        <v>791</v>
      </c>
      <c r="G137" s="305" t="s">
        <v>331</v>
      </c>
      <c r="H137" s="305" t="s">
        <v>330</v>
      </c>
      <c r="I137" s="305" t="s">
        <v>775</v>
      </c>
      <c r="J137" s="305" t="s">
        <v>1219</v>
      </c>
      <c r="K137" s="133">
        <v>0</v>
      </c>
      <c r="M137" s="305" t="s">
        <v>271</v>
      </c>
      <c r="N137" s="305" t="s">
        <v>272</v>
      </c>
      <c r="O137" s="305" t="s">
        <v>237</v>
      </c>
      <c r="P137" s="133">
        <v>138</v>
      </c>
      <c r="Q137" s="133">
        <v>800</v>
      </c>
      <c r="U137" s="305" t="s">
        <v>352</v>
      </c>
    </row>
    <row r="138" spans="1:21" x14ac:dyDescent="0.25">
      <c r="A138" s="305" t="s">
        <v>151</v>
      </c>
      <c r="B138" s="305" t="s">
        <v>792</v>
      </c>
      <c r="G138" s="305" t="s">
        <v>207</v>
      </c>
      <c r="H138" s="305" t="s">
        <v>206</v>
      </c>
      <c r="I138" s="305" t="s">
        <v>775</v>
      </c>
      <c r="J138" s="73">
        <v>40817</v>
      </c>
      <c r="K138" s="133"/>
      <c r="M138" s="305" t="s">
        <v>11</v>
      </c>
      <c r="N138" s="305" t="s">
        <v>12</v>
      </c>
      <c r="O138" s="305" t="s">
        <v>5</v>
      </c>
      <c r="P138" s="133">
        <v>190</v>
      </c>
      <c r="Q138" s="133">
        <v>928</v>
      </c>
      <c r="U138" s="305" t="s">
        <v>271</v>
      </c>
    </row>
    <row r="139" spans="1:21" x14ac:dyDescent="0.25">
      <c r="A139" s="305" t="s">
        <v>151</v>
      </c>
      <c r="B139" s="305" t="s">
        <v>164</v>
      </c>
      <c r="G139" s="305" t="s">
        <v>167</v>
      </c>
      <c r="H139" s="305" t="s">
        <v>165</v>
      </c>
      <c r="I139" s="305" t="s">
        <v>1740</v>
      </c>
      <c r="J139" s="73">
        <v>41000</v>
      </c>
      <c r="K139" s="133">
        <v>33</v>
      </c>
      <c r="M139" s="305" t="s">
        <v>91</v>
      </c>
      <c r="N139" s="305" t="s">
        <v>92</v>
      </c>
      <c r="O139" s="305" t="s">
        <v>480</v>
      </c>
      <c r="P139" s="133">
        <v>11</v>
      </c>
      <c r="Q139" s="133">
        <v>55</v>
      </c>
      <c r="U139" s="305" t="s">
        <v>11</v>
      </c>
    </row>
    <row r="140" spans="1:21" x14ac:dyDescent="0.25">
      <c r="A140" s="305" t="s">
        <v>151</v>
      </c>
      <c r="B140" s="305" t="s">
        <v>813</v>
      </c>
      <c r="G140" s="305" t="s">
        <v>760</v>
      </c>
      <c r="H140" s="305" t="s">
        <v>761</v>
      </c>
      <c r="I140" s="305" t="s">
        <v>1740</v>
      </c>
      <c r="J140" s="73">
        <v>41030</v>
      </c>
      <c r="K140" s="133">
        <v>29</v>
      </c>
      <c r="M140" s="305" t="s">
        <v>119</v>
      </c>
      <c r="N140" s="305" t="s">
        <v>120</v>
      </c>
      <c r="O140" s="305" t="s">
        <v>480</v>
      </c>
      <c r="P140" s="133">
        <v>68</v>
      </c>
      <c r="Q140" s="133">
        <v>335</v>
      </c>
      <c r="U140" s="305" t="s">
        <v>91</v>
      </c>
    </row>
    <row r="141" spans="1:21" x14ac:dyDescent="0.25">
      <c r="A141" s="305" t="s">
        <v>151</v>
      </c>
      <c r="B141" s="305" t="s">
        <v>846</v>
      </c>
      <c r="G141" s="305" t="s">
        <v>152</v>
      </c>
      <c r="H141" s="305" t="s">
        <v>150</v>
      </c>
      <c r="I141" s="305" t="s">
        <v>1740</v>
      </c>
      <c r="J141" s="73">
        <v>41579</v>
      </c>
      <c r="K141" s="133">
        <v>189</v>
      </c>
      <c r="M141" s="305" t="s">
        <v>51</v>
      </c>
      <c r="N141" s="305" t="s">
        <v>52</v>
      </c>
      <c r="O141" s="305" t="s">
        <v>480</v>
      </c>
      <c r="P141" s="133">
        <v>36</v>
      </c>
      <c r="Q141" s="133">
        <v>226</v>
      </c>
      <c r="U141" s="305" t="s">
        <v>119</v>
      </c>
    </row>
    <row r="142" spans="1:21" x14ac:dyDescent="0.25">
      <c r="A142" s="305" t="s">
        <v>151</v>
      </c>
      <c r="B142" s="305" t="s">
        <v>887</v>
      </c>
      <c r="G142" s="305" t="s">
        <v>54</v>
      </c>
      <c r="H142" s="305" t="s">
        <v>53</v>
      </c>
      <c r="I142" s="305" t="s">
        <v>775</v>
      </c>
      <c r="J142" s="305" t="s">
        <v>1219</v>
      </c>
      <c r="K142" s="133">
        <v>0</v>
      </c>
      <c r="M142" s="305" t="s">
        <v>47</v>
      </c>
      <c r="N142" s="305" t="s">
        <v>48</v>
      </c>
      <c r="O142" s="305" t="s">
        <v>480</v>
      </c>
      <c r="P142" s="133"/>
      <c r="Q142" s="133"/>
      <c r="U142" s="305" t="s">
        <v>51</v>
      </c>
    </row>
    <row r="143" spans="1:21" x14ac:dyDescent="0.25">
      <c r="A143" s="305" t="s">
        <v>151</v>
      </c>
      <c r="B143" s="305" t="s">
        <v>910</v>
      </c>
      <c r="G143" s="305" t="s">
        <v>66</v>
      </c>
      <c r="H143" s="305" t="s">
        <v>65</v>
      </c>
      <c r="I143" s="305" t="s">
        <v>775</v>
      </c>
      <c r="J143" s="305" t="s">
        <v>1219</v>
      </c>
      <c r="K143" s="133">
        <v>0</v>
      </c>
      <c r="M143" s="305" t="s">
        <v>127</v>
      </c>
      <c r="N143" s="305" t="s">
        <v>128</v>
      </c>
      <c r="O143" s="305" t="s">
        <v>480</v>
      </c>
      <c r="P143" s="133">
        <v>0</v>
      </c>
      <c r="Q143" s="133">
        <v>0</v>
      </c>
      <c r="U143" s="305" t="s">
        <v>47</v>
      </c>
    </row>
    <row r="144" spans="1:21" x14ac:dyDescent="0.25">
      <c r="A144" s="305" t="s">
        <v>151</v>
      </c>
      <c r="B144" s="305" t="s">
        <v>937</v>
      </c>
      <c r="G144" s="305" t="s">
        <v>80</v>
      </c>
      <c r="H144" s="305" t="s">
        <v>79</v>
      </c>
      <c r="I144" s="305" t="s">
        <v>775</v>
      </c>
      <c r="J144" s="305" t="s">
        <v>1219</v>
      </c>
      <c r="K144" s="133">
        <v>0</v>
      </c>
      <c r="M144" s="305" t="s">
        <v>59</v>
      </c>
      <c r="N144" s="305" t="s">
        <v>60</v>
      </c>
      <c r="O144" s="305" t="s">
        <v>480</v>
      </c>
      <c r="P144" s="133"/>
      <c r="Q144" s="133"/>
      <c r="U144" s="305" t="s">
        <v>127</v>
      </c>
    </row>
    <row r="145" spans="1:21" x14ac:dyDescent="0.25">
      <c r="A145" s="305" t="s">
        <v>151</v>
      </c>
      <c r="B145" s="305" t="s">
        <v>1779</v>
      </c>
      <c r="G145" s="305" t="s">
        <v>102</v>
      </c>
      <c r="H145" s="305" t="s">
        <v>101</v>
      </c>
      <c r="I145" s="305" t="s">
        <v>775</v>
      </c>
      <c r="J145" s="305" t="s">
        <v>1219</v>
      </c>
      <c r="K145" s="133">
        <v>0</v>
      </c>
      <c r="M145" s="305" t="s">
        <v>38</v>
      </c>
      <c r="N145" s="305" t="s">
        <v>39</v>
      </c>
      <c r="O145" s="305" t="s">
        <v>480</v>
      </c>
      <c r="P145" s="133"/>
      <c r="Q145" s="133"/>
      <c r="U145" s="305" t="s">
        <v>59</v>
      </c>
    </row>
    <row r="146" spans="1:21" x14ac:dyDescent="0.25">
      <c r="A146" s="305" t="s">
        <v>166</v>
      </c>
      <c r="B146" s="305" t="s">
        <v>167</v>
      </c>
      <c r="G146" s="305" t="s">
        <v>106</v>
      </c>
      <c r="H146" s="305" t="s">
        <v>105</v>
      </c>
      <c r="I146" s="305" t="s">
        <v>775</v>
      </c>
      <c r="J146" s="305" t="s">
        <v>1219</v>
      </c>
      <c r="K146" s="133">
        <v>0</v>
      </c>
      <c r="M146" s="305" t="s">
        <v>75</v>
      </c>
      <c r="N146" s="305" t="s">
        <v>76</v>
      </c>
      <c r="O146" s="305" t="s">
        <v>480</v>
      </c>
      <c r="P146" s="133">
        <v>70</v>
      </c>
      <c r="Q146" s="133">
        <v>375</v>
      </c>
      <c r="U146" s="305" t="s">
        <v>38</v>
      </c>
    </row>
    <row r="147" spans="1:21" x14ac:dyDescent="0.25">
      <c r="A147" s="305" t="s">
        <v>166</v>
      </c>
      <c r="B147" s="305" t="s">
        <v>760</v>
      </c>
      <c r="G147" s="305" t="s">
        <v>116</v>
      </c>
      <c r="H147" s="305" t="s">
        <v>115</v>
      </c>
      <c r="I147" s="305" t="s">
        <v>775</v>
      </c>
      <c r="J147" s="305" t="s">
        <v>1219</v>
      </c>
      <c r="K147" s="133">
        <v>0</v>
      </c>
      <c r="M147" s="305" t="s">
        <v>73</v>
      </c>
      <c r="N147" s="305" t="s">
        <v>74</v>
      </c>
      <c r="O147" s="305" t="s">
        <v>480</v>
      </c>
      <c r="P147" s="133"/>
      <c r="Q147" s="133"/>
      <c r="U147" s="305" t="s">
        <v>75</v>
      </c>
    </row>
    <row r="148" spans="1:21" x14ac:dyDescent="0.25">
      <c r="A148" s="305" t="s">
        <v>166</v>
      </c>
      <c r="B148" s="305" t="s">
        <v>1139</v>
      </c>
      <c r="G148" s="305" t="s">
        <v>130</v>
      </c>
      <c r="H148" s="305" t="s">
        <v>129</v>
      </c>
      <c r="I148" s="305" t="s">
        <v>775</v>
      </c>
      <c r="J148" s="305" t="s">
        <v>1219</v>
      </c>
      <c r="K148" s="133">
        <v>0</v>
      </c>
      <c r="M148" s="305" t="s">
        <v>40</v>
      </c>
      <c r="N148" s="305" t="s">
        <v>41</v>
      </c>
      <c r="O148" s="305" t="s">
        <v>480</v>
      </c>
      <c r="P148" s="133">
        <v>70</v>
      </c>
      <c r="Q148" s="133">
        <v>374</v>
      </c>
      <c r="U148" s="305" t="s">
        <v>73</v>
      </c>
    </row>
    <row r="149" spans="1:21" x14ac:dyDescent="0.25">
      <c r="A149" s="305" t="s">
        <v>173</v>
      </c>
      <c r="B149" s="305" t="s">
        <v>174</v>
      </c>
      <c r="G149" s="305" t="s">
        <v>138</v>
      </c>
      <c r="H149" s="305" t="s">
        <v>137</v>
      </c>
      <c r="I149" s="305" t="s">
        <v>775</v>
      </c>
      <c r="J149" s="305" t="s">
        <v>1219</v>
      </c>
      <c r="K149" s="133">
        <v>0</v>
      </c>
      <c r="M149" s="305" t="s">
        <v>141</v>
      </c>
      <c r="N149" s="305" t="s">
        <v>142</v>
      </c>
      <c r="O149" s="305" t="s">
        <v>480</v>
      </c>
      <c r="P149" s="133">
        <v>0</v>
      </c>
      <c r="Q149" s="133">
        <v>0</v>
      </c>
      <c r="U149" s="305" t="s">
        <v>40</v>
      </c>
    </row>
    <row r="150" spans="1:21" x14ac:dyDescent="0.25">
      <c r="A150" s="305" t="s">
        <v>173</v>
      </c>
      <c r="B150" s="305" t="s">
        <v>178</v>
      </c>
      <c r="G150" s="305" t="s">
        <v>262</v>
      </c>
      <c r="H150" s="305" t="s">
        <v>261</v>
      </c>
      <c r="I150" s="305" t="s">
        <v>1740</v>
      </c>
      <c r="J150" s="73">
        <v>40817</v>
      </c>
      <c r="K150" s="133">
        <v>22</v>
      </c>
      <c r="M150" s="305" t="s">
        <v>97</v>
      </c>
      <c r="N150" s="305" t="s">
        <v>98</v>
      </c>
      <c r="O150" s="305" t="s">
        <v>480</v>
      </c>
      <c r="P150" s="133">
        <v>0</v>
      </c>
      <c r="Q150" s="133">
        <v>0</v>
      </c>
      <c r="U150" s="305" t="s">
        <v>141</v>
      </c>
    </row>
    <row r="151" spans="1:21" x14ac:dyDescent="0.25">
      <c r="A151" s="305" t="s">
        <v>173</v>
      </c>
      <c r="B151" s="305" t="s">
        <v>1062</v>
      </c>
      <c r="G151" s="305" t="s">
        <v>264</v>
      </c>
      <c r="H151" s="305" t="s">
        <v>263</v>
      </c>
      <c r="I151" s="305" t="s">
        <v>1740</v>
      </c>
      <c r="J151" s="73">
        <v>40817</v>
      </c>
      <c r="K151" s="133">
        <v>21</v>
      </c>
      <c r="M151" s="305" t="s">
        <v>61</v>
      </c>
      <c r="N151" s="305" t="s">
        <v>62</v>
      </c>
      <c r="O151" s="305" t="s">
        <v>480</v>
      </c>
      <c r="P151" s="133"/>
      <c r="Q151" s="133"/>
      <c r="U151" s="305" t="s">
        <v>97</v>
      </c>
    </row>
    <row r="152" spans="1:21" x14ac:dyDescent="0.25">
      <c r="A152" s="305" t="s">
        <v>173</v>
      </c>
      <c r="B152" s="305" t="s">
        <v>1061</v>
      </c>
      <c r="G152" s="305" t="s">
        <v>136</v>
      </c>
      <c r="H152" s="305" t="s">
        <v>135</v>
      </c>
      <c r="I152" s="305" t="s">
        <v>775</v>
      </c>
      <c r="J152" s="305" t="s">
        <v>1219</v>
      </c>
      <c r="K152" s="133">
        <v>0</v>
      </c>
      <c r="M152" s="305" t="s">
        <v>77</v>
      </c>
      <c r="N152" s="305" t="s">
        <v>78</v>
      </c>
      <c r="O152" s="305" t="s">
        <v>480</v>
      </c>
      <c r="P152" s="133"/>
      <c r="Q152" s="133"/>
      <c r="U152" s="305" t="s">
        <v>61</v>
      </c>
    </row>
    <row r="153" spans="1:21" x14ac:dyDescent="0.25">
      <c r="A153" s="305" t="s">
        <v>173</v>
      </c>
      <c r="B153" s="305" t="s">
        <v>1053</v>
      </c>
      <c r="G153" s="305" t="s">
        <v>68</v>
      </c>
      <c r="H153" s="305" t="s">
        <v>67</v>
      </c>
      <c r="I153" s="305" t="s">
        <v>775</v>
      </c>
      <c r="J153" s="305" t="s">
        <v>1219</v>
      </c>
      <c r="K153" s="133">
        <v>0</v>
      </c>
      <c r="M153" s="305" t="s">
        <v>89</v>
      </c>
      <c r="N153" s="305" t="s">
        <v>90</v>
      </c>
      <c r="O153" s="305" t="s">
        <v>480</v>
      </c>
      <c r="P153" s="133">
        <v>18</v>
      </c>
      <c r="Q153" s="133">
        <v>102</v>
      </c>
      <c r="U153" s="305" t="s">
        <v>77</v>
      </c>
    </row>
    <row r="154" spans="1:21" x14ac:dyDescent="0.25">
      <c r="A154" s="305" t="s">
        <v>173</v>
      </c>
      <c r="B154" s="305" t="s">
        <v>1486</v>
      </c>
      <c r="G154" s="305" t="s">
        <v>84</v>
      </c>
      <c r="H154" s="305" t="s">
        <v>83</v>
      </c>
      <c r="I154" s="305" t="s">
        <v>775</v>
      </c>
      <c r="J154" s="305" t="s">
        <v>1219</v>
      </c>
      <c r="K154" s="133">
        <v>0</v>
      </c>
      <c r="M154" s="305" t="s">
        <v>117</v>
      </c>
      <c r="N154" s="305" t="s">
        <v>118</v>
      </c>
      <c r="O154" s="305" t="s">
        <v>480</v>
      </c>
      <c r="P154" s="133">
        <v>10</v>
      </c>
      <c r="Q154" s="133">
        <v>38</v>
      </c>
      <c r="U154" s="305" t="s">
        <v>89</v>
      </c>
    </row>
    <row r="155" spans="1:21" x14ac:dyDescent="0.25">
      <c r="A155" s="305" t="s">
        <v>173</v>
      </c>
      <c r="B155" s="305" t="s">
        <v>1517</v>
      </c>
      <c r="G155" s="305" t="s">
        <v>86</v>
      </c>
      <c r="H155" s="305" t="s">
        <v>85</v>
      </c>
      <c r="I155" s="305" t="s">
        <v>775</v>
      </c>
      <c r="J155" s="305" t="s">
        <v>1219</v>
      </c>
      <c r="K155" s="133">
        <v>0</v>
      </c>
      <c r="M155" s="305" t="s">
        <v>123</v>
      </c>
      <c r="N155" s="305" t="s">
        <v>124</v>
      </c>
      <c r="O155" s="305" t="s">
        <v>480</v>
      </c>
      <c r="P155" s="133">
        <v>8</v>
      </c>
      <c r="Q155" s="133">
        <v>32</v>
      </c>
      <c r="U155" s="305" t="s">
        <v>117</v>
      </c>
    </row>
    <row r="156" spans="1:21" x14ac:dyDescent="0.25">
      <c r="A156" s="305" t="s">
        <v>173</v>
      </c>
      <c r="B156" s="305" t="s">
        <v>1661</v>
      </c>
      <c r="G156" s="305" t="s">
        <v>100</v>
      </c>
      <c r="H156" s="305" t="s">
        <v>99</v>
      </c>
      <c r="I156" s="305" t="s">
        <v>1740</v>
      </c>
      <c r="J156" s="73">
        <v>41122</v>
      </c>
      <c r="K156" s="133">
        <v>3</v>
      </c>
      <c r="M156" s="305" t="s">
        <v>125</v>
      </c>
      <c r="N156" s="305" t="s">
        <v>126</v>
      </c>
      <c r="O156" s="305" t="s">
        <v>480</v>
      </c>
      <c r="P156" s="133">
        <v>32</v>
      </c>
      <c r="Q156" s="133">
        <v>173</v>
      </c>
      <c r="U156" s="305" t="s">
        <v>123</v>
      </c>
    </row>
    <row r="157" spans="1:21" x14ac:dyDescent="0.25">
      <c r="A157" s="305" t="s">
        <v>173</v>
      </c>
      <c r="B157" s="305" t="s">
        <v>1662</v>
      </c>
      <c r="G157" s="305" t="s">
        <v>104</v>
      </c>
      <c r="H157" s="305" t="s">
        <v>103</v>
      </c>
      <c r="I157" s="305" t="s">
        <v>775</v>
      </c>
      <c r="J157" s="305" t="s">
        <v>1219</v>
      </c>
      <c r="K157" s="133">
        <v>0</v>
      </c>
      <c r="M157" s="305" t="s">
        <v>63</v>
      </c>
      <c r="N157" s="305" t="s">
        <v>64</v>
      </c>
      <c r="O157" s="305" t="s">
        <v>480</v>
      </c>
      <c r="P157" s="133"/>
      <c r="Q157" s="133"/>
      <c r="U157" s="305" t="s">
        <v>125</v>
      </c>
    </row>
    <row r="158" spans="1:21" x14ac:dyDescent="0.25">
      <c r="A158" s="305" t="s">
        <v>173</v>
      </c>
      <c r="B158" s="305" t="s">
        <v>1665</v>
      </c>
      <c r="G158" s="305" t="s">
        <v>98</v>
      </c>
      <c r="H158" s="305" t="s">
        <v>97</v>
      </c>
      <c r="I158" s="305" t="s">
        <v>775</v>
      </c>
      <c r="J158" s="305" t="s">
        <v>1219</v>
      </c>
      <c r="K158" s="133">
        <v>0</v>
      </c>
      <c r="M158" s="305" t="s">
        <v>81</v>
      </c>
      <c r="N158" s="305" t="s">
        <v>82</v>
      </c>
      <c r="O158" s="305" t="s">
        <v>480</v>
      </c>
      <c r="P158" s="133"/>
      <c r="Q158" s="133"/>
      <c r="U158" s="305" t="s">
        <v>63</v>
      </c>
    </row>
    <row r="159" spans="1:21" x14ac:dyDescent="0.25">
      <c r="A159" s="305" t="s">
        <v>173</v>
      </c>
      <c r="B159" s="305" t="s">
        <v>1728</v>
      </c>
      <c r="G159" s="305" t="s">
        <v>1614</v>
      </c>
      <c r="H159" s="305" t="s">
        <v>383</v>
      </c>
      <c r="I159" s="305" t="s">
        <v>1740</v>
      </c>
      <c r="J159" s="73">
        <v>41275</v>
      </c>
      <c r="K159" s="133">
        <v>76</v>
      </c>
      <c r="M159" s="305" t="s">
        <v>57</v>
      </c>
      <c r="N159" s="305" t="s">
        <v>58</v>
      </c>
      <c r="O159" s="305" t="s">
        <v>480</v>
      </c>
      <c r="P159" s="133"/>
      <c r="Q159" s="133"/>
      <c r="U159" s="305" t="s">
        <v>81</v>
      </c>
    </row>
    <row r="160" spans="1:21" x14ac:dyDescent="0.25">
      <c r="A160" s="305" t="s">
        <v>180</v>
      </c>
      <c r="B160" s="305" t="s">
        <v>183</v>
      </c>
      <c r="G160" s="305" t="s">
        <v>984</v>
      </c>
      <c r="H160" s="305" t="s">
        <v>986</v>
      </c>
      <c r="I160" s="305" t="s">
        <v>1740</v>
      </c>
      <c r="J160" s="73">
        <v>41275</v>
      </c>
      <c r="K160" s="133">
        <v>14</v>
      </c>
      <c r="M160" s="305" t="s">
        <v>55</v>
      </c>
      <c r="N160" s="305" t="s">
        <v>56</v>
      </c>
      <c r="O160" s="305" t="s">
        <v>480</v>
      </c>
      <c r="P160" s="133">
        <v>0</v>
      </c>
      <c r="Q160" s="133">
        <v>0</v>
      </c>
      <c r="U160" s="305" t="s">
        <v>57</v>
      </c>
    </row>
    <row r="161" spans="1:21" x14ac:dyDescent="0.25">
      <c r="A161" s="305" t="s">
        <v>180</v>
      </c>
      <c r="B161" s="305" t="s">
        <v>286</v>
      </c>
      <c r="G161" s="305" t="s">
        <v>1032</v>
      </c>
      <c r="H161" s="305" t="s">
        <v>357</v>
      </c>
      <c r="I161" s="305" t="s">
        <v>775</v>
      </c>
      <c r="J161" s="305" t="s">
        <v>1219</v>
      </c>
      <c r="K161" s="133"/>
      <c r="M161" s="305" t="s">
        <v>42</v>
      </c>
      <c r="N161" s="305" t="s">
        <v>43</v>
      </c>
      <c r="O161" s="305" t="s">
        <v>480</v>
      </c>
      <c r="P161" s="133">
        <v>13</v>
      </c>
      <c r="Q161" s="133">
        <v>83</v>
      </c>
      <c r="U161" s="305" t="s">
        <v>55</v>
      </c>
    </row>
    <row r="162" spans="1:21" x14ac:dyDescent="0.25">
      <c r="A162" s="305" t="s">
        <v>180</v>
      </c>
      <c r="B162" s="305" t="s">
        <v>181</v>
      </c>
      <c r="G162" s="305" t="s">
        <v>209</v>
      </c>
      <c r="H162" s="305" t="s">
        <v>208</v>
      </c>
      <c r="I162" s="305" t="s">
        <v>1740</v>
      </c>
      <c r="J162" s="73">
        <v>40695</v>
      </c>
      <c r="K162" s="133">
        <v>427</v>
      </c>
      <c r="M162" s="305" t="s">
        <v>45</v>
      </c>
      <c r="N162" s="305" t="s">
        <v>44</v>
      </c>
      <c r="O162" s="305" t="s">
        <v>480</v>
      </c>
      <c r="P162" s="133">
        <v>2</v>
      </c>
      <c r="Q162" s="133">
        <v>14</v>
      </c>
      <c r="U162" s="305" t="s">
        <v>42</v>
      </c>
    </row>
    <row r="163" spans="1:21" x14ac:dyDescent="0.25">
      <c r="A163" s="305" t="s">
        <v>180</v>
      </c>
      <c r="B163" s="305" t="s">
        <v>983</v>
      </c>
      <c r="G163" s="305" t="s">
        <v>211</v>
      </c>
      <c r="H163" s="305" t="s">
        <v>210</v>
      </c>
      <c r="I163" s="305" t="s">
        <v>775</v>
      </c>
      <c r="J163" s="73">
        <v>40756</v>
      </c>
      <c r="K163" s="133"/>
      <c r="M163" s="305" t="s">
        <v>46</v>
      </c>
      <c r="N163" s="305" t="s">
        <v>551</v>
      </c>
      <c r="O163" s="305" t="s">
        <v>480</v>
      </c>
      <c r="P163" s="133">
        <v>11</v>
      </c>
      <c r="Q163" s="133">
        <v>43</v>
      </c>
      <c r="U163" s="305" t="s">
        <v>45</v>
      </c>
    </row>
    <row r="164" spans="1:21" x14ac:dyDescent="0.25">
      <c r="A164" s="305" t="s">
        <v>180</v>
      </c>
      <c r="B164" s="305" t="s">
        <v>984</v>
      </c>
      <c r="G164" s="305" t="s">
        <v>1207</v>
      </c>
      <c r="H164" s="305" t="s">
        <v>1174</v>
      </c>
      <c r="I164" s="305" t="s">
        <v>775</v>
      </c>
      <c r="J164" s="305" t="s">
        <v>1219</v>
      </c>
      <c r="K164" s="133"/>
      <c r="M164" s="305" t="s">
        <v>374</v>
      </c>
      <c r="N164" s="305" t="s">
        <v>364</v>
      </c>
      <c r="O164" s="305" t="s">
        <v>5</v>
      </c>
      <c r="P164" s="133">
        <v>147</v>
      </c>
      <c r="Q164" s="133">
        <v>764</v>
      </c>
      <c r="U164" s="305" t="s">
        <v>46</v>
      </c>
    </row>
    <row r="165" spans="1:21" x14ac:dyDescent="0.25">
      <c r="A165" s="305" t="s">
        <v>185</v>
      </c>
      <c r="B165" s="305" t="s">
        <v>192</v>
      </c>
      <c r="G165" s="305" t="s">
        <v>1129</v>
      </c>
      <c r="H165" s="305" t="s">
        <v>1124</v>
      </c>
      <c r="I165" s="305" t="s">
        <v>1740</v>
      </c>
      <c r="J165" s="73">
        <v>42430</v>
      </c>
      <c r="K165" s="133">
        <v>62</v>
      </c>
      <c r="M165" s="305" t="s">
        <v>375</v>
      </c>
      <c r="N165" s="305" t="s">
        <v>465</v>
      </c>
      <c r="O165" s="305" t="s">
        <v>5</v>
      </c>
      <c r="P165" s="133">
        <v>12</v>
      </c>
      <c r="Q165" s="133">
        <v>52</v>
      </c>
      <c r="U165" s="305" t="s">
        <v>374</v>
      </c>
    </row>
    <row r="166" spans="1:21" x14ac:dyDescent="0.25">
      <c r="A166" s="305" t="s">
        <v>185</v>
      </c>
      <c r="B166" s="305" t="s">
        <v>12</v>
      </c>
      <c r="G166" s="305" t="s">
        <v>1128</v>
      </c>
      <c r="H166" s="305" t="s">
        <v>1123</v>
      </c>
      <c r="I166" s="305" t="s">
        <v>775</v>
      </c>
      <c r="J166" s="73">
        <v>42401</v>
      </c>
      <c r="K166" s="133"/>
      <c r="M166" s="305" t="s">
        <v>376</v>
      </c>
      <c r="N166" s="305" t="s">
        <v>363</v>
      </c>
      <c r="O166" s="305" t="s">
        <v>27</v>
      </c>
      <c r="P166" s="133">
        <v>205</v>
      </c>
      <c r="Q166" s="133">
        <v>847</v>
      </c>
      <c r="U166" s="305" t="s">
        <v>375</v>
      </c>
    </row>
    <row r="167" spans="1:21" x14ac:dyDescent="0.25">
      <c r="A167" s="305" t="s">
        <v>185</v>
      </c>
      <c r="B167" s="305" t="s">
        <v>194</v>
      </c>
      <c r="G167" s="305" t="s">
        <v>233</v>
      </c>
      <c r="H167" s="305" t="s">
        <v>232</v>
      </c>
      <c r="I167" s="305" t="s">
        <v>775</v>
      </c>
      <c r="J167" s="73">
        <v>41091</v>
      </c>
      <c r="K167" s="133"/>
      <c r="M167" s="305" t="s">
        <v>388</v>
      </c>
      <c r="N167" s="305" t="s">
        <v>12</v>
      </c>
      <c r="O167" s="305" t="s">
        <v>151</v>
      </c>
      <c r="P167" s="133">
        <v>80</v>
      </c>
      <c r="Q167" s="133">
        <v>290</v>
      </c>
      <c r="U167" s="305" t="s">
        <v>376</v>
      </c>
    </row>
    <row r="168" spans="1:21" x14ac:dyDescent="0.25">
      <c r="A168" s="305" t="s">
        <v>185</v>
      </c>
      <c r="B168" s="305" t="s">
        <v>196</v>
      </c>
      <c r="G168" s="305" t="s">
        <v>235</v>
      </c>
      <c r="H168" s="305" t="s">
        <v>234</v>
      </c>
      <c r="I168" s="305" t="s">
        <v>775</v>
      </c>
      <c r="J168" s="305" t="s">
        <v>1219</v>
      </c>
      <c r="K168" s="133"/>
      <c r="M168" s="305" t="s">
        <v>389</v>
      </c>
      <c r="N168" s="305" t="s">
        <v>12</v>
      </c>
      <c r="O168" s="305" t="s">
        <v>185</v>
      </c>
      <c r="P168" s="133">
        <v>223</v>
      </c>
      <c r="Q168" s="133">
        <v>1067</v>
      </c>
      <c r="U168" s="305" t="s">
        <v>388</v>
      </c>
    </row>
    <row r="169" spans="1:21" x14ac:dyDescent="0.25">
      <c r="A169" s="305" t="s">
        <v>185</v>
      </c>
      <c r="B169" s="305" t="s">
        <v>474</v>
      </c>
      <c r="G169" s="305" t="s">
        <v>295</v>
      </c>
      <c r="H169" s="305" t="s">
        <v>1131</v>
      </c>
      <c r="I169" s="305" t="s">
        <v>775</v>
      </c>
      <c r="J169" s="305" t="s">
        <v>1219</v>
      </c>
      <c r="K169" s="133"/>
      <c r="M169" s="305" t="s">
        <v>390</v>
      </c>
      <c r="N169" s="305" t="s">
        <v>205</v>
      </c>
      <c r="O169" s="305" t="s">
        <v>185</v>
      </c>
      <c r="P169" s="133"/>
      <c r="Q169" s="133"/>
      <c r="U169" s="305" t="s">
        <v>389</v>
      </c>
    </row>
    <row r="170" spans="1:21" x14ac:dyDescent="0.25">
      <c r="A170" s="305" t="s">
        <v>185</v>
      </c>
      <c r="B170" s="305" t="s">
        <v>186</v>
      </c>
      <c r="G170" s="305" t="s">
        <v>471</v>
      </c>
      <c r="H170" s="305" t="s">
        <v>472</v>
      </c>
      <c r="I170" s="305" t="s">
        <v>775</v>
      </c>
      <c r="J170" s="73">
        <v>41091</v>
      </c>
      <c r="K170" s="133">
        <v>0</v>
      </c>
      <c r="M170" s="305" t="s">
        <v>391</v>
      </c>
      <c r="N170" s="305" t="s">
        <v>12</v>
      </c>
      <c r="O170" s="305" t="s">
        <v>301</v>
      </c>
      <c r="P170" s="133"/>
      <c r="Q170" s="133"/>
      <c r="U170" s="305" t="s">
        <v>390</v>
      </c>
    </row>
    <row r="171" spans="1:21" x14ac:dyDescent="0.25">
      <c r="A171" s="305" t="s">
        <v>185</v>
      </c>
      <c r="B171" s="305" t="s">
        <v>223</v>
      </c>
      <c r="G171" s="305" t="s">
        <v>1145</v>
      </c>
      <c r="H171" s="305" t="s">
        <v>1127</v>
      </c>
      <c r="I171" s="305" t="s">
        <v>1740</v>
      </c>
      <c r="J171" s="73">
        <v>42401</v>
      </c>
      <c r="K171" s="133">
        <v>30</v>
      </c>
      <c r="M171" s="305" t="s">
        <v>475</v>
      </c>
      <c r="N171" s="305" t="s">
        <v>474</v>
      </c>
      <c r="O171" s="305" t="s">
        <v>185</v>
      </c>
      <c r="P171" s="133">
        <v>3</v>
      </c>
      <c r="Q171" s="133">
        <v>18</v>
      </c>
      <c r="U171" s="305" t="s">
        <v>391</v>
      </c>
    </row>
    <row r="172" spans="1:21" x14ac:dyDescent="0.25">
      <c r="A172" s="305" t="s">
        <v>185</v>
      </c>
      <c r="B172" s="305" t="s">
        <v>190</v>
      </c>
      <c r="G172" s="305" t="s">
        <v>369</v>
      </c>
      <c r="H172" s="305" t="s">
        <v>147</v>
      </c>
      <c r="I172" s="305" t="s">
        <v>1740</v>
      </c>
      <c r="J172" s="73">
        <v>40787</v>
      </c>
      <c r="K172" s="133">
        <v>41</v>
      </c>
      <c r="M172" s="305" t="s">
        <v>468</v>
      </c>
      <c r="N172" s="305" t="s">
        <v>467</v>
      </c>
      <c r="O172" s="305" t="s">
        <v>480</v>
      </c>
      <c r="P172" s="133">
        <v>0</v>
      </c>
      <c r="Q172" s="133">
        <v>0</v>
      </c>
      <c r="U172" s="305" t="s">
        <v>475</v>
      </c>
    </row>
    <row r="173" spans="1:21" x14ac:dyDescent="0.25">
      <c r="A173" s="305" t="s">
        <v>185</v>
      </c>
      <c r="B173" s="305" t="s">
        <v>200</v>
      </c>
      <c r="G173" s="305" t="s">
        <v>942</v>
      </c>
      <c r="H173" s="305" t="s">
        <v>941</v>
      </c>
      <c r="I173" s="305" t="s">
        <v>1740</v>
      </c>
      <c r="J173" s="73">
        <v>40787</v>
      </c>
      <c r="K173" s="133">
        <v>20</v>
      </c>
      <c r="M173" s="305" t="s">
        <v>470</v>
      </c>
      <c r="N173" s="305" t="s">
        <v>469</v>
      </c>
      <c r="O173" s="305" t="s">
        <v>151</v>
      </c>
      <c r="P173" s="133">
        <v>0</v>
      </c>
      <c r="Q173" s="133">
        <v>0</v>
      </c>
      <c r="U173" s="305" t="s">
        <v>468</v>
      </c>
    </row>
    <row r="174" spans="1:21" x14ac:dyDescent="0.25">
      <c r="A174" s="305" t="s">
        <v>185</v>
      </c>
      <c r="B174" s="305" t="s">
        <v>202</v>
      </c>
      <c r="G174" s="305" t="s">
        <v>365</v>
      </c>
      <c r="H174" s="305" t="s">
        <v>384</v>
      </c>
      <c r="I174" s="305" t="s">
        <v>775</v>
      </c>
      <c r="J174" s="73">
        <v>40787</v>
      </c>
      <c r="K174" s="133">
        <v>0</v>
      </c>
      <c r="M174" s="305" t="s">
        <v>472</v>
      </c>
      <c r="N174" s="305" t="s">
        <v>471</v>
      </c>
      <c r="O174" s="305" t="s">
        <v>151</v>
      </c>
      <c r="P174" s="133">
        <v>0</v>
      </c>
      <c r="Q174" s="133">
        <v>0</v>
      </c>
      <c r="U174" s="305" t="s">
        <v>470</v>
      </c>
    </row>
    <row r="175" spans="1:21" x14ac:dyDescent="0.25">
      <c r="A175" s="305" t="s">
        <v>185</v>
      </c>
      <c r="B175" s="305" t="s">
        <v>204</v>
      </c>
      <c r="G175" s="305" t="s">
        <v>142</v>
      </c>
      <c r="H175" s="305" t="s">
        <v>141</v>
      </c>
      <c r="I175" s="305" t="s">
        <v>775</v>
      </c>
      <c r="J175" s="73">
        <v>41275</v>
      </c>
      <c r="K175" s="133">
        <v>0</v>
      </c>
      <c r="M175" s="305" t="s">
        <v>473</v>
      </c>
      <c r="N175" s="305" t="s">
        <v>791</v>
      </c>
      <c r="O175" s="305" t="s">
        <v>151</v>
      </c>
      <c r="P175" s="133">
        <v>0</v>
      </c>
      <c r="Q175" s="133">
        <v>0</v>
      </c>
      <c r="U175" s="305" t="s">
        <v>472</v>
      </c>
    </row>
    <row r="176" spans="1:21" x14ac:dyDescent="0.25">
      <c r="A176" s="305" t="s">
        <v>185</v>
      </c>
      <c r="B176" s="305" t="s">
        <v>205</v>
      </c>
      <c r="G176" s="305" t="s">
        <v>902</v>
      </c>
      <c r="H176" s="305" t="s">
        <v>903</v>
      </c>
      <c r="I176" s="305" t="s">
        <v>1740</v>
      </c>
      <c r="J176" s="73">
        <v>41703</v>
      </c>
      <c r="K176" s="133">
        <v>41</v>
      </c>
      <c r="M176" s="305" t="s">
        <v>750</v>
      </c>
      <c r="N176" s="305" t="s">
        <v>746</v>
      </c>
      <c r="O176" s="305" t="s">
        <v>746</v>
      </c>
      <c r="P176" s="133">
        <v>5</v>
      </c>
      <c r="Q176" s="133">
        <v>32</v>
      </c>
      <c r="U176" s="305" t="s">
        <v>473</v>
      </c>
    </row>
    <row r="177" spans="1:21" x14ac:dyDescent="0.25">
      <c r="A177" s="305" t="s">
        <v>185</v>
      </c>
      <c r="B177" s="305" t="s">
        <v>207</v>
      </c>
      <c r="G177" s="305" t="s">
        <v>912</v>
      </c>
      <c r="H177" s="305" t="s">
        <v>913</v>
      </c>
      <c r="I177" s="305" t="s">
        <v>1740</v>
      </c>
      <c r="J177" s="73">
        <v>41734</v>
      </c>
      <c r="K177" s="133">
        <v>18</v>
      </c>
      <c r="M177" s="305" t="s">
        <v>752</v>
      </c>
      <c r="N177" s="305" t="s">
        <v>751</v>
      </c>
      <c r="O177" s="305" t="s">
        <v>309</v>
      </c>
      <c r="P177" s="133"/>
      <c r="Q177" s="133">
        <v>872</v>
      </c>
      <c r="U177" s="305" t="s">
        <v>750</v>
      </c>
    </row>
    <row r="178" spans="1:21" x14ac:dyDescent="0.25">
      <c r="A178" s="305" t="s">
        <v>185</v>
      </c>
      <c r="B178" s="305" t="s">
        <v>209</v>
      </c>
      <c r="G178" s="305" t="s">
        <v>8</v>
      </c>
      <c r="H178" s="305" t="s">
        <v>7</v>
      </c>
      <c r="I178" s="305" t="s">
        <v>1740</v>
      </c>
      <c r="J178" s="73">
        <v>41183</v>
      </c>
      <c r="K178" s="133">
        <v>13</v>
      </c>
      <c r="M178" s="305" t="s">
        <v>793</v>
      </c>
      <c r="N178" s="305" t="s">
        <v>792</v>
      </c>
      <c r="O178" s="305" t="s">
        <v>151</v>
      </c>
      <c r="P178" s="133">
        <v>0</v>
      </c>
      <c r="Q178" s="133">
        <v>0</v>
      </c>
      <c r="U178" s="305" t="s">
        <v>752</v>
      </c>
    </row>
    <row r="179" spans="1:21" x14ac:dyDescent="0.25">
      <c r="A179" s="305" t="s">
        <v>185</v>
      </c>
      <c r="B179" s="305" t="s">
        <v>211</v>
      </c>
      <c r="G179" s="305" t="s">
        <v>1155</v>
      </c>
      <c r="H179" s="305" t="s">
        <v>1163</v>
      </c>
      <c r="I179" s="305" t="s">
        <v>1740</v>
      </c>
      <c r="J179" s="73">
        <v>42584</v>
      </c>
      <c r="K179" s="133">
        <v>21</v>
      </c>
      <c r="M179" s="305" t="s">
        <v>789</v>
      </c>
      <c r="N179" s="305" t="s">
        <v>790</v>
      </c>
      <c r="O179" s="305" t="s">
        <v>27</v>
      </c>
      <c r="P179" s="133">
        <v>57</v>
      </c>
      <c r="Q179" s="133">
        <v>273</v>
      </c>
      <c r="U179" s="305" t="s">
        <v>793</v>
      </c>
    </row>
    <row r="180" spans="1:21" x14ac:dyDescent="0.25">
      <c r="A180" s="305" t="s">
        <v>185</v>
      </c>
      <c r="B180" s="305" t="s">
        <v>213</v>
      </c>
      <c r="G180" s="305" t="s">
        <v>266</v>
      </c>
      <c r="H180" s="305" t="s">
        <v>265</v>
      </c>
      <c r="I180" s="305" t="s">
        <v>775</v>
      </c>
      <c r="J180" s="73">
        <v>40817</v>
      </c>
      <c r="K180" s="133"/>
      <c r="M180" s="305" t="s">
        <v>783</v>
      </c>
      <c r="N180" s="305" t="s">
        <v>795</v>
      </c>
      <c r="O180" s="305" t="s">
        <v>5</v>
      </c>
      <c r="P180" s="133">
        <v>0</v>
      </c>
      <c r="Q180" s="133">
        <v>0</v>
      </c>
      <c r="U180" s="305" t="s">
        <v>789</v>
      </c>
    </row>
    <row r="181" spans="1:21" x14ac:dyDescent="0.25">
      <c r="A181" s="305" t="s">
        <v>185</v>
      </c>
      <c r="B181" s="305" t="s">
        <v>215</v>
      </c>
      <c r="G181" s="305" t="s">
        <v>1661</v>
      </c>
      <c r="H181" s="305" t="s">
        <v>1649</v>
      </c>
      <c r="I181" s="305" t="s">
        <v>1740</v>
      </c>
      <c r="J181" s="73">
        <v>43212</v>
      </c>
      <c r="K181" s="133">
        <v>45</v>
      </c>
      <c r="M181" s="305" t="s">
        <v>796</v>
      </c>
      <c r="N181" s="305" t="s">
        <v>802</v>
      </c>
      <c r="O181" s="305" t="s">
        <v>151</v>
      </c>
      <c r="P181" s="133">
        <v>0</v>
      </c>
      <c r="Q181" s="133">
        <v>0</v>
      </c>
      <c r="U181" s="305" t="s">
        <v>783</v>
      </c>
    </row>
    <row r="182" spans="1:21" x14ac:dyDescent="0.25">
      <c r="A182" s="305" t="s">
        <v>185</v>
      </c>
      <c r="B182" s="305" t="s">
        <v>217</v>
      </c>
      <c r="G182" s="305" t="s">
        <v>213</v>
      </c>
      <c r="H182" s="305" t="s">
        <v>212</v>
      </c>
      <c r="I182" s="305" t="s">
        <v>1740</v>
      </c>
      <c r="J182" s="305" t="s">
        <v>1219</v>
      </c>
      <c r="K182" s="133">
        <v>47</v>
      </c>
      <c r="M182" s="305" t="s">
        <v>800</v>
      </c>
      <c r="N182" s="305" t="s">
        <v>801</v>
      </c>
      <c r="O182" s="305" t="s">
        <v>151</v>
      </c>
      <c r="P182" s="133">
        <v>0</v>
      </c>
      <c r="Q182" s="133">
        <v>0</v>
      </c>
      <c r="U182" s="305" t="s">
        <v>796</v>
      </c>
    </row>
    <row r="183" spans="1:21" x14ac:dyDescent="0.25">
      <c r="A183" s="305" t="s">
        <v>185</v>
      </c>
      <c r="B183" s="305" t="s">
        <v>229</v>
      </c>
      <c r="G183" s="305" t="s">
        <v>162</v>
      </c>
      <c r="H183" s="305" t="s">
        <v>161</v>
      </c>
      <c r="I183" s="305" t="s">
        <v>775</v>
      </c>
      <c r="J183" s="305" t="s">
        <v>1219</v>
      </c>
      <c r="K183" s="133">
        <v>0</v>
      </c>
      <c r="M183" s="305" t="s">
        <v>805</v>
      </c>
      <c r="N183" s="305" t="s">
        <v>804</v>
      </c>
      <c r="O183" s="305" t="s">
        <v>151</v>
      </c>
      <c r="P183" s="133">
        <v>0</v>
      </c>
      <c r="Q183" s="133">
        <v>0</v>
      </c>
      <c r="U183" s="305" t="s">
        <v>800</v>
      </c>
    </row>
    <row r="184" spans="1:21" x14ac:dyDescent="0.25">
      <c r="A184" s="305" t="s">
        <v>185</v>
      </c>
      <c r="B184" s="305" t="s">
        <v>219</v>
      </c>
      <c r="G184" s="305" t="s">
        <v>291</v>
      </c>
      <c r="H184" s="305" t="s">
        <v>290</v>
      </c>
      <c r="I184" s="305" t="s">
        <v>1740</v>
      </c>
      <c r="J184" s="73">
        <v>41609</v>
      </c>
      <c r="K184" s="133">
        <v>76</v>
      </c>
      <c r="M184" s="305" t="s">
        <v>806</v>
      </c>
      <c r="N184" s="305" t="s">
        <v>808</v>
      </c>
      <c r="O184" s="305" t="s">
        <v>151</v>
      </c>
      <c r="P184" s="133">
        <v>0</v>
      </c>
      <c r="Q184" s="133">
        <v>0</v>
      </c>
      <c r="U184" s="305" t="s">
        <v>805</v>
      </c>
    </row>
    <row r="185" spans="1:21" x14ac:dyDescent="0.25">
      <c r="A185" s="305" t="s">
        <v>185</v>
      </c>
      <c r="B185" s="305" t="s">
        <v>221</v>
      </c>
      <c r="G185" s="305" t="s">
        <v>289</v>
      </c>
      <c r="H185" s="305" t="s">
        <v>287</v>
      </c>
      <c r="I185" s="305" t="s">
        <v>1740</v>
      </c>
      <c r="J185" s="73">
        <v>40878</v>
      </c>
      <c r="K185" s="133">
        <v>67</v>
      </c>
      <c r="M185" s="305" t="s">
        <v>807</v>
      </c>
      <c r="N185" s="305" t="s">
        <v>803</v>
      </c>
      <c r="O185" s="305" t="s">
        <v>151</v>
      </c>
      <c r="P185" s="133">
        <v>0</v>
      </c>
      <c r="Q185" s="133">
        <v>0</v>
      </c>
      <c r="U185" s="305" t="s">
        <v>806</v>
      </c>
    </row>
    <row r="186" spans="1:21" x14ac:dyDescent="0.25">
      <c r="A186" s="305" t="s">
        <v>185</v>
      </c>
      <c r="B186" s="305" t="s">
        <v>225</v>
      </c>
      <c r="G186" s="305" t="s">
        <v>904</v>
      </c>
      <c r="H186" s="305" t="s">
        <v>905</v>
      </c>
      <c r="I186" s="305" t="s">
        <v>1740</v>
      </c>
      <c r="J186" s="73">
        <v>41947</v>
      </c>
      <c r="K186" s="133">
        <v>38</v>
      </c>
      <c r="M186" s="305" t="s">
        <v>809</v>
      </c>
      <c r="N186" s="305" t="s">
        <v>810</v>
      </c>
      <c r="O186" s="305" t="s">
        <v>151</v>
      </c>
      <c r="P186" s="133">
        <v>0</v>
      </c>
      <c r="Q186" s="133">
        <v>0</v>
      </c>
      <c r="U186" s="305" t="s">
        <v>807</v>
      </c>
    </row>
    <row r="187" spans="1:21" x14ac:dyDescent="0.25">
      <c r="A187" s="305" t="s">
        <v>185</v>
      </c>
      <c r="B187" s="305" t="s">
        <v>227</v>
      </c>
      <c r="G187" s="305" t="s">
        <v>372</v>
      </c>
      <c r="H187" s="305" t="s">
        <v>294</v>
      </c>
      <c r="I187" s="305" t="s">
        <v>1740</v>
      </c>
      <c r="J187" s="73">
        <v>40878</v>
      </c>
      <c r="K187" s="133">
        <v>43</v>
      </c>
      <c r="M187" s="305" t="s">
        <v>812</v>
      </c>
      <c r="N187" s="305" t="s">
        <v>811</v>
      </c>
      <c r="O187" s="305" t="s">
        <v>151</v>
      </c>
      <c r="P187" s="133">
        <v>433</v>
      </c>
      <c r="Q187" s="133">
        <v>2154</v>
      </c>
      <c r="U187" s="305" t="s">
        <v>809</v>
      </c>
    </row>
    <row r="188" spans="1:21" x14ac:dyDescent="0.25">
      <c r="A188" s="305" t="s">
        <v>185</v>
      </c>
      <c r="B188" s="305" t="s">
        <v>1079</v>
      </c>
      <c r="G188" s="305" t="s">
        <v>373</v>
      </c>
      <c r="H188" s="305" t="s">
        <v>387</v>
      </c>
      <c r="I188" s="305" t="s">
        <v>775</v>
      </c>
      <c r="J188" s="305" t="s">
        <v>1219</v>
      </c>
      <c r="K188" s="133">
        <v>0</v>
      </c>
      <c r="M188" s="305" t="s">
        <v>814</v>
      </c>
      <c r="N188" s="305" t="s">
        <v>813</v>
      </c>
      <c r="O188" s="305" t="s">
        <v>151</v>
      </c>
      <c r="P188" s="133">
        <v>0</v>
      </c>
      <c r="Q188" s="133">
        <v>0</v>
      </c>
      <c r="U188" s="305" t="s">
        <v>812</v>
      </c>
    </row>
    <row r="189" spans="1:21" x14ac:dyDescent="0.25">
      <c r="A189" s="305" t="s">
        <v>230</v>
      </c>
      <c r="B189" s="305" t="s">
        <v>169</v>
      </c>
      <c r="G189" s="305" t="s">
        <v>293</v>
      </c>
      <c r="H189" s="305" t="s">
        <v>292</v>
      </c>
      <c r="I189" s="305" t="s">
        <v>775</v>
      </c>
      <c r="J189" s="305" t="s">
        <v>1219</v>
      </c>
      <c r="K189" s="133"/>
      <c r="M189" s="305" t="s">
        <v>816</v>
      </c>
      <c r="N189" s="305" t="s">
        <v>815</v>
      </c>
      <c r="O189" s="305" t="s">
        <v>299</v>
      </c>
      <c r="P189" s="133">
        <v>0</v>
      </c>
      <c r="Q189" s="133">
        <v>0</v>
      </c>
      <c r="U189" s="305" t="s">
        <v>814</v>
      </c>
    </row>
    <row r="190" spans="1:21" x14ac:dyDescent="0.25">
      <c r="A190" s="305" t="s">
        <v>230</v>
      </c>
      <c r="B190" s="305" t="s">
        <v>231</v>
      </c>
      <c r="G190" s="305" t="s">
        <v>359</v>
      </c>
      <c r="H190" s="305" t="s">
        <v>771</v>
      </c>
      <c r="I190" s="305" t="s">
        <v>775</v>
      </c>
      <c r="J190" s="73">
        <v>40787</v>
      </c>
      <c r="K190" s="133">
        <v>9</v>
      </c>
      <c r="M190" s="305" t="s">
        <v>820</v>
      </c>
      <c r="N190" s="305" t="s">
        <v>819</v>
      </c>
      <c r="O190" s="305" t="s">
        <v>817</v>
      </c>
      <c r="P190" s="133"/>
      <c r="Q190" s="133"/>
      <c r="U190" s="305" t="s">
        <v>816</v>
      </c>
    </row>
    <row r="191" spans="1:21" x14ac:dyDescent="0.25">
      <c r="A191" s="305" t="s">
        <v>230</v>
      </c>
      <c r="B191" s="305" t="s">
        <v>233</v>
      </c>
      <c r="G191" s="305" t="s">
        <v>171</v>
      </c>
      <c r="H191" s="305" t="s">
        <v>170</v>
      </c>
      <c r="I191" s="305" t="s">
        <v>775</v>
      </c>
      <c r="J191" s="305" t="s">
        <v>1219</v>
      </c>
      <c r="K191" s="133"/>
      <c r="M191" s="305" t="s">
        <v>821</v>
      </c>
      <c r="N191" s="305" t="s">
        <v>822</v>
      </c>
      <c r="O191" s="305" t="s">
        <v>5</v>
      </c>
      <c r="P191" s="133"/>
      <c r="Q191" s="133"/>
      <c r="U191" s="305" t="s">
        <v>820</v>
      </c>
    </row>
    <row r="192" spans="1:21" x14ac:dyDescent="0.25">
      <c r="A192" s="305" t="s">
        <v>230</v>
      </c>
      <c r="B192" s="305" t="s">
        <v>235</v>
      </c>
      <c r="G192" s="305" t="s">
        <v>149</v>
      </c>
      <c r="H192" s="305" t="s">
        <v>148</v>
      </c>
      <c r="I192" s="305" t="s">
        <v>1740</v>
      </c>
      <c r="J192" s="73">
        <v>40878</v>
      </c>
      <c r="K192" s="133">
        <v>57</v>
      </c>
      <c r="M192" s="305" t="s">
        <v>287</v>
      </c>
      <c r="N192" s="305" t="s">
        <v>289</v>
      </c>
      <c r="O192" s="305" t="s">
        <v>288</v>
      </c>
      <c r="P192" s="133">
        <v>67</v>
      </c>
      <c r="Q192" s="133">
        <v>347</v>
      </c>
      <c r="U192" s="305" t="s">
        <v>821</v>
      </c>
    </row>
    <row r="193" spans="1:21" x14ac:dyDescent="0.25">
      <c r="A193" s="305" t="s">
        <v>230</v>
      </c>
      <c r="B193" s="305" t="s">
        <v>359</v>
      </c>
      <c r="G193" s="305" t="s">
        <v>1570</v>
      </c>
      <c r="H193" s="305" t="s">
        <v>1125</v>
      </c>
      <c r="I193" s="305" t="s">
        <v>1740</v>
      </c>
      <c r="J193" s="73">
        <v>42401</v>
      </c>
      <c r="K193" s="133">
        <v>41</v>
      </c>
      <c r="M193" s="305" t="s">
        <v>292</v>
      </c>
      <c r="N193" s="305" t="s">
        <v>293</v>
      </c>
      <c r="O193" s="305" t="s">
        <v>288</v>
      </c>
      <c r="P193" s="133"/>
      <c r="Q193" s="133"/>
      <c r="U193" s="305" t="s">
        <v>845</v>
      </c>
    </row>
    <row r="194" spans="1:21" x14ac:dyDescent="0.25">
      <c r="A194" s="305" t="s">
        <v>230</v>
      </c>
      <c r="B194" s="305" t="s">
        <v>171</v>
      </c>
      <c r="G194" s="305" t="s">
        <v>791</v>
      </c>
      <c r="H194" s="305" t="s">
        <v>473</v>
      </c>
      <c r="I194" s="305" t="s">
        <v>775</v>
      </c>
      <c r="J194" s="73">
        <v>41091</v>
      </c>
      <c r="K194" s="133">
        <v>0</v>
      </c>
      <c r="M194" s="305" t="s">
        <v>294</v>
      </c>
      <c r="N194" s="305" t="s">
        <v>372</v>
      </c>
      <c r="O194" s="305" t="s">
        <v>288</v>
      </c>
      <c r="P194" s="133">
        <v>43</v>
      </c>
      <c r="Q194" s="133">
        <v>218</v>
      </c>
      <c r="U194" s="305" t="s">
        <v>873</v>
      </c>
    </row>
    <row r="195" spans="1:21" x14ac:dyDescent="0.25">
      <c r="A195" s="305" t="s">
        <v>230</v>
      </c>
      <c r="B195" s="305" t="s">
        <v>902</v>
      </c>
      <c r="G195" s="305" t="s">
        <v>792</v>
      </c>
      <c r="H195" s="305" t="s">
        <v>793</v>
      </c>
      <c r="I195" s="305" t="s">
        <v>775</v>
      </c>
      <c r="J195" s="305" t="s">
        <v>1219</v>
      </c>
      <c r="K195" s="133">
        <v>0</v>
      </c>
      <c r="M195" s="305" t="s">
        <v>290</v>
      </c>
      <c r="N195" s="305" t="s">
        <v>291</v>
      </c>
      <c r="O195" s="305" t="s">
        <v>288</v>
      </c>
      <c r="P195" s="133">
        <v>76</v>
      </c>
      <c r="Q195" s="133">
        <v>373</v>
      </c>
      <c r="U195" s="305" t="s">
        <v>875</v>
      </c>
    </row>
    <row r="196" spans="1:21" x14ac:dyDescent="0.25">
      <c r="A196" s="305" t="s">
        <v>230</v>
      </c>
      <c r="B196" s="305" t="s">
        <v>912</v>
      </c>
      <c r="G196" s="305" t="s">
        <v>164</v>
      </c>
      <c r="H196" s="305" t="s">
        <v>163</v>
      </c>
      <c r="I196" s="305" t="s">
        <v>775</v>
      </c>
      <c r="J196" s="305" t="s">
        <v>1219</v>
      </c>
      <c r="K196" s="133">
        <v>0</v>
      </c>
      <c r="M196" s="305" t="s">
        <v>234</v>
      </c>
      <c r="N196" s="305" t="s">
        <v>235</v>
      </c>
      <c r="O196" s="305" t="s">
        <v>230</v>
      </c>
      <c r="P196" s="133"/>
      <c r="Q196" s="133"/>
      <c r="U196" s="305" t="s">
        <v>888</v>
      </c>
    </row>
    <row r="197" spans="1:21" x14ac:dyDescent="0.25">
      <c r="A197" s="305" t="s">
        <v>230</v>
      </c>
      <c r="B197" s="305" t="s">
        <v>1197</v>
      </c>
      <c r="G197" s="305" t="s">
        <v>551</v>
      </c>
      <c r="H197" s="305" t="s">
        <v>46</v>
      </c>
      <c r="I197" s="305" t="s">
        <v>1740</v>
      </c>
      <c r="J197" s="73">
        <v>41275</v>
      </c>
      <c r="K197" s="133">
        <v>11</v>
      </c>
      <c r="M197" s="305" t="s">
        <v>147</v>
      </c>
      <c r="N197" s="305" t="s">
        <v>369</v>
      </c>
      <c r="O197" s="305" t="s">
        <v>146</v>
      </c>
      <c r="P197" s="133">
        <v>41</v>
      </c>
      <c r="Q197" s="133">
        <v>232</v>
      </c>
      <c r="U197" s="305" t="s">
        <v>892</v>
      </c>
    </row>
    <row r="198" spans="1:21" x14ac:dyDescent="0.25">
      <c r="A198" s="305" t="s">
        <v>230</v>
      </c>
      <c r="B198" s="305" t="s">
        <v>1207</v>
      </c>
      <c r="G198" s="305" t="s">
        <v>1059</v>
      </c>
      <c r="H198" s="305" t="s">
        <v>1043</v>
      </c>
      <c r="I198" s="305" t="s">
        <v>1740</v>
      </c>
      <c r="J198" s="73">
        <v>42036</v>
      </c>
      <c r="K198" s="133">
        <v>32</v>
      </c>
      <c r="M198" s="305" t="s">
        <v>148</v>
      </c>
      <c r="N198" s="305" t="s">
        <v>149</v>
      </c>
      <c r="O198" s="305" t="s">
        <v>146</v>
      </c>
      <c r="P198" s="133">
        <v>57</v>
      </c>
      <c r="Q198" s="133">
        <v>269</v>
      </c>
      <c r="U198" s="305" t="s">
        <v>911</v>
      </c>
    </row>
    <row r="199" spans="1:21" x14ac:dyDescent="0.25">
      <c r="A199" s="305" t="s">
        <v>230</v>
      </c>
      <c r="B199" s="305" t="s">
        <v>1208</v>
      </c>
      <c r="G199" s="305" t="s">
        <v>759</v>
      </c>
      <c r="H199" s="305" t="s">
        <v>296</v>
      </c>
      <c r="I199" s="305" t="s">
        <v>1740</v>
      </c>
      <c r="J199" s="73">
        <v>41000</v>
      </c>
      <c r="K199" s="133">
        <v>40</v>
      </c>
      <c r="M199" s="305" t="s">
        <v>165</v>
      </c>
      <c r="N199" s="305" t="s">
        <v>167</v>
      </c>
      <c r="O199" s="305" t="s">
        <v>166</v>
      </c>
      <c r="P199" s="133">
        <v>33</v>
      </c>
      <c r="Q199" s="133">
        <v>177</v>
      </c>
      <c r="U199" s="305" t="s">
        <v>915</v>
      </c>
    </row>
    <row r="200" spans="1:21" x14ac:dyDescent="0.25">
      <c r="A200" s="305" t="s">
        <v>230</v>
      </c>
      <c r="B200" s="305" t="s">
        <v>1198</v>
      </c>
      <c r="G200" s="305" t="s">
        <v>534</v>
      </c>
      <c r="H200" s="305" t="s">
        <v>762</v>
      </c>
      <c r="I200" s="305" t="s">
        <v>775</v>
      </c>
      <c r="J200" s="305" t="s">
        <v>1219</v>
      </c>
      <c r="K200" s="133">
        <v>118</v>
      </c>
      <c r="M200" s="305" t="s">
        <v>168</v>
      </c>
      <c r="N200" s="305" t="s">
        <v>169</v>
      </c>
      <c r="O200" s="305" t="s">
        <v>230</v>
      </c>
      <c r="P200" s="133"/>
      <c r="Q200" s="133"/>
      <c r="U200" s="305" t="s">
        <v>287</v>
      </c>
    </row>
    <row r="201" spans="1:21" x14ac:dyDescent="0.25">
      <c r="A201" s="305" t="s">
        <v>230</v>
      </c>
      <c r="B201" s="305" t="s">
        <v>1209</v>
      </c>
      <c r="G201" s="305" t="s">
        <v>916</v>
      </c>
      <c r="H201" s="305" t="s">
        <v>909</v>
      </c>
      <c r="I201" s="305" t="s">
        <v>1740</v>
      </c>
      <c r="J201" s="73">
        <v>41747</v>
      </c>
      <c r="K201" s="133">
        <v>115</v>
      </c>
      <c r="M201" s="305" t="s">
        <v>170</v>
      </c>
      <c r="N201" s="305" t="s">
        <v>171</v>
      </c>
      <c r="O201" s="305" t="s">
        <v>230</v>
      </c>
      <c r="P201" s="133"/>
      <c r="Q201" s="133"/>
      <c r="U201" s="305" t="s">
        <v>292</v>
      </c>
    </row>
    <row r="202" spans="1:21" x14ac:dyDescent="0.25">
      <c r="A202" s="305" t="s">
        <v>230</v>
      </c>
      <c r="B202" s="305" t="s">
        <v>1213</v>
      </c>
      <c r="G202" s="305" t="s">
        <v>1213</v>
      </c>
      <c r="H202" s="305" t="s">
        <v>1178</v>
      </c>
      <c r="I202" s="305" t="s">
        <v>775</v>
      </c>
      <c r="J202" s="305" t="s">
        <v>1219</v>
      </c>
      <c r="K202" s="133"/>
      <c r="M202" s="305" t="s">
        <v>232</v>
      </c>
      <c r="N202" s="305" t="s">
        <v>233</v>
      </c>
      <c r="O202" s="305" t="s">
        <v>230</v>
      </c>
      <c r="P202" s="133"/>
      <c r="Q202" s="133"/>
      <c r="U202" s="305" t="s">
        <v>294</v>
      </c>
    </row>
    <row r="203" spans="1:21" x14ac:dyDescent="0.25">
      <c r="A203" s="305" t="s">
        <v>230</v>
      </c>
      <c r="B203" s="305" t="s">
        <v>1191</v>
      </c>
      <c r="G203" s="305" t="s">
        <v>1517</v>
      </c>
      <c r="H203" s="305" t="s">
        <v>1542</v>
      </c>
      <c r="I203" s="305" t="s">
        <v>775</v>
      </c>
      <c r="J203" s="73">
        <v>42962</v>
      </c>
      <c r="K203" s="133">
        <v>245</v>
      </c>
      <c r="M203" s="305" t="s">
        <v>296</v>
      </c>
      <c r="N203" s="305" t="s">
        <v>759</v>
      </c>
      <c r="O203" s="305" t="s">
        <v>297</v>
      </c>
      <c r="P203" s="133">
        <v>40</v>
      </c>
      <c r="Q203" s="133">
        <v>171</v>
      </c>
      <c r="U203" s="305" t="s">
        <v>290</v>
      </c>
    </row>
    <row r="204" spans="1:21" x14ac:dyDescent="0.25">
      <c r="A204" s="305" t="s">
        <v>230</v>
      </c>
      <c r="B204" s="305" t="s">
        <v>1192</v>
      </c>
      <c r="G204" s="305" t="s">
        <v>1728</v>
      </c>
      <c r="H204" s="305" t="s">
        <v>1651</v>
      </c>
      <c r="I204" s="305" t="s">
        <v>1740</v>
      </c>
      <c r="J204" s="73">
        <v>43212</v>
      </c>
      <c r="K204" s="133">
        <v>112</v>
      </c>
      <c r="M204" s="305" t="s">
        <v>380</v>
      </c>
      <c r="N204" s="305" t="s">
        <v>370</v>
      </c>
      <c r="O204" s="305" t="s">
        <v>146</v>
      </c>
      <c r="P204" s="133"/>
      <c r="Q204" s="133"/>
      <c r="U204" s="305" t="s">
        <v>234</v>
      </c>
    </row>
    <row r="205" spans="1:21" x14ac:dyDescent="0.25">
      <c r="A205" s="305" t="s">
        <v>230</v>
      </c>
      <c r="B205" s="305" t="s">
        <v>1193</v>
      </c>
      <c r="G205" s="305" t="s">
        <v>1188</v>
      </c>
      <c r="H205" s="305" t="s">
        <v>1170</v>
      </c>
      <c r="I205" s="305" t="s">
        <v>775</v>
      </c>
      <c r="J205" s="305" t="s">
        <v>1219</v>
      </c>
      <c r="K205" s="133"/>
      <c r="M205" s="305" t="s">
        <v>381</v>
      </c>
      <c r="N205" s="305" t="s">
        <v>367</v>
      </c>
      <c r="O205" s="305" t="s">
        <v>146</v>
      </c>
      <c r="P205" s="133">
        <v>53</v>
      </c>
      <c r="Q205" s="133">
        <v>256</v>
      </c>
      <c r="U205" s="305" t="s">
        <v>147</v>
      </c>
    </row>
    <row r="206" spans="1:21" x14ac:dyDescent="0.25">
      <c r="A206" s="305" t="s">
        <v>230</v>
      </c>
      <c r="B206" s="305" t="s">
        <v>1194</v>
      </c>
      <c r="G206" s="305" t="s">
        <v>1189</v>
      </c>
      <c r="H206" s="305" t="s">
        <v>1171</v>
      </c>
      <c r="I206" s="305" t="s">
        <v>775</v>
      </c>
      <c r="J206" s="305" t="s">
        <v>1219</v>
      </c>
      <c r="K206" s="133"/>
      <c r="M206" s="305" t="s">
        <v>382</v>
      </c>
      <c r="N206" s="305" t="s">
        <v>368</v>
      </c>
      <c r="O206" s="305" t="s">
        <v>146</v>
      </c>
      <c r="P206" s="133">
        <v>28</v>
      </c>
      <c r="Q206" s="133">
        <v>132</v>
      </c>
      <c r="U206" s="305" t="s">
        <v>148</v>
      </c>
    </row>
    <row r="207" spans="1:21" x14ac:dyDescent="0.25">
      <c r="A207" s="305" t="s">
        <v>230</v>
      </c>
      <c r="B207" s="305" t="s">
        <v>1195</v>
      </c>
      <c r="G207" s="305" t="s">
        <v>1187</v>
      </c>
      <c r="H207" s="305" t="s">
        <v>1169</v>
      </c>
      <c r="I207" s="305" t="s">
        <v>775</v>
      </c>
      <c r="J207" s="305" t="s">
        <v>1219</v>
      </c>
      <c r="K207" s="133">
        <v>13</v>
      </c>
      <c r="M207" s="305" t="s">
        <v>383</v>
      </c>
      <c r="N207" s="305" t="s">
        <v>1614</v>
      </c>
      <c r="O207" s="305" t="s">
        <v>146</v>
      </c>
      <c r="P207" s="133">
        <v>76</v>
      </c>
      <c r="Q207" s="133">
        <v>343</v>
      </c>
      <c r="U207" s="305" t="s">
        <v>165</v>
      </c>
    </row>
    <row r="208" spans="1:21" x14ac:dyDescent="0.25">
      <c r="A208" s="305" t="s">
        <v>230</v>
      </c>
      <c r="B208" s="305" t="s">
        <v>716</v>
      </c>
      <c r="G208" s="305" t="s">
        <v>270</v>
      </c>
      <c r="H208" s="305" t="s">
        <v>269</v>
      </c>
      <c r="I208" s="305" t="s">
        <v>1740</v>
      </c>
      <c r="J208" s="73">
        <v>40909</v>
      </c>
      <c r="K208" s="133">
        <v>59</v>
      </c>
      <c r="M208" s="305" t="s">
        <v>384</v>
      </c>
      <c r="N208" s="305" t="s">
        <v>365</v>
      </c>
      <c r="O208" s="305" t="s">
        <v>146</v>
      </c>
      <c r="P208" s="133">
        <v>0</v>
      </c>
      <c r="Q208" s="133">
        <v>0</v>
      </c>
      <c r="U208" s="305" t="s">
        <v>168</v>
      </c>
    </row>
    <row r="209" spans="1:21" x14ac:dyDescent="0.25">
      <c r="A209" s="305" t="s">
        <v>237</v>
      </c>
      <c r="B209" s="305" t="s">
        <v>252</v>
      </c>
      <c r="G209" s="305" t="s">
        <v>20</v>
      </c>
      <c r="H209" s="305" t="s">
        <v>19</v>
      </c>
      <c r="I209" s="305" t="s">
        <v>1740</v>
      </c>
      <c r="J209" s="73">
        <v>40848</v>
      </c>
      <c r="K209" s="133">
        <v>17</v>
      </c>
      <c r="M209" s="305" t="s">
        <v>385</v>
      </c>
      <c r="N209" s="305" t="s">
        <v>371</v>
      </c>
      <c r="O209" s="305" t="s">
        <v>146</v>
      </c>
      <c r="P209" s="133">
        <v>204</v>
      </c>
      <c r="Q209" s="133">
        <v>1043</v>
      </c>
      <c r="U209" s="305" t="s">
        <v>170</v>
      </c>
    </row>
    <row r="210" spans="1:21" x14ac:dyDescent="0.25">
      <c r="A210" s="305" t="s">
        <v>237</v>
      </c>
      <c r="B210" s="305" t="s">
        <v>254</v>
      </c>
      <c r="G210" s="305" t="s">
        <v>108</v>
      </c>
      <c r="H210" s="305" t="s">
        <v>107</v>
      </c>
      <c r="I210" s="305" t="s">
        <v>1740</v>
      </c>
      <c r="J210" s="73">
        <v>41487</v>
      </c>
      <c r="K210" s="133">
        <v>50</v>
      </c>
      <c r="M210" s="305" t="s">
        <v>386</v>
      </c>
      <c r="N210" s="305" t="s">
        <v>231</v>
      </c>
      <c r="O210" s="305" t="s">
        <v>230</v>
      </c>
      <c r="P210" s="133">
        <v>32</v>
      </c>
      <c r="Q210" s="133">
        <v>187</v>
      </c>
      <c r="U210" s="305" t="s">
        <v>232</v>
      </c>
    </row>
    <row r="211" spans="1:21" x14ac:dyDescent="0.25">
      <c r="A211" s="305" t="s">
        <v>237</v>
      </c>
      <c r="B211" s="305" t="s">
        <v>256</v>
      </c>
      <c r="G211" s="305" t="s">
        <v>183</v>
      </c>
      <c r="H211" s="305" t="s">
        <v>182</v>
      </c>
      <c r="I211" s="305" t="s">
        <v>775</v>
      </c>
      <c r="J211" s="73">
        <v>40969</v>
      </c>
      <c r="K211" s="133">
        <v>0</v>
      </c>
      <c r="M211" s="305" t="s">
        <v>387</v>
      </c>
      <c r="N211" s="305" t="s">
        <v>373</v>
      </c>
      <c r="O211" s="305" t="s">
        <v>288</v>
      </c>
      <c r="P211" s="133">
        <v>0</v>
      </c>
      <c r="Q211" s="133">
        <v>0</v>
      </c>
      <c r="U211" s="305" t="s">
        <v>296</v>
      </c>
    </row>
    <row r="212" spans="1:21" x14ac:dyDescent="0.25">
      <c r="A212" s="305" t="s">
        <v>237</v>
      </c>
      <c r="B212" s="305" t="s">
        <v>303</v>
      </c>
      <c r="G212" s="305" t="s">
        <v>535</v>
      </c>
      <c r="H212" s="305" t="s">
        <v>772</v>
      </c>
      <c r="I212" s="305" t="s">
        <v>775</v>
      </c>
      <c r="J212" s="73">
        <v>41365</v>
      </c>
      <c r="K212" s="133">
        <v>67</v>
      </c>
      <c r="M212" s="305" t="s">
        <v>771</v>
      </c>
      <c r="N212" s="305" t="s">
        <v>359</v>
      </c>
      <c r="O212" s="305" t="s">
        <v>230</v>
      </c>
      <c r="P212" s="133">
        <v>9</v>
      </c>
      <c r="Q212" s="133">
        <v>44</v>
      </c>
      <c r="U212" s="305" t="s">
        <v>380</v>
      </c>
    </row>
    <row r="213" spans="1:21" x14ac:dyDescent="0.25">
      <c r="A213" s="305" t="s">
        <v>237</v>
      </c>
      <c r="B213" s="305" t="s">
        <v>240</v>
      </c>
      <c r="G213" s="305" t="s">
        <v>178</v>
      </c>
      <c r="H213" s="305" t="s">
        <v>177</v>
      </c>
      <c r="I213" s="305" t="s">
        <v>1740</v>
      </c>
      <c r="J213" s="73">
        <v>40969</v>
      </c>
      <c r="K213" s="133">
        <v>10</v>
      </c>
      <c r="M213" s="305" t="s">
        <v>772</v>
      </c>
      <c r="N213" s="305" t="s">
        <v>535</v>
      </c>
      <c r="O213" s="305" t="s">
        <v>719</v>
      </c>
      <c r="P213" s="133">
        <v>67</v>
      </c>
      <c r="Q213" s="133">
        <v>392</v>
      </c>
      <c r="U213" s="305" t="s">
        <v>381</v>
      </c>
    </row>
    <row r="214" spans="1:21" x14ac:dyDescent="0.25">
      <c r="A214" s="305" t="s">
        <v>237</v>
      </c>
      <c r="B214" s="305" t="s">
        <v>284</v>
      </c>
      <c r="G214" s="305" t="s">
        <v>815</v>
      </c>
      <c r="H214" s="305" t="s">
        <v>816</v>
      </c>
      <c r="I214" s="305" t="s">
        <v>775</v>
      </c>
      <c r="J214" s="73">
        <v>41487</v>
      </c>
      <c r="K214" s="133">
        <v>0</v>
      </c>
      <c r="M214" s="305" t="s">
        <v>761</v>
      </c>
      <c r="N214" s="305" t="s">
        <v>760</v>
      </c>
      <c r="O214" s="305" t="s">
        <v>166</v>
      </c>
      <c r="P214" s="133">
        <v>29</v>
      </c>
      <c r="Q214" s="133">
        <v>171</v>
      </c>
      <c r="U214" s="305" t="s">
        <v>382</v>
      </c>
    </row>
    <row r="215" spans="1:21" x14ac:dyDescent="0.25">
      <c r="A215" s="305" t="s">
        <v>237</v>
      </c>
      <c r="B215" s="305" t="s">
        <v>258</v>
      </c>
      <c r="G215" s="305" t="s">
        <v>342</v>
      </c>
      <c r="H215" s="305" t="s">
        <v>341</v>
      </c>
      <c r="I215" s="305" t="s">
        <v>1740</v>
      </c>
      <c r="J215" s="73">
        <v>41030</v>
      </c>
      <c r="K215" s="133">
        <v>19</v>
      </c>
      <c r="M215" s="305" t="s">
        <v>762</v>
      </c>
      <c r="N215" s="305" t="s">
        <v>534</v>
      </c>
      <c r="O215" s="305" t="s">
        <v>297</v>
      </c>
      <c r="P215" s="133">
        <v>118</v>
      </c>
      <c r="Q215" s="133">
        <v>520</v>
      </c>
      <c r="U215" s="305" t="s">
        <v>383</v>
      </c>
    </row>
    <row r="216" spans="1:21" x14ac:dyDescent="0.25">
      <c r="A216" s="305" t="s">
        <v>237</v>
      </c>
      <c r="B216" s="305" t="s">
        <v>260</v>
      </c>
      <c r="G216" s="305" t="s">
        <v>286</v>
      </c>
      <c r="H216" s="305" t="s">
        <v>285</v>
      </c>
      <c r="I216" s="305" t="s">
        <v>1740</v>
      </c>
      <c r="J216" s="73">
        <v>40940</v>
      </c>
      <c r="K216" s="133">
        <v>26</v>
      </c>
      <c r="M216" s="305" t="s">
        <v>838</v>
      </c>
      <c r="N216" s="305" t="s">
        <v>837</v>
      </c>
      <c r="O216" s="305" t="s">
        <v>146</v>
      </c>
      <c r="P216" s="133">
        <v>0</v>
      </c>
      <c r="Q216" s="133">
        <v>0</v>
      </c>
      <c r="U216" s="305" t="s">
        <v>384</v>
      </c>
    </row>
    <row r="217" spans="1:21" x14ac:dyDescent="0.25">
      <c r="A217" s="305" t="s">
        <v>237</v>
      </c>
      <c r="B217" s="305" t="s">
        <v>262</v>
      </c>
      <c r="G217" s="305" t="s">
        <v>1033</v>
      </c>
      <c r="H217" s="305" t="s">
        <v>358</v>
      </c>
      <c r="I217" s="305" t="s">
        <v>775</v>
      </c>
      <c r="J217" s="305" t="s">
        <v>1219</v>
      </c>
      <c r="K217" s="133"/>
      <c r="M217" s="305" t="s">
        <v>840</v>
      </c>
      <c r="N217" s="305" t="s">
        <v>1934</v>
      </c>
      <c r="O217" s="305" t="s">
        <v>146</v>
      </c>
      <c r="P217" s="133">
        <v>86</v>
      </c>
      <c r="Q217" s="133">
        <v>525</v>
      </c>
      <c r="U217" s="305" t="s">
        <v>385</v>
      </c>
    </row>
    <row r="218" spans="1:21" x14ac:dyDescent="0.25">
      <c r="A218" s="305" t="s">
        <v>237</v>
      </c>
      <c r="B218" s="305" t="s">
        <v>264</v>
      </c>
      <c r="G218" s="305" t="s">
        <v>1065</v>
      </c>
      <c r="H218" s="305" t="s">
        <v>1066</v>
      </c>
      <c r="I218" s="305" t="s">
        <v>1740</v>
      </c>
      <c r="J218" s="73">
        <v>42036</v>
      </c>
      <c r="K218" s="133">
        <v>111</v>
      </c>
      <c r="M218" s="305" t="s">
        <v>845</v>
      </c>
      <c r="N218" s="305" t="s">
        <v>846</v>
      </c>
      <c r="O218" s="305" t="s">
        <v>151</v>
      </c>
      <c r="P218" s="133">
        <v>167</v>
      </c>
      <c r="Q218" s="133">
        <v>789</v>
      </c>
      <c r="U218" s="305" t="s">
        <v>386</v>
      </c>
    </row>
    <row r="219" spans="1:21" x14ac:dyDescent="0.25">
      <c r="A219" s="305" t="s">
        <v>237</v>
      </c>
      <c r="B219" s="305" t="s">
        <v>266</v>
      </c>
      <c r="G219" s="305" t="s">
        <v>1081</v>
      </c>
      <c r="H219" s="305" t="s">
        <v>1082</v>
      </c>
      <c r="I219" s="305" t="s">
        <v>1740</v>
      </c>
      <c r="J219" s="73">
        <v>42036</v>
      </c>
      <c r="K219" s="133">
        <v>103</v>
      </c>
      <c r="M219" s="305" t="s">
        <v>873</v>
      </c>
      <c r="N219" s="305" t="s">
        <v>876</v>
      </c>
      <c r="O219" s="305" t="s">
        <v>5</v>
      </c>
      <c r="P219" s="133"/>
      <c r="Q219" s="133"/>
      <c r="U219" s="305" t="s">
        <v>387</v>
      </c>
    </row>
    <row r="220" spans="1:21" x14ac:dyDescent="0.25">
      <c r="A220" s="305" t="s">
        <v>237</v>
      </c>
      <c r="B220" s="305" t="s">
        <v>270</v>
      </c>
      <c r="G220" s="305" t="s">
        <v>110</v>
      </c>
      <c r="H220" s="305" t="s">
        <v>109</v>
      </c>
      <c r="I220" s="305" t="s">
        <v>775</v>
      </c>
      <c r="J220" s="73">
        <v>41122</v>
      </c>
      <c r="K220" s="133">
        <v>0</v>
      </c>
      <c r="M220" s="305" t="s">
        <v>875</v>
      </c>
      <c r="N220" s="305" t="s">
        <v>874</v>
      </c>
      <c r="O220" s="305" t="s">
        <v>27</v>
      </c>
      <c r="P220" s="133">
        <v>28</v>
      </c>
      <c r="Q220" s="133">
        <v>165</v>
      </c>
      <c r="U220" s="305" t="s">
        <v>771</v>
      </c>
    </row>
    <row r="221" spans="1:21" x14ac:dyDescent="0.25">
      <c r="A221" s="305" t="s">
        <v>237</v>
      </c>
      <c r="B221" s="305" t="s">
        <v>268</v>
      </c>
      <c r="G221" s="305" t="s">
        <v>112</v>
      </c>
      <c r="H221" s="305" t="s">
        <v>111</v>
      </c>
      <c r="I221" s="305" t="s">
        <v>775</v>
      </c>
      <c r="J221" s="305" t="s">
        <v>1219</v>
      </c>
      <c r="K221" s="133">
        <v>0</v>
      </c>
      <c r="M221" s="305" t="s">
        <v>888</v>
      </c>
      <c r="N221" s="305" t="s">
        <v>887</v>
      </c>
      <c r="O221" s="305" t="s">
        <v>151</v>
      </c>
      <c r="P221" s="133"/>
      <c r="Q221" s="133"/>
      <c r="U221" s="305" t="s">
        <v>772</v>
      </c>
    </row>
    <row r="222" spans="1:21" x14ac:dyDescent="0.25">
      <c r="A222" s="305" t="s">
        <v>237</v>
      </c>
      <c r="B222" s="305" t="s">
        <v>272</v>
      </c>
      <c r="G222" s="305" t="s">
        <v>215</v>
      </c>
      <c r="H222" s="305" t="s">
        <v>214</v>
      </c>
      <c r="I222" s="305" t="s">
        <v>1740</v>
      </c>
      <c r="J222" s="73">
        <v>41000</v>
      </c>
      <c r="K222" s="133">
        <v>354</v>
      </c>
      <c r="M222" s="305" t="s">
        <v>892</v>
      </c>
      <c r="N222" s="305" t="s">
        <v>891</v>
      </c>
      <c r="O222" s="305" t="s">
        <v>299</v>
      </c>
      <c r="P222" s="133">
        <v>10</v>
      </c>
      <c r="Q222" s="133">
        <v>56</v>
      </c>
      <c r="U222" s="305" t="s">
        <v>761</v>
      </c>
    </row>
    <row r="223" spans="1:21" x14ac:dyDescent="0.25">
      <c r="A223" s="305" t="s">
        <v>237</v>
      </c>
      <c r="B223" s="305" t="s">
        <v>276</v>
      </c>
      <c r="G223" s="305" t="s">
        <v>217</v>
      </c>
      <c r="H223" s="305" t="s">
        <v>216</v>
      </c>
      <c r="I223" s="305" t="s">
        <v>775</v>
      </c>
      <c r="J223" s="73">
        <v>40817</v>
      </c>
      <c r="K223" s="133"/>
      <c r="M223" s="305" t="s">
        <v>903</v>
      </c>
      <c r="N223" s="305" t="s">
        <v>902</v>
      </c>
      <c r="O223" s="305" t="s">
        <v>230</v>
      </c>
      <c r="P223" s="133">
        <v>41</v>
      </c>
      <c r="Q223" s="133">
        <v>187</v>
      </c>
      <c r="U223" s="305" t="s">
        <v>762</v>
      </c>
    </row>
    <row r="224" spans="1:21" x14ac:dyDescent="0.25">
      <c r="A224" s="305" t="s">
        <v>237</v>
      </c>
      <c r="B224" s="305" t="s">
        <v>278</v>
      </c>
      <c r="G224" s="305" t="s">
        <v>268</v>
      </c>
      <c r="H224" s="305" t="s">
        <v>267</v>
      </c>
      <c r="I224" s="305" t="s">
        <v>1740</v>
      </c>
      <c r="J224" s="73">
        <v>40695</v>
      </c>
      <c r="K224" s="133">
        <v>68</v>
      </c>
      <c r="M224" s="305" t="s">
        <v>905</v>
      </c>
      <c r="N224" s="305" t="s">
        <v>904</v>
      </c>
      <c r="O224" s="305" t="s">
        <v>288</v>
      </c>
      <c r="P224" s="133">
        <v>38</v>
      </c>
      <c r="Q224" s="133">
        <v>195</v>
      </c>
      <c r="U224" s="305" t="s">
        <v>838</v>
      </c>
    </row>
    <row r="225" spans="1:21" x14ac:dyDescent="0.25">
      <c r="A225" s="305" t="s">
        <v>237</v>
      </c>
      <c r="B225" s="305" t="s">
        <v>280</v>
      </c>
      <c r="G225" s="305" t="s">
        <v>229</v>
      </c>
      <c r="H225" s="305" t="s">
        <v>228</v>
      </c>
      <c r="I225" s="305" t="s">
        <v>1740</v>
      </c>
      <c r="J225" s="73">
        <v>41122</v>
      </c>
      <c r="K225" s="133">
        <v>48</v>
      </c>
      <c r="M225" s="305" t="s">
        <v>909</v>
      </c>
      <c r="N225" s="305" t="s">
        <v>916</v>
      </c>
      <c r="O225" s="305" t="s">
        <v>288</v>
      </c>
      <c r="P225" s="133">
        <v>115</v>
      </c>
      <c r="Q225" s="133">
        <v>548</v>
      </c>
      <c r="U225" s="305" t="s">
        <v>840</v>
      </c>
    </row>
    <row r="226" spans="1:21" x14ac:dyDescent="0.25">
      <c r="A226" s="305" t="s">
        <v>237</v>
      </c>
      <c r="B226" s="305" t="s">
        <v>238</v>
      </c>
      <c r="G226" s="305" t="s">
        <v>272</v>
      </c>
      <c r="H226" s="305" t="s">
        <v>271</v>
      </c>
      <c r="I226" s="305" t="s">
        <v>1740</v>
      </c>
      <c r="J226" s="73">
        <v>41244</v>
      </c>
      <c r="K226" s="133">
        <v>138</v>
      </c>
      <c r="M226" s="305" t="s">
        <v>911</v>
      </c>
      <c r="N226" s="305" t="s">
        <v>910</v>
      </c>
      <c r="O226" s="305" t="s">
        <v>151</v>
      </c>
      <c r="P226" s="133">
        <v>151</v>
      </c>
      <c r="Q226" s="133">
        <v>729</v>
      </c>
      <c r="U226" s="305" t="s">
        <v>903</v>
      </c>
    </row>
    <row r="227" spans="1:21" x14ac:dyDescent="0.25">
      <c r="A227" s="305" t="s">
        <v>237</v>
      </c>
      <c r="B227" s="305" t="s">
        <v>248</v>
      </c>
      <c r="G227" s="305" t="s">
        <v>1723</v>
      </c>
      <c r="H227" s="305" t="s">
        <v>1722</v>
      </c>
      <c r="I227" s="305" t="s">
        <v>1740</v>
      </c>
      <c r="J227" s="73">
        <v>43252</v>
      </c>
      <c r="K227" s="133">
        <v>32</v>
      </c>
      <c r="M227" s="305" t="s">
        <v>913</v>
      </c>
      <c r="N227" s="305" t="s">
        <v>912</v>
      </c>
      <c r="O227" s="305" t="s">
        <v>230</v>
      </c>
      <c r="P227" s="133">
        <v>18</v>
      </c>
      <c r="Q227" s="133">
        <v>80</v>
      </c>
      <c r="U227" s="305" t="s">
        <v>905</v>
      </c>
    </row>
    <row r="228" spans="1:21" x14ac:dyDescent="0.25">
      <c r="A228" s="305" t="s">
        <v>237</v>
      </c>
      <c r="B228" s="305" t="s">
        <v>250</v>
      </c>
      <c r="G228" s="305" t="s">
        <v>219</v>
      </c>
      <c r="H228" s="305" t="s">
        <v>218</v>
      </c>
      <c r="I228" s="305" t="s">
        <v>1740</v>
      </c>
      <c r="J228" s="73">
        <v>41000</v>
      </c>
      <c r="K228" s="133">
        <v>632</v>
      </c>
      <c r="M228" s="305" t="s">
        <v>915</v>
      </c>
      <c r="N228" s="305" t="s">
        <v>914</v>
      </c>
      <c r="O228" s="305" t="s">
        <v>480</v>
      </c>
      <c r="P228" s="133">
        <v>107</v>
      </c>
      <c r="Q228" s="133">
        <v>529</v>
      </c>
      <c r="U228" s="305" t="s">
        <v>909</v>
      </c>
    </row>
    <row r="229" spans="1:21" x14ac:dyDescent="0.25">
      <c r="A229" s="305" t="s">
        <v>237</v>
      </c>
      <c r="B229" s="305" t="s">
        <v>274</v>
      </c>
      <c r="G229" s="305" t="s">
        <v>1029</v>
      </c>
      <c r="H229" s="305" t="s">
        <v>343</v>
      </c>
      <c r="I229" s="305" t="s">
        <v>1740</v>
      </c>
      <c r="J229" s="73">
        <v>40725</v>
      </c>
      <c r="K229" s="133">
        <v>185</v>
      </c>
      <c r="M229" s="305" t="s">
        <v>938</v>
      </c>
      <c r="N229" s="305" t="s">
        <v>937</v>
      </c>
      <c r="O229" s="305" t="s">
        <v>151</v>
      </c>
      <c r="P229" s="133">
        <v>155</v>
      </c>
      <c r="Q229" s="133">
        <v>681</v>
      </c>
      <c r="U229" s="305" t="s">
        <v>913</v>
      </c>
    </row>
    <row r="230" spans="1:21" x14ac:dyDescent="0.25">
      <c r="A230" s="305" t="s">
        <v>237</v>
      </c>
      <c r="B230" s="305" t="s">
        <v>282</v>
      </c>
      <c r="G230" s="305" t="s">
        <v>1529</v>
      </c>
      <c r="H230" s="305" t="s">
        <v>1546</v>
      </c>
      <c r="I230" s="305" t="s">
        <v>1740</v>
      </c>
      <c r="J230" s="73">
        <v>42370</v>
      </c>
      <c r="K230" s="133">
        <v>35</v>
      </c>
      <c r="M230" s="305" t="s">
        <v>941</v>
      </c>
      <c r="N230" s="305" t="s">
        <v>942</v>
      </c>
      <c r="O230" s="305" t="s">
        <v>146</v>
      </c>
      <c r="P230" s="133">
        <v>20</v>
      </c>
      <c r="Q230" s="133">
        <v>95</v>
      </c>
      <c r="U230" s="305" t="s">
        <v>938</v>
      </c>
    </row>
    <row r="231" spans="1:21" x14ac:dyDescent="0.25">
      <c r="A231" s="305" t="s">
        <v>237</v>
      </c>
      <c r="B231" s="305" t="s">
        <v>1030</v>
      </c>
      <c r="G231" s="305" t="s">
        <v>1136</v>
      </c>
      <c r="H231" s="305" t="s">
        <v>1121</v>
      </c>
      <c r="I231" s="305" t="s">
        <v>1740</v>
      </c>
      <c r="J231" s="73">
        <v>42370</v>
      </c>
      <c r="K231" s="133">
        <v>17</v>
      </c>
      <c r="M231" s="305" t="s">
        <v>956</v>
      </c>
      <c r="N231" s="305" t="s">
        <v>955</v>
      </c>
      <c r="O231" s="305" t="s">
        <v>480</v>
      </c>
      <c r="P231" s="133"/>
      <c r="Q231" s="133"/>
      <c r="U231" s="305" t="s">
        <v>941</v>
      </c>
    </row>
    <row r="232" spans="1:21" x14ac:dyDescent="0.25">
      <c r="A232" s="305" t="s">
        <v>237</v>
      </c>
      <c r="B232" s="305" t="s">
        <v>1509</v>
      </c>
      <c r="G232" s="305" t="s">
        <v>790</v>
      </c>
      <c r="H232" s="305" t="s">
        <v>789</v>
      </c>
      <c r="I232" s="305" t="s">
        <v>1740</v>
      </c>
      <c r="J232" s="73">
        <v>41091</v>
      </c>
      <c r="K232" s="133">
        <v>57</v>
      </c>
      <c r="M232" s="305" t="s">
        <v>985</v>
      </c>
      <c r="N232" s="305" t="s">
        <v>983</v>
      </c>
      <c r="O232" s="305" t="s">
        <v>180</v>
      </c>
      <c r="P232" s="133">
        <v>26</v>
      </c>
      <c r="Q232" s="133">
        <v>116</v>
      </c>
      <c r="U232" s="305" t="s">
        <v>956</v>
      </c>
    </row>
    <row r="233" spans="1:21" x14ac:dyDescent="0.25">
      <c r="A233" s="305" t="s">
        <v>237</v>
      </c>
      <c r="B233" s="305" t="s">
        <v>1512</v>
      </c>
      <c r="G233" s="305" t="s">
        <v>114</v>
      </c>
      <c r="H233" s="305" t="s">
        <v>113</v>
      </c>
      <c r="I233" s="305" t="s">
        <v>775</v>
      </c>
      <c r="J233" s="305" t="s">
        <v>1219</v>
      </c>
      <c r="K233" s="133">
        <v>0</v>
      </c>
      <c r="M233" s="305" t="s">
        <v>986</v>
      </c>
      <c r="N233" s="305" t="s">
        <v>984</v>
      </c>
      <c r="O233" s="305" t="s">
        <v>180</v>
      </c>
      <c r="P233" s="133">
        <v>14</v>
      </c>
      <c r="Q233" s="133">
        <v>51</v>
      </c>
      <c r="U233" s="305" t="s">
        <v>985</v>
      </c>
    </row>
    <row r="234" spans="1:21" x14ac:dyDescent="0.25">
      <c r="A234" s="305" t="s">
        <v>237</v>
      </c>
      <c r="B234" s="305" t="s">
        <v>1526</v>
      </c>
      <c r="G234" s="305" t="s">
        <v>364</v>
      </c>
      <c r="H234" s="305" t="s">
        <v>374</v>
      </c>
      <c r="I234" s="305" t="s">
        <v>1740</v>
      </c>
      <c r="J234" s="73">
        <v>41275</v>
      </c>
      <c r="K234" s="133">
        <v>147</v>
      </c>
      <c r="M234" s="305" t="s">
        <v>1043</v>
      </c>
      <c r="N234" s="305" t="s">
        <v>1059</v>
      </c>
      <c r="O234" s="305" t="s">
        <v>719</v>
      </c>
      <c r="P234" s="133">
        <v>32</v>
      </c>
      <c r="Q234" s="133">
        <v>172</v>
      </c>
      <c r="U234" s="305" t="s">
        <v>986</v>
      </c>
    </row>
    <row r="235" spans="1:21" x14ac:dyDescent="0.25">
      <c r="A235" s="305" t="s">
        <v>237</v>
      </c>
      <c r="B235" s="305" t="s">
        <v>1671</v>
      </c>
      <c r="G235" s="305" t="s">
        <v>221</v>
      </c>
      <c r="H235" s="305" t="s">
        <v>220</v>
      </c>
      <c r="I235" s="305" t="s">
        <v>775</v>
      </c>
      <c r="J235" s="305" t="s">
        <v>1219</v>
      </c>
      <c r="K235" s="133"/>
      <c r="M235" s="305" t="s">
        <v>1044</v>
      </c>
      <c r="N235" s="305" t="s">
        <v>1045</v>
      </c>
      <c r="O235" s="305" t="s">
        <v>299</v>
      </c>
      <c r="P235" s="133">
        <v>61</v>
      </c>
      <c r="Q235" s="133">
        <v>281</v>
      </c>
      <c r="U235" s="305" t="s">
        <v>1043</v>
      </c>
    </row>
    <row r="236" spans="1:21" x14ac:dyDescent="0.25">
      <c r="A236" s="305" t="s">
        <v>237</v>
      </c>
      <c r="B236" s="305" t="s">
        <v>1697</v>
      </c>
      <c r="G236" s="305" t="s">
        <v>353</v>
      </c>
      <c r="H236" s="305" t="s">
        <v>352</v>
      </c>
      <c r="I236" s="305" t="s">
        <v>1740</v>
      </c>
      <c r="J236" s="73">
        <v>40848</v>
      </c>
      <c r="K236" s="133">
        <v>82</v>
      </c>
      <c r="M236" s="305" t="s">
        <v>1054</v>
      </c>
      <c r="N236" s="305" t="s">
        <v>1062</v>
      </c>
      <c r="O236" s="305" t="s">
        <v>173</v>
      </c>
      <c r="P236" s="133"/>
      <c r="Q236" s="133"/>
      <c r="U236" s="305" t="s">
        <v>1044</v>
      </c>
    </row>
    <row r="237" spans="1:21" x14ac:dyDescent="0.25">
      <c r="A237" s="305" t="s">
        <v>237</v>
      </c>
      <c r="B237" s="305" t="s">
        <v>1723</v>
      </c>
      <c r="G237" s="305" t="s">
        <v>317</v>
      </c>
      <c r="H237" s="305" t="s">
        <v>316</v>
      </c>
      <c r="I237" s="305" t="s">
        <v>1740</v>
      </c>
      <c r="J237" s="73">
        <v>40725</v>
      </c>
      <c r="K237" s="133">
        <v>121</v>
      </c>
      <c r="M237" s="305" t="s">
        <v>1055</v>
      </c>
      <c r="N237" s="305" t="s">
        <v>1061</v>
      </c>
      <c r="O237" s="305" t="s">
        <v>173</v>
      </c>
      <c r="P237" s="133">
        <v>26</v>
      </c>
      <c r="Q237" s="133">
        <v>133</v>
      </c>
      <c r="U237" s="305" t="s">
        <v>1054</v>
      </c>
    </row>
    <row r="238" spans="1:21" x14ac:dyDescent="0.25">
      <c r="A238" s="305" t="s">
        <v>237</v>
      </c>
      <c r="B238" s="305" t="s">
        <v>1729</v>
      </c>
      <c r="G238" s="305" t="s">
        <v>340</v>
      </c>
      <c r="H238" s="305" t="s">
        <v>339</v>
      </c>
      <c r="I238" s="305" t="s">
        <v>1740</v>
      </c>
      <c r="J238" s="73">
        <v>40695</v>
      </c>
      <c r="K238" s="133">
        <v>66</v>
      </c>
      <c r="M238" s="305" t="s">
        <v>1056</v>
      </c>
      <c r="N238" s="305" t="s">
        <v>1053</v>
      </c>
      <c r="O238" s="305" t="s">
        <v>173</v>
      </c>
      <c r="P238" s="133">
        <v>6</v>
      </c>
      <c r="Q238" s="133">
        <v>31</v>
      </c>
      <c r="U238" s="305" t="s">
        <v>1055</v>
      </c>
    </row>
    <row r="239" spans="1:21" x14ac:dyDescent="0.25">
      <c r="A239" s="305" t="s">
        <v>237</v>
      </c>
      <c r="B239" s="305" t="s">
        <v>1765</v>
      </c>
      <c r="G239" s="305" t="s">
        <v>337</v>
      </c>
      <c r="H239" s="305" t="s">
        <v>336</v>
      </c>
      <c r="I239" s="305" t="s">
        <v>1740</v>
      </c>
      <c r="J239" s="73">
        <v>40695</v>
      </c>
      <c r="K239" s="133">
        <v>36</v>
      </c>
      <c r="M239" s="305" t="s">
        <v>1066</v>
      </c>
      <c r="N239" s="305" t="s">
        <v>1065</v>
      </c>
      <c r="O239" s="305" t="s">
        <v>746</v>
      </c>
      <c r="P239" s="133">
        <v>111</v>
      </c>
      <c r="Q239" s="133">
        <v>634</v>
      </c>
      <c r="U239" s="305" t="s">
        <v>1056</v>
      </c>
    </row>
    <row r="240" spans="1:21" x14ac:dyDescent="0.25">
      <c r="A240" s="305" t="s">
        <v>288</v>
      </c>
      <c r="B240" s="305" t="s">
        <v>291</v>
      </c>
      <c r="G240" s="305" t="s">
        <v>349</v>
      </c>
      <c r="H240" s="305" t="s">
        <v>348</v>
      </c>
      <c r="I240" s="305" t="s">
        <v>775</v>
      </c>
      <c r="J240" s="73">
        <v>40940</v>
      </c>
      <c r="K240" s="133">
        <v>92</v>
      </c>
      <c r="M240" s="305" t="s">
        <v>1068</v>
      </c>
      <c r="N240" s="305" t="s">
        <v>1067</v>
      </c>
      <c r="O240" s="305" t="s">
        <v>746</v>
      </c>
      <c r="P240" s="133">
        <v>64</v>
      </c>
      <c r="Q240" s="133">
        <v>311</v>
      </c>
      <c r="U240" s="305" t="s">
        <v>1066</v>
      </c>
    </row>
    <row r="241" spans="1:21" x14ac:dyDescent="0.25">
      <c r="A241" s="305" t="s">
        <v>288</v>
      </c>
      <c r="B241" s="305" t="s">
        <v>289</v>
      </c>
      <c r="G241" s="305" t="s">
        <v>118</v>
      </c>
      <c r="H241" s="305" t="s">
        <v>117</v>
      </c>
      <c r="I241" s="305" t="s">
        <v>1740</v>
      </c>
      <c r="J241" s="73">
        <v>41275</v>
      </c>
      <c r="K241" s="133">
        <v>10</v>
      </c>
      <c r="M241" s="305" t="s">
        <v>1080</v>
      </c>
      <c r="N241" s="305" t="s">
        <v>1079</v>
      </c>
      <c r="O241" s="305" t="s">
        <v>185</v>
      </c>
      <c r="P241" s="133"/>
      <c r="Q241" s="133"/>
      <c r="U241" s="305" t="s">
        <v>1068</v>
      </c>
    </row>
    <row r="242" spans="1:21" x14ac:dyDescent="0.25">
      <c r="A242" s="305" t="s">
        <v>288</v>
      </c>
      <c r="B242" s="305" t="s">
        <v>372</v>
      </c>
      <c r="G242" s="305" t="s">
        <v>22</v>
      </c>
      <c r="H242" s="305" t="s">
        <v>21</v>
      </c>
      <c r="I242" s="305" t="s">
        <v>1740</v>
      </c>
      <c r="J242" s="73">
        <v>40725</v>
      </c>
      <c r="K242" s="133">
        <v>641</v>
      </c>
      <c r="M242" s="305" t="s">
        <v>1082</v>
      </c>
      <c r="N242" s="305" t="s">
        <v>1081</v>
      </c>
      <c r="O242" s="305" t="s">
        <v>146</v>
      </c>
      <c r="P242" s="133">
        <v>103</v>
      </c>
      <c r="Q242" s="133">
        <v>578</v>
      </c>
      <c r="U242" s="305" t="s">
        <v>1080</v>
      </c>
    </row>
    <row r="243" spans="1:21" x14ac:dyDescent="0.25">
      <c r="A243" s="305" t="s">
        <v>288</v>
      </c>
      <c r="B243" s="305" t="s">
        <v>373</v>
      </c>
      <c r="G243" s="305" t="s">
        <v>122</v>
      </c>
      <c r="H243" s="305" t="s">
        <v>121</v>
      </c>
      <c r="I243" s="305" t="s">
        <v>775</v>
      </c>
      <c r="J243" s="305" t="s">
        <v>1219</v>
      </c>
      <c r="K243" s="133">
        <v>0</v>
      </c>
      <c r="M243" s="305" t="s">
        <v>1133</v>
      </c>
      <c r="N243" s="305" t="s">
        <v>1132</v>
      </c>
      <c r="O243" s="305" t="s">
        <v>480</v>
      </c>
      <c r="P243" s="133"/>
      <c r="Q243" s="133"/>
      <c r="U243" s="305" t="s">
        <v>1082</v>
      </c>
    </row>
    <row r="244" spans="1:21" x14ac:dyDescent="0.25">
      <c r="A244" s="305" t="s">
        <v>288</v>
      </c>
      <c r="B244" s="305" t="s">
        <v>293</v>
      </c>
      <c r="G244" s="305" t="s">
        <v>1257</v>
      </c>
      <c r="H244" s="305" t="s">
        <v>1545</v>
      </c>
      <c r="I244" s="305" t="s">
        <v>1740</v>
      </c>
      <c r="J244" s="73">
        <v>42751</v>
      </c>
      <c r="K244" s="133">
        <v>80</v>
      </c>
      <c r="M244" s="305" t="s">
        <v>1131</v>
      </c>
      <c r="N244" s="305" t="s">
        <v>295</v>
      </c>
      <c r="O244" s="305" t="s">
        <v>151</v>
      </c>
      <c r="P244" s="133"/>
      <c r="Q244" s="133"/>
      <c r="U244" s="305" t="s">
        <v>1133</v>
      </c>
    </row>
    <row r="245" spans="1:21" x14ac:dyDescent="0.25">
      <c r="A245" s="305" t="s">
        <v>288</v>
      </c>
      <c r="B245" s="305" t="s">
        <v>904</v>
      </c>
      <c r="G245" s="305" t="s">
        <v>124</v>
      </c>
      <c r="H245" s="305" t="s">
        <v>123</v>
      </c>
      <c r="I245" s="305" t="s">
        <v>775</v>
      </c>
      <c r="J245" s="73">
        <v>41275</v>
      </c>
      <c r="K245" s="133">
        <v>8</v>
      </c>
      <c r="M245" s="305" t="s">
        <v>1120</v>
      </c>
      <c r="N245" s="305" t="s">
        <v>1615</v>
      </c>
      <c r="O245" s="305" t="s">
        <v>146</v>
      </c>
      <c r="P245" s="133">
        <v>82</v>
      </c>
      <c r="Q245" s="133">
        <v>426</v>
      </c>
      <c r="U245" s="305" t="s">
        <v>1131</v>
      </c>
    </row>
    <row r="246" spans="1:21" x14ac:dyDescent="0.25">
      <c r="A246" s="305" t="s">
        <v>288</v>
      </c>
      <c r="B246" s="305" t="s">
        <v>916</v>
      </c>
      <c r="G246" s="305" t="s">
        <v>1067</v>
      </c>
      <c r="H246" s="305" t="s">
        <v>1068</v>
      </c>
      <c r="I246" s="305" t="s">
        <v>1740</v>
      </c>
      <c r="J246" s="73">
        <v>42036</v>
      </c>
      <c r="K246" s="133">
        <v>64</v>
      </c>
      <c r="M246" s="305" t="s">
        <v>1121</v>
      </c>
      <c r="N246" s="305" t="s">
        <v>1136</v>
      </c>
      <c r="O246" s="305" t="s">
        <v>297</v>
      </c>
      <c r="P246" s="133">
        <v>17</v>
      </c>
      <c r="Q246" s="133">
        <v>89</v>
      </c>
      <c r="U246" s="305" t="s">
        <v>1120</v>
      </c>
    </row>
    <row r="247" spans="1:21" x14ac:dyDescent="0.25">
      <c r="A247" s="305" t="s">
        <v>288</v>
      </c>
      <c r="B247" s="305" t="s">
        <v>1128</v>
      </c>
      <c r="G247" s="305" t="s">
        <v>96</v>
      </c>
      <c r="H247" s="305" t="s">
        <v>95</v>
      </c>
      <c r="I247" s="305" t="s">
        <v>775</v>
      </c>
      <c r="J247" s="305" t="s">
        <v>1219</v>
      </c>
      <c r="K247" s="133">
        <v>0</v>
      </c>
      <c r="M247" s="305" t="s">
        <v>1122</v>
      </c>
      <c r="N247" s="305" t="s">
        <v>1139</v>
      </c>
      <c r="O247" s="305" t="s">
        <v>166</v>
      </c>
      <c r="P247" s="133">
        <v>36</v>
      </c>
      <c r="Q247" s="133">
        <v>188</v>
      </c>
      <c r="U247" s="305" t="s">
        <v>1121</v>
      </c>
    </row>
    <row r="248" spans="1:21" x14ac:dyDescent="0.25">
      <c r="A248" s="305" t="s">
        <v>288</v>
      </c>
      <c r="B248" s="305" t="s">
        <v>1129</v>
      </c>
      <c r="G248" s="305" t="s">
        <v>1062</v>
      </c>
      <c r="H248" s="305" t="s">
        <v>1054</v>
      </c>
      <c r="I248" s="305" t="s">
        <v>775</v>
      </c>
      <c r="J248" s="73">
        <v>42125</v>
      </c>
      <c r="K248" s="133"/>
      <c r="M248" s="305" t="s">
        <v>1123</v>
      </c>
      <c r="N248" s="305" t="s">
        <v>1128</v>
      </c>
      <c r="O248" s="305" t="s">
        <v>288</v>
      </c>
      <c r="P248" s="133"/>
      <c r="Q248" s="133"/>
      <c r="U248" s="305" t="s">
        <v>1122</v>
      </c>
    </row>
    <row r="249" spans="1:21" x14ac:dyDescent="0.25">
      <c r="A249" s="305" t="s">
        <v>297</v>
      </c>
      <c r="B249" s="305" t="s">
        <v>759</v>
      </c>
      <c r="G249" s="305" t="s">
        <v>1061</v>
      </c>
      <c r="H249" s="305" t="s">
        <v>1055</v>
      </c>
      <c r="I249" s="305" t="s">
        <v>1740</v>
      </c>
      <c r="J249" s="73">
        <v>42125</v>
      </c>
      <c r="K249" s="133">
        <v>26</v>
      </c>
      <c r="M249" s="305" t="s">
        <v>1124</v>
      </c>
      <c r="N249" s="305" t="s">
        <v>1129</v>
      </c>
      <c r="O249" s="305" t="s">
        <v>288</v>
      </c>
      <c r="P249" s="133">
        <v>62</v>
      </c>
      <c r="Q249" s="133">
        <v>328</v>
      </c>
      <c r="U249" s="305" t="s">
        <v>1123</v>
      </c>
    </row>
    <row r="250" spans="1:21" x14ac:dyDescent="0.25">
      <c r="A250" s="305" t="s">
        <v>297</v>
      </c>
      <c r="B250" s="305" t="s">
        <v>534</v>
      </c>
      <c r="G250" s="305" t="s">
        <v>874</v>
      </c>
      <c r="H250" s="305" t="s">
        <v>875</v>
      </c>
      <c r="I250" s="305" t="s">
        <v>1740</v>
      </c>
      <c r="J250" s="73">
        <v>41091</v>
      </c>
      <c r="K250" s="133">
        <v>28</v>
      </c>
      <c r="M250" s="305" t="s">
        <v>1125</v>
      </c>
      <c r="N250" s="305" t="s">
        <v>1570</v>
      </c>
      <c r="O250" s="305" t="s">
        <v>146</v>
      </c>
      <c r="P250" s="133">
        <v>41</v>
      </c>
      <c r="Q250" s="133">
        <v>137</v>
      </c>
      <c r="U250" s="305" t="s">
        <v>1124</v>
      </c>
    </row>
    <row r="251" spans="1:21" x14ac:dyDescent="0.25">
      <c r="A251" s="305" t="s">
        <v>297</v>
      </c>
      <c r="B251" s="305" t="s">
        <v>1136</v>
      </c>
      <c r="G251" s="305" t="s">
        <v>225</v>
      </c>
      <c r="H251" s="305" t="s">
        <v>224</v>
      </c>
      <c r="I251" s="305" t="s">
        <v>1740</v>
      </c>
      <c r="J251" s="73">
        <v>41122</v>
      </c>
      <c r="K251" s="133">
        <v>43</v>
      </c>
      <c r="M251" s="305" t="s">
        <v>1126</v>
      </c>
      <c r="N251" s="305" t="s">
        <v>1142</v>
      </c>
      <c r="O251" s="305" t="s">
        <v>719</v>
      </c>
      <c r="P251" s="133"/>
      <c r="Q251" s="133"/>
      <c r="U251" s="305" t="s">
        <v>1125</v>
      </c>
    </row>
    <row r="252" spans="1:21" x14ac:dyDescent="0.25">
      <c r="A252" s="305" t="s">
        <v>297</v>
      </c>
      <c r="B252" s="305" t="s">
        <v>1185</v>
      </c>
      <c r="G252" s="305" t="s">
        <v>1263</v>
      </c>
      <c r="H252" s="305" t="s">
        <v>1261</v>
      </c>
      <c r="I252" s="305" t="s">
        <v>1740</v>
      </c>
      <c r="J252" s="73">
        <v>42752</v>
      </c>
      <c r="K252" s="133">
        <v>398</v>
      </c>
      <c r="M252" s="305" t="s">
        <v>1127</v>
      </c>
      <c r="N252" s="305" t="s">
        <v>1145</v>
      </c>
      <c r="O252" s="305" t="s">
        <v>146</v>
      </c>
      <c r="P252" s="133">
        <v>30</v>
      </c>
      <c r="Q252" s="133">
        <v>170</v>
      </c>
      <c r="U252" s="305" t="s">
        <v>1126</v>
      </c>
    </row>
    <row r="253" spans="1:21" x14ac:dyDescent="0.25">
      <c r="A253" s="305" t="s">
        <v>297</v>
      </c>
      <c r="B253" s="305" t="s">
        <v>1187</v>
      </c>
      <c r="G253" s="305" t="s">
        <v>1157</v>
      </c>
      <c r="H253" s="305" t="s">
        <v>1160</v>
      </c>
      <c r="I253" s="305" t="s">
        <v>1740</v>
      </c>
      <c r="J253" s="73">
        <v>42584</v>
      </c>
      <c r="K253" s="133">
        <v>28</v>
      </c>
      <c r="M253" s="305" t="s">
        <v>1159</v>
      </c>
      <c r="N253" s="305" t="s">
        <v>1153</v>
      </c>
      <c r="O253" s="305" t="s">
        <v>480</v>
      </c>
      <c r="P253" s="133"/>
      <c r="Q253" s="133"/>
      <c r="U253" s="305" t="s">
        <v>1127</v>
      </c>
    </row>
    <row r="254" spans="1:21" x14ac:dyDescent="0.25">
      <c r="A254" s="305" t="s">
        <v>297</v>
      </c>
      <c r="B254" s="305" t="s">
        <v>1188</v>
      </c>
      <c r="G254" s="305" t="s">
        <v>1156</v>
      </c>
      <c r="H254" s="305" t="s">
        <v>1162</v>
      </c>
      <c r="I254" s="305" t="s">
        <v>1740</v>
      </c>
      <c r="J254" s="73">
        <v>42584</v>
      </c>
      <c r="K254" s="133">
        <v>4</v>
      </c>
      <c r="M254" s="305" t="s">
        <v>1160</v>
      </c>
      <c r="N254" s="305" t="s">
        <v>1157</v>
      </c>
      <c r="O254" s="305" t="s">
        <v>480</v>
      </c>
      <c r="P254" s="133">
        <v>28</v>
      </c>
      <c r="Q254" s="133">
        <v>126</v>
      </c>
      <c r="U254" s="305" t="s">
        <v>1159</v>
      </c>
    </row>
    <row r="255" spans="1:21" x14ac:dyDescent="0.25">
      <c r="A255" s="305" t="s">
        <v>297</v>
      </c>
      <c r="B255" s="305" t="s">
        <v>1189</v>
      </c>
      <c r="G255" s="305" t="s">
        <v>276</v>
      </c>
      <c r="H255" s="305" t="s">
        <v>275</v>
      </c>
      <c r="I255" s="305" t="s">
        <v>1740</v>
      </c>
      <c r="J255" s="73">
        <v>40756</v>
      </c>
      <c r="K255" s="133">
        <v>120</v>
      </c>
      <c r="M255" s="305" t="s">
        <v>1161</v>
      </c>
      <c r="N255" s="305" t="s">
        <v>1154</v>
      </c>
      <c r="O255" s="305" t="s">
        <v>480</v>
      </c>
      <c r="P255" s="133"/>
      <c r="Q255" s="133"/>
      <c r="U255" s="305" t="s">
        <v>1160</v>
      </c>
    </row>
    <row r="256" spans="1:21" x14ac:dyDescent="0.25">
      <c r="A256" s="305" t="s">
        <v>297</v>
      </c>
      <c r="B256" s="305" t="s">
        <v>1190</v>
      </c>
      <c r="G256" s="305" t="s">
        <v>278</v>
      </c>
      <c r="H256" s="305" t="s">
        <v>277</v>
      </c>
      <c r="I256" s="305" t="s">
        <v>1740</v>
      </c>
      <c r="J256" s="73">
        <v>40909</v>
      </c>
      <c r="K256" s="133">
        <v>23</v>
      </c>
      <c r="M256" s="305" t="s">
        <v>1162</v>
      </c>
      <c r="N256" s="305" t="s">
        <v>1156</v>
      </c>
      <c r="O256" s="305" t="s">
        <v>480</v>
      </c>
      <c r="P256" s="133">
        <v>4</v>
      </c>
      <c r="Q256" s="133">
        <v>11</v>
      </c>
      <c r="U256" s="305" t="s">
        <v>1161</v>
      </c>
    </row>
    <row r="257" spans="1:21" x14ac:dyDescent="0.25">
      <c r="A257" s="305" t="s">
        <v>297</v>
      </c>
      <c r="B257" s="305" t="s">
        <v>1275</v>
      </c>
      <c r="G257" s="305" t="s">
        <v>345</v>
      </c>
      <c r="H257" s="305" t="s">
        <v>344</v>
      </c>
      <c r="I257" s="305" t="s">
        <v>1740</v>
      </c>
      <c r="J257" s="73">
        <v>40848</v>
      </c>
      <c r="K257" s="133">
        <v>183</v>
      </c>
      <c r="M257" s="305" t="s">
        <v>1163</v>
      </c>
      <c r="N257" s="305" t="s">
        <v>1155</v>
      </c>
      <c r="O257" s="305" t="s">
        <v>480</v>
      </c>
      <c r="P257" s="133">
        <v>21</v>
      </c>
      <c r="Q257" s="133">
        <v>92</v>
      </c>
      <c r="U257" s="305" t="s">
        <v>1162</v>
      </c>
    </row>
    <row r="258" spans="1:21" x14ac:dyDescent="0.25">
      <c r="A258" s="305" t="s">
        <v>299</v>
      </c>
      <c r="B258" s="305" t="s">
        <v>815</v>
      </c>
      <c r="G258" s="305" t="s">
        <v>305</v>
      </c>
      <c r="H258" s="305" t="s">
        <v>304</v>
      </c>
      <c r="I258" s="305" t="s">
        <v>1740</v>
      </c>
      <c r="J258" s="73">
        <v>40725</v>
      </c>
      <c r="K258" s="133">
        <v>47</v>
      </c>
      <c r="M258" s="305" t="s">
        <v>1168</v>
      </c>
      <c r="N258" s="305" t="s">
        <v>1185</v>
      </c>
      <c r="O258" s="305" t="s">
        <v>297</v>
      </c>
      <c r="P258" s="133"/>
      <c r="Q258" s="133"/>
      <c r="U258" s="305" t="s">
        <v>1163</v>
      </c>
    </row>
    <row r="259" spans="1:21" x14ac:dyDescent="0.25">
      <c r="A259" s="305" t="s">
        <v>299</v>
      </c>
      <c r="B259" s="305" t="s">
        <v>300</v>
      </c>
      <c r="G259" s="305" t="s">
        <v>307</v>
      </c>
      <c r="H259" s="305" t="s">
        <v>306</v>
      </c>
      <c r="I259" s="305" t="s">
        <v>1740</v>
      </c>
      <c r="J259" s="73">
        <v>40725</v>
      </c>
      <c r="K259" s="133">
        <v>47</v>
      </c>
      <c r="M259" s="305" t="s">
        <v>1169</v>
      </c>
      <c r="N259" s="305" t="s">
        <v>1187</v>
      </c>
      <c r="O259" s="305" t="s">
        <v>297</v>
      </c>
      <c r="P259" s="133">
        <v>13</v>
      </c>
      <c r="Q259" s="133">
        <v>45</v>
      </c>
      <c r="U259" s="305" t="s">
        <v>1168</v>
      </c>
    </row>
    <row r="260" spans="1:21" x14ac:dyDescent="0.25">
      <c r="A260" s="305" t="s">
        <v>299</v>
      </c>
      <c r="B260" s="305" t="s">
        <v>891</v>
      </c>
      <c r="G260" s="305" t="s">
        <v>1185</v>
      </c>
      <c r="H260" s="305" t="s">
        <v>1168</v>
      </c>
      <c r="I260" s="305" t="s">
        <v>775</v>
      </c>
      <c r="J260" s="305" t="s">
        <v>1219</v>
      </c>
      <c r="K260" s="133"/>
      <c r="M260" s="305" t="s">
        <v>1170</v>
      </c>
      <c r="N260" s="305" t="s">
        <v>1188</v>
      </c>
      <c r="O260" s="305" t="s">
        <v>297</v>
      </c>
      <c r="P260" s="133"/>
      <c r="Q260" s="133"/>
      <c r="U260" s="305" t="s">
        <v>1169</v>
      </c>
    </row>
    <row r="261" spans="1:21" x14ac:dyDescent="0.25">
      <c r="A261" s="305" t="s">
        <v>299</v>
      </c>
      <c r="B261" s="305" t="s">
        <v>1045</v>
      </c>
      <c r="G261" s="305" t="s">
        <v>280</v>
      </c>
      <c r="H261" s="305" t="s">
        <v>279</v>
      </c>
      <c r="I261" s="305" t="s">
        <v>1740</v>
      </c>
      <c r="J261" s="73">
        <v>40725</v>
      </c>
      <c r="K261" s="133">
        <v>91</v>
      </c>
      <c r="M261" s="305" t="s">
        <v>1171</v>
      </c>
      <c r="N261" s="305" t="s">
        <v>1189</v>
      </c>
      <c r="O261" s="305" t="s">
        <v>297</v>
      </c>
      <c r="P261" s="133"/>
      <c r="Q261" s="133"/>
      <c r="U261" s="305" t="s">
        <v>1170</v>
      </c>
    </row>
    <row r="262" spans="1:21" x14ac:dyDescent="0.25">
      <c r="A262" s="305" t="s">
        <v>301</v>
      </c>
      <c r="B262" s="305" t="s">
        <v>12</v>
      </c>
      <c r="G262" s="305" t="s">
        <v>813</v>
      </c>
      <c r="H262" s="305" t="s">
        <v>814</v>
      </c>
      <c r="I262" s="305" t="s">
        <v>775</v>
      </c>
      <c r="J262" s="305" t="s">
        <v>1219</v>
      </c>
      <c r="K262" s="133">
        <v>0</v>
      </c>
      <c r="M262" s="305" t="s">
        <v>1172</v>
      </c>
      <c r="N262" s="305" t="s">
        <v>1190</v>
      </c>
      <c r="O262" s="305" t="s">
        <v>297</v>
      </c>
      <c r="P262" s="133">
        <v>41</v>
      </c>
      <c r="Q262" s="133">
        <v>210</v>
      </c>
      <c r="U262" s="305" t="s">
        <v>1171</v>
      </c>
    </row>
    <row r="263" spans="1:21" x14ac:dyDescent="0.25">
      <c r="A263" s="305" t="s">
        <v>301</v>
      </c>
      <c r="B263" s="305" t="s">
        <v>305</v>
      </c>
      <c r="G263" s="305" t="s">
        <v>1773</v>
      </c>
      <c r="H263" s="305" t="s">
        <v>1403</v>
      </c>
      <c r="I263" s="305" t="s">
        <v>1740</v>
      </c>
      <c r="J263" s="73">
        <v>42741</v>
      </c>
      <c r="K263" s="133">
        <v>139</v>
      </c>
      <c r="M263" s="305" t="s">
        <v>1173</v>
      </c>
      <c r="N263" s="305" t="s">
        <v>1197</v>
      </c>
      <c r="O263" s="305" t="s">
        <v>230</v>
      </c>
      <c r="P263" s="133"/>
      <c r="Q263" s="133"/>
      <c r="U263" s="305" t="s">
        <v>1172</v>
      </c>
    </row>
    <row r="264" spans="1:21" x14ac:dyDescent="0.25">
      <c r="A264" s="305" t="s">
        <v>301</v>
      </c>
      <c r="B264" s="305" t="s">
        <v>307</v>
      </c>
      <c r="G264" s="305" t="s">
        <v>181</v>
      </c>
      <c r="H264" s="305" t="s">
        <v>179</v>
      </c>
      <c r="I264" s="305" t="s">
        <v>1740</v>
      </c>
      <c r="J264" s="73">
        <v>41061</v>
      </c>
      <c r="K264" s="133">
        <v>11</v>
      </c>
      <c r="M264" s="305" t="s">
        <v>1174</v>
      </c>
      <c r="N264" s="305" t="s">
        <v>1207</v>
      </c>
      <c r="O264" s="305" t="s">
        <v>230</v>
      </c>
      <c r="P264" s="133"/>
      <c r="Q264" s="133"/>
      <c r="U264" s="305" t="s">
        <v>1173</v>
      </c>
    </row>
    <row r="265" spans="1:21" x14ac:dyDescent="0.25">
      <c r="A265" s="305" t="s">
        <v>746</v>
      </c>
      <c r="B265" s="305" t="s">
        <v>746</v>
      </c>
      <c r="G265" s="305" t="s">
        <v>822</v>
      </c>
      <c r="H265" s="305" t="s">
        <v>821</v>
      </c>
      <c r="I265" s="305" t="s">
        <v>775</v>
      </c>
      <c r="J265" s="305" t="s">
        <v>1219</v>
      </c>
      <c r="K265" s="133"/>
      <c r="M265" s="305" t="s">
        <v>1175</v>
      </c>
      <c r="N265" s="305" t="s">
        <v>1208</v>
      </c>
      <c r="O265" s="305" t="s">
        <v>230</v>
      </c>
      <c r="P265" s="133"/>
      <c r="Q265" s="133"/>
      <c r="U265" s="305" t="s">
        <v>1174</v>
      </c>
    </row>
    <row r="266" spans="1:21" x14ac:dyDescent="0.25">
      <c r="A266" s="305" t="s">
        <v>746</v>
      </c>
      <c r="B266" s="305" t="s">
        <v>1065</v>
      </c>
      <c r="G266" s="305" t="s">
        <v>1191</v>
      </c>
      <c r="H266" s="305" t="s">
        <v>1179</v>
      </c>
      <c r="I266" s="305" t="s">
        <v>775</v>
      </c>
      <c r="J266" s="305" t="s">
        <v>1219</v>
      </c>
      <c r="K266" s="133"/>
      <c r="M266" s="305" t="s">
        <v>1176</v>
      </c>
      <c r="N266" s="305" t="s">
        <v>1198</v>
      </c>
      <c r="O266" s="305" t="s">
        <v>230</v>
      </c>
      <c r="P266" s="133"/>
      <c r="Q266" s="133"/>
      <c r="U266" s="305" t="s">
        <v>1175</v>
      </c>
    </row>
    <row r="267" spans="1:21" x14ac:dyDescent="0.25">
      <c r="A267" s="305" t="s">
        <v>746</v>
      </c>
      <c r="B267" s="305" t="s">
        <v>1067</v>
      </c>
      <c r="G267" s="305" t="s">
        <v>746</v>
      </c>
      <c r="H267" s="305" t="s">
        <v>750</v>
      </c>
      <c r="I267" s="305" t="s">
        <v>1740</v>
      </c>
      <c r="J267" s="305" t="s">
        <v>1219</v>
      </c>
      <c r="K267" s="133">
        <v>5</v>
      </c>
      <c r="M267" s="305" t="s">
        <v>1177</v>
      </c>
      <c r="N267" s="305" t="s">
        <v>1209</v>
      </c>
      <c r="O267" s="305" t="s">
        <v>230</v>
      </c>
      <c r="P267" s="133"/>
      <c r="Q267" s="133"/>
      <c r="U267" s="305" t="s">
        <v>1176</v>
      </c>
    </row>
    <row r="268" spans="1:21" x14ac:dyDescent="0.25">
      <c r="A268" s="305" t="s">
        <v>309</v>
      </c>
      <c r="B268" s="305" t="s">
        <v>356</v>
      </c>
      <c r="G268" s="305" t="s">
        <v>24</v>
      </c>
      <c r="H268" s="305" t="s">
        <v>23</v>
      </c>
      <c r="I268" s="305" t="s">
        <v>775</v>
      </c>
      <c r="J268" s="73">
        <v>41030</v>
      </c>
      <c r="K268" s="133">
        <v>20</v>
      </c>
      <c r="M268" s="305" t="s">
        <v>1178</v>
      </c>
      <c r="N268" s="305" t="s">
        <v>1213</v>
      </c>
      <c r="O268" s="305" t="s">
        <v>230</v>
      </c>
      <c r="P268" s="133"/>
      <c r="Q268" s="133"/>
      <c r="U268" s="305" t="s">
        <v>1177</v>
      </c>
    </row>
    <row r="269" spans="1:21" x14ac:dyDescent="0.25">
      <c r="A269" s="305" t="s">
        <v>309</v>
      </c>
      <c r="B269" s="305" t="s">
        <v>333</v>
      </c>
      <c r="G269" s="305" t="s">
        <v>1391</v>
      </c>
      <c r="H269" s="305" t="s">
        <v>1404</v>
      </c>
      <c r="I269" s="305" t="s">
        <v>775</v>
      </c>
      <c r="J269" s="73">
        <v>42741</v>
      </c>
      <c r="K269" s="133">
        <v>42</v>
      </c>
      <c r="M269" s="305" t="s">
        <v>1179</v>
      </c>
      <c r="N269" s="305" t="s">
        <v>1191</v>
      </c>
      <c r="O269" s="305" t="s">
        <v>230</v>
      </c>
      <c r="P269" s="133"/>
      <c r="Q269" s="133"/>
      <c r="U269" s="305" t="s">
        <v>1178</v>
      </c>
    </row>
    <row r="270" spans="1:21" x14ac:dyDescent="0.25">
      <c r="A270" s="305" t="s">
        <v>309</v>
      </c>
      <c r="B270" s="305" t="s">
        <v>312</v>
      </c>
      <c r="G270" s="305" t="s">
        <v>1393</v>
      </c>
      <c r="H270" s="305" t="s">
        <v>1406</v>
      </c>
      <c r="I270" s="305" t="s">
        <v>1740</v>
      </c>
      <c r="J270" s="73">
        <v>42741</v>
      </c>
      <c r="K270" s="133">
        <v>34</v>
      </c>
      <c r="M270" s="305" t="s">
        <v>1180</v>
      </c>
      <c r="N270" s="305" t="s">
        <v>1192</v>
      </c>
      <c r="O270" s="305" t="s">
        <v>230</v>
      </c>
      <c r="P270" s="133"/>
      <c r="Q270" s="133"/>
      <c r="U270" s="305" t="s">
        <v>1179</v>
      </c>
    </row>
    <row r="271" spans="1:21" x14ac:dyDescent="0.25">
      <c r="A271" s="305" t="s">
        <v>309</v>
      </c>
      <c r="B271" s="305" t="s">
        <v>335</v>
      </c>
      <c r="G271" s="305" t="s">
        <v>1727</v>
      </c>
      <c r="H271" s="305" t="s">
        <v>1405</v>
      </c>
      <c r="I271" s="305" t="s">
        <v>1740</v>
      </c>
      <c r="J271" s="73">
        <v>42741</v>
      </c>
      <c r="K271" s="133">
        <v>101</v>
      </c>
      <c r="M271" s="305" t="s">
        <v>1181</v>
      </c>
      <c r="N271" s="305" t="s">
        <v>1193</v>
      </c>
      <c r="O271" s="305" t="s">
        <v>230</v>
      </c>
      <c r="P271" s="133"/>
      <c r="Q271" s="133"/>
      <c r="U271" s="305" t="s">
        <v>1180</v>
      </c>
    </row>
    <row r="272" spans="1:21" x14ac:dyDescent="0.25">
      <c r="A272" s="305" t="s">
        <v>309</v>
      </c>
      <c r="B272" s="305" t="s">
        <v>751</v>
      </c>
      <c r="G272" s="305" t="s">
        <v>1671</v>
      </c>
      <c r="H272" s="305" t="s">
        <v>1654</v>
      </c>
      <c r="I272" s="305" t="s">
        <v>1740</v>
      </c>
      <c r="J272" s="73">
        <v>43212</v>
      </c>
      <c r="K272" s="133">
        <v>229</v>
      </c>
      <c r="M272" s="305" t="s">
        <v>1182</v>
      </c>
      <c r="N272" s="305" t="s">
        <v>1194</v>
      </c>
      <c r="O272" s="305" t="s">
        <v>230</v>
      </c>
      <c r="P272" s="133"/>
      <c r="Q272" s="133"/>
      <c r="U272" s="305" t="s">
        <v>1181</v>
      </c>
    </row>
    <row r="273" spans="1:21" x14ac:dyDescent="0.25">
      <c r="A273" s="305" t="s">
        <v>309</v>
      </c>
      <c r="B273" s="305" t="s">
        <v>319</v>
      </c>
      <c r="G273" s="305" t="s">
        <v>132</v>
      </c>
      <c r="H273" s="305" t="s">
        <v>131</v>
      </c>
      <c r="I273" s="305" t="s">
        <v>775</v>
      </c>
      <c r="J273" s="305" t="s">
        <v>1219</v>
      </c>
      <c r="K273" s="133">
        <v>0</v>
      </c>
      <c r="M273" s="305" t="s">
        <v>1183</v>
      </c>
      <c r="N273" s="305" t="s">
        <v>1195</v>
      </c>
      <c r="O273" s="305" t="s">
        <v>230</v>
      </c>
      <c r="P273" s="133"/>
      <c r="Q273" s="133"/>
      <c r="U273" s="305" t="s">
        <v>1182</v>
      </c>
    </row>
    <row r="274" spans="1:21" x14ac:dyDescent="0.25">
      <c r="A274" s="305" t="s">
        <v>309</v>
      </c>
      <c r="B274" s="305" t="s">
        <v>321</v>
      </c>
      <c r="G274" s="305" t="s">
        <v>227</v>
      </c>
      <c r="H274" s="305" t="s">
        <v>226</v>
      </c>
      <c r="I274" s="305" t="s">
        <v>775</v>
      </c>
      <c r="J274" s="305" t="s">
        <v>1219</v>
      </c>
      <c r="K274" s="133"/>
      <c r="M274" s="305" t="s">
        <v>1184</v>
      </c>
      <c r="N274" s="305" t="s">
        <v>1196</v>
      </c>
      <c r="O274" s="305" t="s">
        <v>1199</v>
      </c>
      <c r="P274" s="133">
        <v>37</v>
      </c>
      <c r="Q274" s="133">
        <v>120</v>
      </c>
      <c r="U274" s="305" t="s">
        <v>1183</v>
      </c>
    </row>
    <row r="275" spans="1:21" x14ac:dyDescent="0.25">
      <c r="A275" s="305" t="s">
        <v>309</v>
      </c>
      <c r="B275" s="305" t="s">
        <v>327</v>
      </c>
      <c r="G275" s="305" t="s">
        <v>238</v>
      </c>
      <c r="H275" s="305" t="s">
        <v>236</v>
      </c>
      <c r="I275" s="305" t="s">
        <v>1740</v>
      </c>
      <c r="J275" s="73">
        <v>40695</v>
      </c>
      <c r="K275" s="133">
        <v>75</v>
      </c>
      <c r="M275" s="305" t="s">
        <v>1230</v>
      </c>
      <c r="N275" s="305" t="s">
        <v>1231</v>
      </c>
      <c r="O275" s="305" t="s">
        <v>146</v>
      </c>
      <c r="P275" s="133">
        <v>37</v>
      </c>
      <c r="Q275" s="133">
        <v>161</v>
      </c>
      <c r="U275" s="305" t="s">
        <v>1184</v>
      </c>
    </row>
    <row r="276" spans="1:21" x14ac:dyDescent="0.25">
      <c r="A276" s="305" t="s">
        <v>309</v>
      </c>
      <c r="B276" s="305" t="s">
        <v>329</v>
      </c>
      <c r="G276" s="305" t="s">
        <v>1030</v>
      </c>
      <c r="H276" s="305" t="s">
        <v>241</v>
      </c>
      <c r="I276" s="305" t="s">
        <v>1740</v>
      </c>
      <c r="J276" s="73">
        <v>41000</v>
      </c>
      <c r="K276" s="133">
        <v>54</v>
      </c>
      <c r="M276" s="305" t="s">
        <v>1239</v>
      </c>
      <c r="N276" s="305" t="s">
        <v>1238</v>
      </c>
      <c r="O276" s="305" t="s">
        <v>146</v>
      </c>
      <c r="P276" s="133">
        <v>24</v>
      </c>
      <c r="Q276" s="133">
        <v>84</v>
      </c>
      <c r="U276" s="305" t="s">
        <v>1230</v>
      </c>
    </row>
    <row r="277" spans="1:21" x14ac:dyDescent="0.25">
      <c r="A277" s="305" t="s">
        <v>309</v>
      </c>
      <c r="B277" s="305" t="s">
        <v>323</v>
      </c>
      <c r="G277" s="305" t="s">
        <v>248</v>
      </c>
      <c r="H277" s="305" t="s">
        <v>247</v>
      </c>
      <c r="I277" s="305" t="s">
        <v>1740</v>
      </c>
      <c r="J277" s="73">
        <v>40756</v>
      </c>
      <c r="K277" s="133">
        <v>16</v>
      </c>
      <c r="M277" s="305" t="s">
        <v>1242</v>
      </c>
      <c r="N277" s="305" t="s">
        <v>716</v>
      </c>
      <c r="O277" s="305" t="s">
        <v>230</v>
      </c>
      <c r="P277" s="133">
        <v>153</v>
      </c>
      <c r="Q277" s="133">
        <v>785</v>
      </c>
      <c r="U277" s="305" t="s">
        <v>1239</v>
      </c>
    </row>
    <row r="278" spans="1:21" x14ac:dyDescent="0.25">
      <c r="A278" s="305" t="s">
        <v>309</v>
      </c>
      <c r="B278" s="305" t="s">
        <v>325</v>
      </c>
      <c r="G278" s="305" t="s">
        <v>250</v>
      </c>
      <c r="H278" s="305" t="s">
        <v>249</v>
      </c>
      <c r="I278" s="305" t="s">
        <v>1740</v>
      </c>
      <c r="J278" s="73">
        <v>40725</v>
      </c>
      <c r="K278" s="133">
        <v>32</v>
      </c>
      <c r="M278" s="305" t="s">
        <v>1249</v>
      </c>
      <c r="N278" s="305" t="s">
        <v>1252</v>
      </c>
      <c r="O278" s="305" t="s">
        <v>309</v>
      </c>
      <c r="P278" s="133">
        <v>62</v>
      </c>
      <c r="Q278" s="133">
        <v>410</v>
      </c>
      <c r="U278" s="305" t="s">
        <v>1242</v>
      </c>
    </row>
    <row r="279" spans="1:21" x14ac:dyDescent="0.25">
      <c r="A279" s="305" t="s">
        <v>309</v>
      </c>
      <c r="B279" s="305" t="s">
        <v>331</v>
      </c>
      <c r="G279" s="305" t="s">
        <v>274</v>
      </c>
      <c r="H279" s="305" t="s">
        <v>273</v>
      </c>
      <c r="I279" s="305" t="s">
        <v>1740</v>
      </c>
      <c r="J279" s="73">
        <v>40817</v>
      </c>
      <c r="K279" s="133">
        <v>46</v>
      </c>
      <c r="M279" s="305" t="s">
        <v>1261</v>
      </c>
      <c r="N279" s="305" t="s">
        <v>1263</v>
      </c>
      <c r="O279" s="305" t="s">
        <v>309</v>
      </c>
      <c r="P279" s="133">
        <v>398</v>
      </c>
      <c r="Q279" s="133">
        <v>1824</v>
      </c>
      <c r="U279" s="305" t="s">
        <v>1249</v>
      </c>
    </row>
    <row r="280" spans="1:21" x14ac:dyDescent="0.25">
      <c r="A280" s="305" t="s">
        <v>309</v>
      </c>
      <c r="B280" s="305" t="s">
        <v>342</v>
      </c>
      <c r="G280" s="305" t="s">
        <v>1154</v>
      </c>
      <c r="H280" s="305" t="s">
        <v>1161</v>
      </c>
      <c r="I280" s="305" t="s">
        <v>775</v>
      </c>
      <c r="J280" s="73">
        <v>42584</v>
      </c>
      <c r="K280" s="133"/>
      <c r="M280" s="305" t="s">
        <v>1267</v>
      </c>
      <c r="N280" s="305" t="s">
        <v>1276</v>
      </c>
      <c r="O280" s="305" t="s">
        <v>480</v>
      </c>
      <c r="P280" s="133">
        <v>123</v>
      </c>
      <c r="Q280" s="133">
        <v>665</v>
      </c>
      <c r="U280" s="305" t="s">
        <v>1261</v>
      </c>
    </row>
    <row r="281" spans="1:21" x14ac:dyDescent="0.25">
      <c r="A281" s="305" t="s">
        <v>309</v>
      </c>
      <c r="B281" s="305" t="s">
        <v>353</v>
      </c>
      <c r="G281" s="305" t="s">
        <v>347</v>
      </c>
      <c r="H281" s="305" t="s">
        <v>346</v>
      </c>
      <c r="I281" s="305" t="s">
        <v>1740</v>
      </c>
      <c r="J281" s="73">
        <v>40848</v>
      </c>
      <c r="K281" s="133">
        <v>45</v>
      </c>
      <c r="M281" s="305" t="s">
        <v>1274</v>
      </c>
      <c r="N281" s="305" t="s">
        <v>1275</v>
      </c>
      <c r="O281" s="305" t="s">
        <v>297</v>
      </c>
      <c r="P281" s="133">
        <v>61</v>
      </c>
      <c r="Q281" s="133">
        <v>283</v>
      </c>
      <c r="U281" s="305" t="s">
        <v>1267</v>
      </c>
    </row>
    <row r="282" spans="1:21" x14ac:dyDescent="0.25">
      <c r="A282" s="305" t="s">
        <v>309</v>
      </c>
      <c r="B282" s="305" t="s">
        <v>317</v>
      </c>
      <c r="G282" s="305" t="s">
        <v>876</v>
      </c>
      <c r="H282" s="305" t="s">
        <v>873</v>
      </c>
      <c r="I282" s="305" t="s">
        <v>775</v>
      </c>
      <c r="J282" s="305" t="s">
        <v>1219</v>
      </c>
      <c r="K282" s="133"/>
      <c r="M282" s="305" t="s">
        <v>1403</v>
      </c>
      <c r="N282" s="305" t="s">
        <v>1773</v>
      </c>
      <c r="O282" s="305" t="s">
        <v>1135</v>
      </c>
      <c r="P282" s="133">
        <v>139</v>
      </c>
      <c r="Q282" s="133">
        <v>587</v>
      </c>
      <c r="U282" s="305" t="s">
        <v>1274</v>
      </c>
    </row>
    <row r="283" spans="1:21" x14ac:dyDescent="0.25">
      <c r="A283" s="305" t="s">
        <v>309</v>
      </c>
      <c r="B283" s="305" t="s">
        <v>340</v>
      </c>
      <c r="G283" s="305" t="s">
        <v>134</v>
      </c>
      <c r="H283" s="305" t="s">
        <v>133</v>
      </c>
      <c r="I283" s="305" t="s">
        <v>775</v>
      </c>
      <c r="J283" s="305" t="s">
        <v>1219</v>
      </c>
      <c r="K283" s="133"/>
      <c r="M283" s="305" t="s">
        <v>1404</v>
      </c>
      <c r="N283" s="305" t="s">
        <v>1391</v>
      </c>
      <c r="O283" s="305" t="s">
        <v>1135</v>
      </c>
      <c r="P283" s="133">
        <v>42</v>
      </c>
      <c r="Q283" s="133">
        <v>190</v>
      </c>
      <c r="U283" s="305" t="s">
        <v>1403</v>
      </c>
    </row>
    <row r="284" spans="1:21" x14ac:dyDescent="0.25">
      <c r="A284" s="305" t="s">
        <v>309</v>
      </c>
      <c r="B284" s="305" t="s">
        <v>337</v>
      </c>
      <c r="G284" s="305" t="s">
        <v>795</v>
      </c>
      <c r="H284" s="305" t="s">
        <v>783</v>
      </c>
      <c r="I284" s="305" t="s">
        <v>775</v>
      </c>
      <c r="J284" s="305" t="s">
        <v>1219</v>
      </c>
      <c r="K284" s="133">
        <v>0</v>
      </c>
      <c r="M284" s="305" t="s">
        <v>1405</v>
      </c>
      <c r="N284" s="305" t="s">
        <v>1727</v>
      </c>
      <c r="O284" s="305" t="s">
        <v>1135</v>
      </c>
      <c r="P284" s="133">
        <v>101</v>
      </c>
      <c r="Q284" s="133">
        <v>380</v>
      </c>
      <c r="U284" s="305" t="s">
        <v>1404</v>
      </c>
    </row>
    <row r="285" spans="1:21" x14ac:dyDescent="0.25">
      <c r="A285" s="305" t="s">
        <v>309</v>
      </c>
      <c r="B285" s="305" t="s">
        <v>349</v>
      </c>
      <c r="G285" s="305" t="s">
        <v>1697</v>
      </c>
      <c r="H285" s="305" t="s">
        <v>1692</v>
      </c>
      <c r="I285" s="305" t="s">
        <v>1740</v>
      </c>
      <c r="J285" s="73">
        <v>43250</v>
      </c>
      <c r="K285" s="133">
        <v>8</v>
      </c>
      <c r="M285" s="305" t="s">
        <v>1406</v>
      </c>
      <c r="N285" s="305" t="s">
        <v>1393</v>
      </c>
      <c r="O285" s="305" t="s">
        <v>1135</v>
      </c>
      <c r="P285" s="133">
        <v>34</v>
      </c>
      <c r="Q285" s="133">
        <v>143</v>
      </c>
      <c r="U285" s="305" t="s">
        <v>1405</v>
      </c>
    </row>
    <row r="286" spans="1:21" x14ac:dyDescent="0.25">
      <c r="A286" s="305" t="s">
        <v>309</v>
      </c>
      <c r="B286" s="305" t="s">
        <v>345</v>
      </c>
      <c r="G286" s="305" t="s">
        <v>300</v>
      </c>
      <c r="H286" s="305" t="s">
        <v>298</v>
      </c>
      <c r="I286" s="305" t="s">
        <v>1740</v>
      </c>
      <c r="J286" s="305" t="s">
        <v>1219</v>
      </c>
      <c r="K286" s="133">
        <v>14</v>
      </c>
      <c r="M286" s="305" t="s">
        <v>1542</v>
      </c>
      <c r="N286" s="305" t="s">
        <v>1517</v>
      </c>
      <c r="O286" s="305" t="s">
        <v>173</v>
      </c>
      <c r="P286" s="133">
        <v>245</v>
      </c>
      <c r="Q286" s="133">
        <v>1084</v>
      </c>
      <c r="U286" s="305" t="s">
        <v>1406</v>
      </c>
    </row>
    <row r="287" spans="1:21" x14ac:dyDescent="0.25">
      <c r="A287" s="305" t="s">
        <v>309</v>
      </c>
      <c r="B287" s="305" t="s">
        <v>347</v>
      </c>
      <c r="G287" s="305" t="s">
        <v>1729</v>
      </c>
      <c r="H287" s="305" t="s">
        <v>1653</v>
      </c>
      <c r="I287" s="305" t="s">
        <v>1740</v>
      </c>
      <c r="J287" s="73">
        <v>43212</v>
      </c>
      <c r="K287" s="133">
        <v>178</v>
      </c>
      <c r="M287" s="305" t="s">
        <v>1543</v>
      </c>
      <c r="N287" s="305" t="s">
        <v>1512</v>
      </c>
      <c r="O287" s="305" t="s">
        <v>237</v>
      </c>
      <c r="P287" s="133">
        <v>14</v>
      </c>
      <c r="Q287" s="133">
        <v>38</v>
      </c>
      <c r="U287" s="305" t="s">
        <v>1542</v>
      </c>
    </row>
    <row r="288" spans="1:21" x14ac:dyDescent="0.25">
      <c r="A288" s="305" t="s">
        <v>309</v>
      </c>
      <c r="B288" s="305" t="s">
        <v>315</v>
      </c>
      <c r="G288" s="305" t="s">
        <v>1142</v>
      </c>
      <c r="H288" s="305" t="s">
        <v>1126</v>
      </c>
      <c r="I288" s="305" t="s">
        <v>775</v>
      </c>
      <c r="J288" s="73">
        <v>42430</v>
      </c>
      <c r="K288" s="133"/>
      <c r="M288" s="305" t="s">
        <v>1544</v>
      </c>
      <c r="N288" s="305" t="s">
        <v>1526</v>
      </c>
      <c r="O288" s="305" t="s">
        <v>237</v>
      </c>
      <c r="P288" s="133">
        <v>25</v>
      </c>
      <c r="Q288" s="133">
        <v>69</v>
      </c>
      <c r="U288" s="305" t="s">
        <v>1543</v>
      </c>
    </row>
    <row r="289" spans="1:21" x14ac:dyDescent="0.25">
      <c r="A289" s="305" t="s">
        <v>309</v>
      </c>
      <c r="B289" s="305" t="s">
        <v>310</v>
      </c>
      <c r="G289" s="305" t="s">
        <v>1745</v>
      </c>
      <c r="H289" s="305" t="s">
        <v>1694</v>
      </c>
      <c r="I289" s="305" t="s">
        <v>1740</v>
      </c>
      <c r="J289" s="73">
        <v>43250</v>
      </c>
      <c r="K289" s="133">
        <v>68</v>
      </c>
      <c r="M289" s="305" t="s">
        <v>1545</v>
      </c>
      <c r="N289" s="305" t="s">
        <v>1257</v>
      </c>
      <c r="O289" s="305" t="s">
        <v>309</v>
      </c>
      <c r="P289" s="133">
        <v>80</v>
      </c>
      <c r="Q289" s="133">
        <v>449</v>
      </c>
      <c r="U289" s="305" t="s">
        <v>1544</v>
      </c>
    </row>
    <row r="290" spans="1:21" x14ac:dyDescent="0.25">
      <c r="A290" s="305" t="s">
        <v>309</v>
      </c>
      <c r="B290" s="305" t="s">
        <v>351</v>
      </c>
      <c r="G290" s="305" t="s">
        <v>315</v>
      </c>
      <c r="H290" s="305" t="s">
        <v>314</v>
      </c>
      <c r="I290" s="305" t="s">
        <v>1740</v>
      </c>
      <c r="J290" s="73">
        <v>40848</v>
      </c>
      <c r="K290" s="133">
        <v>67</v>
      </c>
      <c r="M290" s="305" t="s">
        <v>1546</v>
      </c>
      <c r="N290" s="305" t="s">
        <v>1529</v>
      </c>
      <c r="O290" s="305" t="s">
        <v>146</v>
      </c>
      <c r="P290" s="133">
        <v>35</v>
      </c>
      <c r="Q290" s="133">
        <v>189</v>
      </c>
      <c r="U290" s="305" t="s">
        <v>1545</v>
      </c>
    </row>
    <row r="291" spans="1:21" x14ac:dyDescent="0.25">
      <c r="A291" s="305" t="s">
        <v>309</v>
      </c>
      <c r="B291" s="305" t="s">
        <v>1032</v>
      </c>
      <c r="G291" s="305" t="s">
        <v>310</v>
      </c>
      <c r="H291" s="305" t="s">
        <v>308</v>
      </c>
      <c r="I291" s="305" t="s">
        <v>775</v>
      </c>
      <c r="J291" s="73">
        <v>40848</v>
      </c>
      <c r="K291" s="133"/>
      <c r="M291" s="305" t="s">
        <v>1649</v>
      </c>
      <c r="N291" s="305" t="s">
        <v>1661</v>
      </c>
      <c r="O291" s="305" t="s">
        <v>173</v>
      </c>
      <c r="P291" s="133">
        <v>45</v>
      </c>
      <c r="Q291" s="133">
        <v>242</v>
      </c>
      <c r="U291" s="305" t="s">
        <v>1546</v>
      </c>
    </row>
    <row r="292" spans="1:21" x14ac:dyDescent="0.25">
      <c r="A292" s="305" t="s">
        <v>309</v>
      </c>
      <c r="B292" s="305" t="s">
        <v>1033</v>
      </c>
      <c r="G292" s="305" t="s">
        <v>1132</v>
      </c>
      <c r="H292" s="305" t="s">
        <v>1133</v>
      </c>
      <c r="I292" s="305" t="s">
        <v>775</v>
      </c>
      <c r="J292" s="73">
        <v>42370</v>
      </c>
      <c r="K292" s="133"/>
      <c r="M292" s="305" t="s">
        <v>1650</v>
      </c>
      <c r="N292" s="305" t="s">
        <v>1662</v>
      </c>
      <c r="O292" s="305" t="s">
        <v>173</v>
      </c>
      <c r="P292" s="133">
        <v>80</v>
      </c>
      <c r="Q292" s="133">
        <v>399</v>
      </c>
      <c r="U292" s="305" t="s">
        <v>1649</v>
      </c>
    </row>
    <row r="293" spans="1:21" x14ac:dyDescent="0.25">
      <c r="A293" s="305" t="s">
        <v>309</v>
      </c>
      <c r="B293" s="305" t="s">
        <v>1034</v>
      </c>
      <c r="G293" s="305" t="s">
        <v>64</v>
      </c>
      <c r="H293" s="305" t="s">
        <v>63</v>
      </c>
      <c r="I293" s="305" t="s">
        <v>775</v>
      </c>
      <c r="J293" s="73">
        <v>41275</v>
      </c>
      <c r="K293" s="133"/>
      <c r="M293" s="305" t="s">
        <v>1651</v>
      </c>
      <c r="N293" s="305" t="s">
        <v>1728</v>
      </c>
      <c r="O293" s="305" t="s">
        <v>173</v>
      </c>
      <c r="P293" s="133">
        <v>112</v>
      </c>
      <c r="Q293" s="133">
        <v>487</v>
      </c>
      <c r="U293" s="305" t="s">
        <v>1650</v>
      </c>
    </row>
    <row r="294" spans="1:21" x14ac:dyDescent="0.25">
      <c r="A294" s="305" t="s">
        <v>309</v>
      </c>
      <c r="B294" s="305" t="s">
        <v>1029</v>
      </c>
      <c r="G294" s="305" t="s">
        <v>126</v>
      </c>
      <c r="H294" s="305" t="s">
        <v>125</v>
      </c>
      <c r="I294" s="305" t="s">
        <v>1740</v>
      </c>
      <c r="J294" s="73">
        <v>41275</v>
      </c>
      <c r="K294" s="133">
        <v>32</v>
      </c>
      <c r="M294" s="305" t="s">
        <v>1652</v>
      </c>
      <c r="N294" s="305" t="s">
        <v>1665</v>
      </c>
      <c r="O294" s="305" t="s">
        <v>173</v>
      </c>
      <c r="P294" s="133">
        <v>6</v>
      </c>
      <c r="Q294" s="133">
        <v>32</v>
      </c>
      <c r="U294" s="305" t="s">
        <v>1651</v>
      </c>
    </row>
    <row r="295" spans="1:21" x14ac:dyDescent="0.25">
      <c r="A295" s="305" t="s">
        <v>309</v>
      </c>
      <c r="B295" s="305" t="s">
        <v>1031</v>
      </c>
      <c r="G295" s="305" t="s">
        <v>1195</v>
      </c>
      <c r="H295" s="305" t="s">
        <v>1183</v>
      </c>
      <c r="I295" s="305" t="s">
        <v>775</v>
      </c>
      <c r="J295" s="305" t="s">
        <v>1219</v>
      </c>
      <c r="K295" s="133"/>
      <c r="M295" s="305" t="s">
        <v>1653</v>
      </c>
      <c r="N295" s="305" t="s">
        <v>1729</v>
      </c>
      <c r="O295" s="305" t="s">
        <v>237</v>
      </c>
      <c r="P295" s="133">
        <v>178</v>
      </c>
      <c r="Q295" s="133">
        <v>843</v>
      </c>
      <c r="U295" s="305" t="s">
        <v>1652</v>
      </c>
    </row>
    <row r="296" spans="1:21" x14ac:dyDescent="0.25">
      <c r="A296" s="305" t="s">
        <v>309</v>
      </c>
      <c r="B296" s="305" t="s">
        <v>1252</v>
      </c>
      <c r="G296" s="305" t="s">
        <v>351</v>
      </c>
      <c r="H296" s="305" t="s">
        <v>350</v>
      </c>
      <c r="I296" s="305" t="s">
        <v>1740</v>
      </c>
      <c r="J296" s="73">
        <v>40695</v>
      </c>
      <c r="K296" s="133">
        <v>1417</v>
      </c>
      <c r="M296" s="305" t="s">
        <v>1654</v>
      </c>
      <c r="N296" s="305" t="s">
        <v>1671</v>
      </c>
      <c r="O296" s="305" t="s">
        <v>237</v>
      </c>
      <c r="P296" s="133">
        <v>229</v>
      </c>
      <c r="Q296" s="133">
        <v>1247</v>
      </c>
      <c r="U296" s="305" t="s">
        <v>1653</v>
      </c>
    </row>
    <row r="297" spans="1:21" x14ac:dyDescent="0.25">
      <c r="A297" s="305" t="s">
        <v>309</v>
      </c>
      <c r="B297" s="305" t="s">
        <v>1263</v>
      </c>
      <c r="G297" s="305" t="s">
        <v>37</v>
      </c>
      <c r="H297" s="305" t="s">
        <v>36</v>
      </c>
      <c r="I297" s="305" t="s">
        <v>775</v>
      </c>
      <c r="J297" s="305" t="s">
        <v>1219</v>
      </c>
      <c r="K297" s="133"/>
      <c r="M297" s="305" t="s">
        <v>1690</v>
      </c>
      <c r="N297" s="305" t="s">
        <v>1765</v>
      </c>
      <c r="O297" s="305" t="s">
        <v>237</v>
      </c>
      <c r="P297" s="133">
        <v>143</v>
      </c>
      <c r="Q297" s="133">
        <v>623</v>
      </c>
      <c r="U297" s="305" t="s">
        <v>1654</v>
      </c>
    </row>
    <row r="298" spans="1:21" x14ac:dyDescent="0.25">
      <c r="A298" s="305" t="s">
        <v>309</v>
      </c>
      <c r="B298" s="305" t="s">
        <v>1257</v>
      </c>
      <c r="G298" s="305" t="s">
        <v>74</v>
      </c>
      <c r="H298" s="305" t="s">
        <v>73</v>
      </c>
      <c r="I298" s="305" t="s">
        <v>775</v>
      </c>
      <c r="J298" s="305" t="s">
        <v>1219</v>
      </c>
      <c r="K298" s="133"/>
      <c r="M298" s="305" t="s">
        <v>1692</v>
      </c>
      <c r="N298" s="305" t="s">
        <v>1697</v>
      </c>
      <c r="O298" s="305" t="s">
        <v>237</v>
      </c>
      <c r="P298" s="133">
        <v>8</v>
      </c>
      <c r="Q298" s="133">
        <v>32</v>
      </c>
      <c r="U298" s="305" t="s">
        <v>1690</v>
      </c>
    </row>
    <row r="299" spans="1:21" x14ac:dyDescent="0.25">
      <c r="A299" s="305" t="s">
        <v>309</v>
      </c>
      <c r="B299" s="305" t="s">
        <v>1742</v>
      </c>
      <c r="G299" s="305" t="s">
        <v>282</v>
      </c>
      <c r="H299" s="305" t="s">
        <v>281</v>
      </c>
      <c r="I299" s="305" t="s">
        <v>775</v>
      </c>
      <c r="J299" s="73">
        <v>41000</v>
      </c>
      <c r="K299" s="133">
        <v>7</v>
      </c>
      <c r="M299" s="305" t="s">
        <v>1693</v>
      </c>
      <c r="N299" s="305" t="s">
        <v>1639</v>
      </c>
      <c r="O299" s="305" t="s">
        <v>480</v>
      </c>
      <c r="P299" s="133">
        <v>42</v>
      </c>
      <c r="Q299" s="133">
        <v>187</v>
      </c>
      <c r="U299" s="305" t="s">
        <v>1692</v>
      </c>
    </row>
    <row r="300" spans="1:21" x14ac:dyDescent="0.25">
      <c r="A300" s="305" t="s">
        <v>309</v>
      </c>
      <c r="B300" s="305" t="s">
        <v>1745</v>
      </c>
      <c r="G300" s="305" t="s">
        <v>1779</v>
      </c>
      <c r="H300" s="305" t="s">
        <v>787</v>
      </c>
      <c r="I300" s="305" t="s">
        <v>1739</v>
      </c>
      <c r="J300" s="305" t="s">
        <v>1219</v>
      </c>
      <c r="K300" s="133">
        <v>86</v>
      </c>
      <c r="M300" s="305" t="s">
        <v>1694</v>
      </c>
      <c r="N300" s="305" t="s">
        <v>1745</v>
      </c>
      <c r="O300" s="305" t="s">
        <v>309</v>
      </c>
      <c r="P300" s="133">
        <v>68</v>
      </c>
      <c r="Q300" s="133">
        <v>303</v>
      </c>
      <c r="U300" s="305" t="s">
        <v>1693</v>
      </c>
    </row>
    <row r="301" spans="1:21" x14ac:dyDescent="0.25">
      <c r="A301" s="305" t="s">
        <v>1199</v>
      </c>
      <c r="B301" s="305" t="s">
        <v>1196</v>
      </c>
      <c r="G301" s="305" t="s">
        <v>26</v>
      </c>
      <c r="H301" s="305" t="s">
        <v>25</v>
      </c>
      <c r="I301" s="305" t="s">
        <v>1740</v>
      </c>
      <c r="J301" s="73">
        <v>41122</v>
      </c>
      <c r="K301" s="133">
        <v>13</v>
      </c>
      <c r="M301" s="305" t="s">
        <v>1695</v>
      </c>
      <c r="N301" s="305" t="s">
        <v>1703</v>
      </c>
      <c r="O301" s="305" t="s">
        <v>480</v>
      </c>
      <c r="P301" s="133">
        <v>16</v>
      </c>
      <c r="Q301" s="133">
        <v>63</v>
      </c>
      <c r="U301" s="305" t="s">
        <v>1694</v>
      </c>
    </row>
    <row r="302" spans="1:21" x14ac:dyDescent="0.25">
      <c r="A302" s="305" t="s">
        <v>1135</v>
      </c>
      <c r="B302" s="305" t="s">
        <v>1391</v>
      </c>
      <c r="G302" s="305" t="s">
        <v>140</v>
      </c>
      <c r="H302" s="305" t="s">
        <v>139</v>
      </c>
      <c r="I302" s="305" t="s">
        <v>1740</v>
      </c>
      <c r="J302" s="73">
        <v>41122</v>
      </c>
      <c r="K302" s="133">
        <v>16</v>
      </c>
      <c r="M302" s="305" t="s">
        <v>1722</v>
      </c>
      <c r="N302" s="305" t="s">
        <v>1723</v>
      </c>
      <c r="O302" s="305" t="s">
        <v>237</v>
      </c>
      <c r="P302" s="133">
        <v>32</v>
      </c>
      <c r="Q302" s="133">
        <v>161</v>
      </c>
      <c r="U302" s="305" t="s">
        <v>1695</v>
      </c>
    </row>
    <row r="303" spans="1:21" x14ac:dyDescent="0.25">
      <c r="A303" s="305" t="s">
        <v>1135</v>
      </c>
      <c r="B303" s="305" t="s">
        <v>1393</v>
      </c>
      <c r="G303" s="305" t="s">
        <v>1031</v>
      </c>
      <c r="H303" s="305" t="s">
        <v>354</v>
      </c>
      <c r="I303" s="305" t="s">
        <v>775</v>
      </c>
      <c r="J303" s="73">
        <v>40848</v>
      </c>
      <c r="K303" s="133"/>
      <c r="M303" s="305" t="s">
        <v>1743</v>
      </c>
      <c r="N303" s="305" t="s">
        <v>1742</v>
      </c>
      <c r="O303" s="305" t="s">
        <v>309</v>
      </c>
      <c r="P303" s="133">
        <v>95</v>
      </c>
      <c r="Q303" s="133">
        <v>499</v>
      </c>
      <c r="U303" s="305" t="s">
        <v>1722</v>
      </c>
    </row>
    <row r="304" spans="1:21" x14ac:dyDescent="0.25">
      <c r="A304" s="305" t="s">
        <v>1135</v>
      </c>
      <c r="B304" s="305" t="s">
        <v>1727</v>
      </c>
      <c r="G304" s="305" t="s">
        <v>467</v>
      </c>
      <c r="H304" s="305" t="s">
        <v>468</v>
      </c>
      <c r="I304" s="305" t="s">
        <v>775</v>
      </c>
      <c r="J304" s="305" t="s">
        <v>1219</v>
      </c>
      <c r="K304" s="133">
        <v>0</v>
      </c>
      <c r="M304" s="305" t="s">
        <v>787</v>
      </c>
      <c r="N304" s="305" t="s">
        <v>787</v>
      </c>
      <c r="O304" s="305" t="s">
        <v>787</v>
      </c>
      <c r="P304" s="133"/>
      <c r="Q304" s="133"/>
      <c r="U304" s="305" t="s">
        <v>1743</v>
      </c>
    </row>
    <row r="305" spans="1:21" x14ac:dyDescent="0.25">
      <c r="A305" s="305" t="s">
        <v>1135</v>
      </c>
      <c r="B305" s="305" t="s">
        <v>1773</v>
      </c>
      <c r="G305" s="305" t="s">
        <v>371</v>
      </c>
      <c r="H305" s="305" t="s">
        <v>385</v>
      </c>
      <c r="I305" s="305" t="s">
        <v>1740</v>
      </c>
      <c r="J305" s="73">
        <v>41244</v>
      </c>
      <c r="K305" s="133">
        <v>204</v>
      </c>
      <c r="M305" s="305" t="s">
        <v>787</v>
      </c>
      <c r="N305" s="305" t="s">
        <v>1779</v>
      </c>
      <c r="O305" s="305" t="s">
        <v>151</v>
      </c>
      <c r="P305" s="133">
        <v>86</v>
      </c>
      <c r="Q305" s="133">
        <v>450</v>
      </c>
      <c r="U305" s="305" t="s">
        <v>787</v>
      </c>
    </row>
    <row r="306" spans="1:21" x14ac:dyDescent="0.25">
      <c r="A306" s="305" t="s">
        <v>787</v>
      </c>
      <c r="B306" s="305" t="s">
        <v>787</v>
      </c>
      <c r="G306" s="305" t="s">
        <v>787</v>
      </c>
      <c r="H306" s="305" t="s">
        <v>787</v>
      </c>
      <c r="I306" s="305" t="s">
        <v>787</v>
      </c>
      <c r="J306" s="305" t="s">
        <v>1219</v>
      </c>
      <c r="K306" s="133"/>
      <c r="M306" s="305" t="s">
        <v>1927</v>
      </c>
      <c r="N306" s="305" t="s">
        <v>1931</v>
      </c>
      <c r="O306" s="305" t="s">
        <v>146</v>
      </c>
      <c r="P306" s="133">
        <v>32</v>
      </c>
      <c r="Q306" s="133">
        <v>153</v>
      </c>
      <c r="U306" s="305" t="s">
        <v>1927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J227"/>
  <sheetViews>
    <sheetView topLeftCell="B1" zoomScale="90" zoomScaleNormal="90" workbookViewId="0">
      <selection activeCell="C14" sqref="C14"/>
    </sheetView>
  </sheetViews>
  <sheetFormatPr defaultRowHeight="15" x14ac:dyDescent="0.25"/>
  <cols>
    <col min="1" max="1" width="14.28515625" customWidth="1"/>
    <col min="2" max="2" width="25.28515625" style="36" customWidth="1"/>
    <col min="3" max="3" width="47.28515625" customWidth="1"/>
    <col min="4" max="4" width="16" customWidth="1"/>
    <col min="6" max="7" width="0" hidden="1" customWidth="1"/>
    <col min="8" max="8" width="60.28515625" style="3" customWidth="1"/>
    <col min="9" max="9" width="10.140625" style="3" customWidth="1"/>
    <col min="10" max="10" width="18" style="3" customWidth="1"/>
    <col min="11" max="11" width="21.85546875" customWidth="1"/>
    <col min="12" max="12" width="7.42578125" customWidth="1"/>
    <col min="13" max="13" width="13.7109375" customWidth="1"/>
  </cols>
  <sheetData>
    <row r="1" spans="1:10" x14ac:dyDescent="0.25">
      <c r="A1" s="105" t="s">
        <v>458</v>
      </c>
      <c r="B1" s="304" t="s">
        <v>957</v>
      </c>
      <c r="H1"/>
      <c r="I1"/>
    </row>
    <row r="2" spans="1:10" x14ac:dyDescent="0.25">
      <c r="H2" s="184" t="s">
        <v>458</v>
      </c>
      <c r="I2" s="186" t="s">
        <v>775</v>
      </c>
    </row>
    <row r="3" spans="1:10" x14ac:dyDescent="0.25">
      <c r="A3" s="157" t="s">
        <v>0</v>
      </c>
      <c r="B3" s="158" t="s">
        <v>511</v>
      </c>
      <c r="C3" s="113" t="s">
        <v>463</v>
      </c>
      <c r="D3" s="111" t="s">
        <v>864</v>
      </c>
    </row>
    <row r="4" spans="1:10" x14ac:dyDescent="0.25">
      <c r="A4" s="163" t="s">
        <v>5</v>
      </c>
      <c r="B4" s="163" t="s">
        <v>21</v>
      </c>
      <c r="C4" s="304" t="s">
        <v>22</v>
      </c>
      <c r="D4" s="165">
        <v>0.66614420062695934</v>
      </c>
      <c r="H4" s="157" t="s">
        <v>410</v>
      </c>
      <c r="I4" s="146" t="s">
        <v>794</v>
      </c>
      <c r="J4"/>
    </row>
    <row r="5" spans="1:10" x14ac:dyDescent="0.25">
      <c r="A5" s="109"/>
      <c r="B5" s="109" t="s">
        <v>17</v>
      </c>
      <c r="C5" s="304" t="s">
        <v>18</v>
      </c>
      <c r="D5" s="166">
        <v>0.7846153846153846</v>
      </c>
      <c r="H5" s="159" t="s">
        <v>173</v>
      </c>
      <c r="I5" s="385">
        <v>251</v>
      </c>
      <c r="J5"/>
    </row>
    <row r="6" spans="1:10" x14ac:dyDescent="0.25">
      <c r="A6" s="109"/>
      <c r="B6" s="109" t="s">
        <v>4</v>
      </c>
      <c r="C6" s="304" t="s">
        <v>6</v>
      </c>
      <c r="D6" s="166">
        <v>0.66147859922178998</v>
      </c>
      <c r="H6" s="269" t="s">
        <v>1062</v>
      </c>
      <c r="I6" s="385"/>
      <c r="J6"/>
    </row>
    <row r="7" spans="1:10" x14ac:dyDescent="0.25">
      <c r="A7" s="109"/>
      <c r="B7" s="109" t="s">
        <v>13</v>
      </c>
      <c r="C7" s="304" t="s">
        <v>14</v>
      </c>
      <c r="D7" s="166">
        <v>1</v>
      </c>
      <c r="H7" s="269" t="s">
        <v>1053</v>
      </c>
      <c r="I7" s="385">
        <v>6</v>
      </c>
      <c r="J7"/>
    </row>
    <row r="8" spans="1:10" x14ac:dyDescent="0.25">
      <c r="A8" s="109"/>
      <c r="B8" s="109" t="s">
        <v>25</v>
      </c>
      <c r="C8" s="304" t="s">
        <v>26</v>
      </c>
      <c r="D8" s="166">
        <v>2.8000000000000003</v>
      </c>
      <c r="H8" s="269" t="s">
        <v>1517</v>
      </c>
      <c r="I8" s="385">
        <v>245</v>
      </c>
      <c r="J8"/>
    </row>
    <row r="9" spans="1:10" x14ac:dyDescent="0.25">
      <c r="A9" s="109"/>
      <c r="B9" s="109" t="s">
        <v>19</v>
      </c>
      <c r="C9" s="304" t="s">
        <v>20</v>
      </c>
      <c r="D9" s="166">
        <v>0.47619047619047616</v>
      </c>
      <c r="H9" s="159" t="s">
        <v>297</v>
      </c>
      <c r="I9" s="385">
        <v>131</v>
      </c>
      <c r="J9"/>
    </row>
    <row r="10" spans="1:10" x14ac:dyDescent="0.25">
      <c r="A10" s="109"/>
      <c r="B10" s="109" t="s">
        <v>23</v>
      </c>
      <c r="C10" s="304" t="s">
        <v>24</v>
      </c>
      <c r="D10" s="166">
        <v>1.75</v>
      </c>
      <c r="H10" s="269" t="s">
        <v>534</v>
      </c>
      <c r="I10" s="385">
        <v>118</v>
      </c>
      <c r="J10"/>
    </row>
    <row r="11" spans="1:10" x14ac:dyDescent="0.25">
      <c r="A11" s="109"/>
      <c r="B11" s="109" t="s">
        <v>374</v>
      </c>
      <c r="C11" s="304" t="s">
        <v>364</v>
      </c>
      <c r="D11" s="166">
        <v>0.82352941176470584</v>
      </c>
      <c r="H11" s="269" t="s">
        <v>1185</v>
      </c>
      <c r="I11" s="385"/>
      <c r="J11"/>
    </row>
    <row r="12" spans="1:10" x14ac:dyDescent="0.25">
      <c r="A12" s="109"/>
      <c r="B12" s="109" t="s">
        <v>7</v>
      </c>
      <c r="C12" s="304" t="s">
        <v>8</v>
      </c>
      <c r="D12" s="166">
        <v>1.3846153846153846</v>
      </c>
      <c r="H12" s="269" t="s">
        <v>1187</v>
      </c>
      <c r="I12" s="385">
        <v>13</v>
      </c>
      <c r="J12"/>
    </row>
    <row r="13" spans="1:10" x14ac:dyDescent="0.25">
      <c r="A13" s="110"/>
      <c r="B13" s="110" t="s">
        <v>375</v>
      </c>
      <c r="C13" s="304" t="s">
        <v>465</v>
      </c>
      <c r="D13" s="167">
        <v>1.8333333333333335</v>
      </c>
      <c r="H13" s="269" t="s">
        <v>1188</v>
      </c>
      <c r="I13" s="385"/>
      <c r="J13"/>
    </row>
    <row r="14" spans="1:10" x14ac:dyDescent="0.25">
      <c r="A14" s="109" t="s">
        <v>27</v>
      </c>
      <c r="B14" s="109" t="s">
        <v>30</v>
      </c>
      <c r="C14" s="110" t="s">
        <v>28</v>
      </c>
      <c r="D14" s="166">
        <v>0.9907407407407407</v>
      </c>
      <c r="H14" s="269" t="s">
        <v>1189</v>
      </c>
      <c r="I14" s="385"/>
      <c r="J14"/>
    </row>
    <row r="15" spans="1:10" x14ac:dyDescent="0.25">
      <c r="A15" s="109"/>
      <c r="B15" s="109" t="s">
        <v>376</v>
      </c>
      <c r="C15" s="110" t="s">
        <v>363</v>
      </c>
      <c r="D15" s="166">
        <v>0.50694444444444442</v>
      </c>
      <c r="H15" s="159" t="s">
        <v>309</v>
      </c>
      <c r="I15" s="385">
        <v>92</v>
      </c>
      <c r="J15"/>
    </row>
    <row r="16" spans="1:10" x14ac:dyDescent="0.25">
      <c r="A16" s="109"/>
      <c r="B16" s="110" t="s">
        <v>789</v>
      </c>
      <c r="C16" s="110" t="s">
        <v>790</v>
      </c>
      <c r="D16" s="167">
        <v>0</v>
      </c>
      <c r="H16" s="269" t="s">
        <v>356</v>
      </c>
      <c r="I16" s="385">
        <v>0</v>
      </c>
      <c r="J16"/>
    </row>
    <row r="17" spans="1:10" x14ac:dyDescent="0.25">
      <c r="A17" s="109"/>
      <c r="B17" s="132" t="s">
        <v>29</v>
      </c>
      <c r="C17" s="132" t="s">
        <v>362</v>
      </c>
      <c r="D17" s="112">
        <v>0</v>
      </c>
      <c r="H17" s="269" t="s">
        <v>331</v>
      </c>
      <c r="I17" s="385">
        <v>0</v>
      </c>
      <c r="J17"/>
    </row>
    <row r="18" spans="1:10" x14ac:dyDescent="0.25">
      <c r="A18" s="110"/>
      <c r="B18" s="132" t="s">
        <v>875</v>
      </c>
      <c r="C18" s="132" t="s">
        <v>874</v>
      </c>
      <c r="D18" s="112">
        <v>0</v>
      </c>
      <c r="H18" s="269" t="s">
        <v>349</v>
      </c>
      <c r="I18" s="385">
        <v>92</v>
      </c>
      <c r="J18"/>
    </row>
    <row r="19" spans="1:10" x14ac:dyDescent="0.25">
      <c r="A19" s="109" t="s">
        <v>480</v>
      </c>
      <c r="B19" s="109" t="s">
        <v>865</v>
      </c>
      <c r="C19" s="109" t="s">
        <v>824</v>
      </c>
      <c r="D19" s="166">
        <v>0</v>
      </c>
      <c r="H19" s="269" t="s">
        <v>310</v>
      </c>
      <c r="I19" s="385"/>
      <c r="J19"/>
    </row>
    <row r="20" spans="1:10" x14ac:dyDescent="0.25">
      <c r="A20" s="109"/>
      <c r="B20" s="109"/>
      <c r="C20" s="110" t="s">
        <v>787</v>
      </c>
      <c r="D20" s="166">
        <v>0</v>
      </c>
      <c r="H20" s="269" t="s">
        <v>1032</v>
      </c>
      <c r="I20" s="385"/>
      <c r="J20"/>
    </row>
    <row r="21" spans="1:10" x14ac:dyDescent="0.25">
      <c r="A21" s="109"/>
      <c r="B21" s="109" t="s">
        <v>99</v>
      </c>
      <c r="C21" s="110" t="s">
        <v>100</v>
      </c>
      <c r="D21" s="166">
        <v>2</v>
      </c>
      <c r="H21" s="269" t="s">
        <v>1033</v>
      </c>
      <c r="I21" s="385"/>
      <c r="J21"/>
    </row>
    <row r="22" spans="1:10" x14ac:dyDescent="0.25">
      <c r="A22" s="109"/>
      <c r="B22" s="109" t="s">
        <v>107</v>
      </c>
      <c r="C22" s="110" t="s">
        <v>108</v>
      </c>
      <c r="D22" s="166">
        <v>1.1000000000000001</v>
      </c>
      <c r="H22" s="269" t="s">
        <v>1034</v>
      </c>
      <c r="I22" s="385">
        <v>0</v>
      </c>
      <c r="J22"/>
    </row>
    <row r="23" spans="1:10" x14ac:dyDescent="0.25">
      <c r="A23" s="109"/>
      <c r="B23" s="109" t="s">
        <v>139</v>
      </c>
      <c r="C23" s="110" t="s">
        <v>140</v>
      </c>
      <c r="D23" s="166">
        <v>0.90909090909090906</v>
      </c>
      <c r="H23" s="269" t="s">
        <v>1031</v>
      </c>
      <c r="I23" s="385"/>
      <c r="J23"/>
    </row>
    <row r="24" spans="1:10" x14ac:dyDescent="0.25">
      <c r="A24" s="109"/>
      <c r="B24" s="109" t="s">
        <v>71</v>
      </c>
      <c r="C24" s="110" t="s">
        <v>72</v>
      </c>
      <c r="D24" s="166">
        <v>1</v>
      </c>
      <c r="H24" s="159" t="s">
        <v>719</v>
      </c>
      <c r="I24" s="385">
        <v>67</v>
      </c>
      <c r="J24"/>
    </row>
    <row r="25" spans="1:10" x14ac:dyDescent="0.25">
      <c r="A25" s="109"/>
      <c r="B25" s="109" t="s">
        <v>51</v>
      </c>
      <c r="C25" s="110" t="s">
        <v>52</v>
      </c>
      <c r="D25" s="166">
        <v>0.52631578947368418</v>
      </c>
      <c r="H25" s="269" t="s">
        <v>535</v>
      </c>
      <c r="I25" s="385">
        <v>67</v>
      </c>
      <c r="J25"/>
    </row>
    <row r="26" spans="1:10" x14ac:dyDescent="0.25">
      <c r="A26" s="109"/>
      <c r="B26" s="109" t="s">
        <v>75</v>
      </c>
      <c r="C26" s="110" t="s">
        <v>76</v>
      </c>
      <c r="D26" s="166">
        <v>1.0714285714285714</v>
      </c>
      <c r="H26" s="269" t="s">
        <v>1142</v>
      </c>
      <c r="I26" s="385"/>
      <c r="J26"/>
    </row>
    <row r="27" spans="1:10" x14ac:dyDescent="0.25">
      <c r="A27" s="109"/>
      <c r="B27" s="109" t="s">
        <v>40</v>
      </c>
      <c r="C27" s="110" t="s">
        <v>41</v>
      </c>
      <c r="D27" s="166">
        <v>0.90909090909090906</v>
      </c>
      <c r="H27" s="159" t="s">
        <v>1135</v>
      </c>
      <c r="I27" s="385">
        <v>42</v>
      </c>
      <c r="J27"/>
    </row>
    <row r="28" spans="1:10" x14ac:dyDescent="0.25">
      <c r="A28" s="109"/>
      <c r="B28" s="109" t="s">
        <v>89</v>
      </c>
      <c r="C28" s="110" t="s">
        <v>90</v>
      </c>
      <c r="D28" s="166">
        <v>1.25</v>
      </c>
      <c r="H28" s="269" t="s">
        <v>1391</v>
      </c>
      <c r="I28" s="385">
        <v>42</v>
      </c>
      <c r="J28"/>
    </row>
    <row r="29" spans="1:10" x14ac:dyDescent="0.25">
      <c r="A29" s="109"/>
      <c r="B29" s="109" t="s">
        <v>117</v>
      </c>
      <c r="C29" s="110" t="s">
        <v>118</v>
      </c>
      <c r="D29" s="166">
        <v>1</v>
      </c>
      <c r="H29" s="159" t="s">
        <v>230</v>
      </c>
      <c r="I29" s="385">
        <v>41</v>
      </c>
      <c r="J29"/>
    </row>
    <row r="30" spans="1:10" x14ac:dyDescent="0.25">
      <c r="A30" s="109"/>
      <c r="B30" s="109" t="s">
        <v>123</v>
      </c>
      <c r="C30" s="110" t="s">
        <v>124</v>
      </c>
      <c r="D30" s="166">
        <v>0.625</v>
      </c>
      <c r="H30" s="269" t="s">
        <v>169</v>
      </c>
      <c r="I30" s="385"/>
      <c r="J30"/>
    </row>
    <row r="31" spans="1:10" x14ac:dyDescent="0.25">
      <c r="A31" s="109"/>
      <c r="B31" s="109" t="s">
        <v>125</v>
      </c>
      <c r="C31" s="110" t="s">
        <v>126</v>
      </c>
      <c r="D31" s="166">
        <v>0.45454545454545453</v>
      </c>
      <c r="H31" s="269" t="s">
        <v>231</v>
      </c>
      <c r="I31" s="385">
        <v>32</v>
      </c>
      <c r="J31"/>
    </row>
    <row r="32" spans="1:10" x14ac:dyDescent="0.25">
      <c r="A32" s="109"/>
      <c r="B32" s="109" t="s">
        <v>45</v>
      </c>
      <c r="C32" s="110" t="s">
        <v>44</v>
      </c>
      <c r="D32" s="166">
        <v>2</v>
      </c>
      <c r="H32" s="269" t="s">
        <v>233</v>
      </c>
      <c r="I32" s="385"/>
      <c r="J32"/>
    </row>
    <row r="33" spans="1:10" x14ac:dyDescent="0.25">
      <c r="A33" s="109"/>
      <c r="B33" s="109" t="s">
        <v>46</v>
      </c>
      <c r="C33" s="110" t="s">
        <v>551</v>
      </c>
      <c r="D33" s="166">
        <v>1.25</v>
      </c>
      <c r="H33" s="269" t="s">
        <v>235</v>
      </c>
      <c r="I33" s="385"/>
      <c r="J33"/>
    </row>
    <row r="34" spans="1:10" x14ac:dyDescent="0.25">
      <c r="A34" s="109"/>
      <c r="B34" s="109" t="s">
        <v>42</v>
      </c>
      <c r="C34" s="110" t="s">
        <v>43</v>
      </c>
      <c r="D34" s="166">
        <v>0.7142857142857143</v>
      </c>
      <c r="H34" s="269" t="s">
        <v>359</v>
      </c>
      <c r="I34" s="385">
        <v>9</v>
      </c>
      <c r="J34"/>
    </row>
    <row r="35" spans="1:10" x14ac:dyDescent="0.25">
      <c r="A35" s="109"/>
      <c r="B35" s="110" t="s">
        <v>91</v>
      </c>
      <c r="C35" s="110" t="s">
        <v>92</v>
      </c>
      <c r="D35" s="167">
        <v>1</v>
      </c>
      <c r="H35" s="269" t="s">
        <v>171</v>
      </c>
      <c r="I35" s="385"/>
      <c r="J35"/>
    </row>
    <row r="36" spans="1:10" x14ac:dyDescent="0.25">
      <c r="A36" s="109"/>
      <c r="B36" s="132" t="s">
        <v>119</v>
      </c>
      <c r="C36" s="132" t="s">
        <v>120</v>
      </c>
      <c r="D36" s="112">
        <v>0.16666666666666666</v>
      </c>
      <c r="H36" s="269" t="s">
        <v>1197</v>
      </c>
      <c r="I36" s="385"/>
      <c r="J36"/>
    </row>
    <row r="37" spans="1:10" x14ac:dyDescent="0.25">
      <c r="A37" s="109"/>
      <c r="B37" s="132" t="s">
        <v>1162</v>
      </c>
      <c r="C37" s="132" t="s">
        <v>1156</v>
      </c>
      <c r="D37" s="112">
        <v>0</v>
      </c>
      <c r="H37" s="269" t="s">
        <v>1207</v>
      </c>
      <c r="I37" s="385"/>
      <c r="J37"/>
    </row>
    <row r="38" spans="1:10" x14ac:dyDescent="0.25">
      <c r="A38" s="110"/>
      <c r="B38" s="132" t="s">
        <v>1160</v>
      </c>
      <c r="C38" s="132" t="s">
        <v>1157</v>
      </c>
      <c r="D38" s="112">
        <v>0.53333333333333333</v>
      </c>
      <c r="H38" s="269" t="s">
        <v>1208</v>
      </c>
      <c r="I38" s="385"/>
      <c r="J38"/>
    </row>
    <row r="39" spans="1:10" x14ac:dyDescent="0.25">
      <c r="A39" s="109" t="s">
        <v>146</v>
      </c>
      <c r="B39" s="109" t="s">
        <v>148</v>
      </c>
      <c r="C39" s="110" t="s">
        <v>149</v>
      </c>
      <c r="D39" s="166">
        <v>0.41269841269841268</v>
      </c>
      <c r="H39" s="269" t="s">
        <v>1198</v>
      </c>
      <c r="I39" s="385"/>
      <c r="J39"/>
    </row>
    <row r="40" spans="1:10" x14ac:dyDescent="0.25">
      <c r="A40" s="109"/>
      <c r="B40" s="109" t="s">
        <v>381</v>
      </c>
      <c r="C40" s="110" t="s">
        <v>367</v>
      </c>
      <c r="D40" s="166">
        <v>1</v>
      </c>
      <c r="H40" s="269" t="s">
        <v>1209</v>
      </c>
      <c r="I40" s="385"/>
      <c r="J40"/>
    </row>
    <row r="41" spans="1:10" x14ac:dyDescent="0.25">
      <c r="A41" s="109"/>
      <c r="B41" s="109" t="s">
        <v>382</v>
      </c>
      <c r="C41" s="110" t="s">
        <v>368</v>
      </c>
      <c r="D41" s="166">
        <v>1</v>
      </c>
      <c r="H41" s="269" t="s">
        <v>1213</v>
      </c>
      <c r="I41" s="385"/>
      <c r="J41"/>
    </row>
    <row r="42" spans="1:10" x14ac:dyDescent="0.25">
      <c r="A42" s="109"/>
      <c r="B42" s="109" t="s">
        <v>383</v>
      </c>
      <c r="C42" s="110" t="s">
        <v>366</v>
      </c>
      <c r="D42" s="166">
        <v>0.92647058823529416</v>
      </c>
      <c r="H42" s="269" t="s">
        <v>1191</v>
      </c>
      <c r="I42" s="385"/>
      <c r="J42"/>
    </row>
    <row r="43" spans="1:10" x14ac:dyDescent="0.25">
      <c r="A43" s="109"/>
      <c r="B43" s="109" t="s">
        <v>385</v>
      </c>
      <c r="C43" s="110" t="s">
        <v>371</v>
      </c>
      <c r="D43" s="166">
        <v>0.543010752688172</v>
      </c>
      <c r="H43" s="269" t="s">
        <v>1192</v>
      </c>
      <c r="I43" s="385"/>
      <c r="J43"/>
    </row>
    <row r="44" spans="1:10" x14ac:dyDescent="0.25">
      <c r="A44" s="109"/>
      <c r="B44" s="110" t="s">
        <v>147</v>
      </c>
      <c r="C44" s="110" t="s">
        <v>369</v>
      </c>
      <c r="D44" s="167">
        <v>0.10869565217391304</v>
      </c>
      <c r="H44" s="269" t="s">
        <v>1193</v>
      </c>
      <c r="I44" s="385"/>
      <c r="J44"/>
    </row>
    <row r="45" spans="1:10" x14ac:dyDescent="0.25">
      <c r="A45" s="110"/>
      <c r="B45" s="132" t="s">
        <v>941</v>
      </c>
      <c r="C45" s="132" t="s">
        <v>942</v>
      </c>
      <c r="D45" s="112">
        <v>0</v>
      </c>
      <c r="H45" s="269" t="s">
        <v>1194</v>
      </c>
      <c r="I45" s="385"/>
      <c r="J45"/>
    </row>
    <row r="46" spans="1:10" x14ac:dyDescent="0.25">
      <c r="A46" s="109" t="s">
        <v>151</v>
      </c>
      <c r="B46" s="109" t="s">
        <v>150</v>
      </c>
      <c r="C46" s="110" t="s">
        <v>152</v>
      </c>
      <c r="D46" s="166">
        <v>0.54123711340206193</v>
      </c>
      <c r="H46" s="269" t="s">
        <v>1195</v>
      </c>
      <c r="I46" s="385"/>
      <c r="J46"/>
    </row>
    <row r="47" spans="1:10" x14ac:dyDescent="0.25">
      <c r="A47" s="109"/>
      <c r="B47" s="109" t="s">
        <v>197</v>
      </c>
      <c r="C47" s="110" t="s">
        <v>198</v>
      </c>
      <c r="D47" s="166">
        <v>0.97623400365630708</v>
      </c>
      <c r="H47" s="159" t="s">
        <v>166</v>
      </c>
      <c r="I47" s="385">
        <v>36</v>
      </c>
      <c r="J47"/>
    </row>
    <row r="48" spans="1:10" x14ac:dyDescent="0.25">
      <c r="A48" s="109"/>
      <c r="B48" s="109" t="s">
        <v>153</v>
      </c>
      <c r="C48" s="110" t="s">
        <v>154</v>
      </c>
      <c r="D48" s="166">
        <v>0.44543429844097998</v>
      </c>
      <c r="H48" s="269" t="s">
        <v>1139</v>
      </c>
      <c r="I48" s="385">
        <v>36</v>
      </c>
      <c r="J48"/>
    </row>
    <row r="49" spans="1:10" x14ac:dyDescent="0.25">
      <c r="A49" s="109"/>
      <c r="B49" s="109" t="s">
        <v>159</v>
      </c>
      <c r="C49" s="110" t="s">
        <v>160</v>
      </c>
      <c r="D49" s="166">
        <v>0.75510204081632648</v>
      </c>
      <c r="H49" s="159" t="s">
        <v>237</v>
      </c>
      <c r="I49" s="385">
        <v>32</v>
      </c>
      <c r="J49"/>
    </row>
    <row r="50" spans="1:10" x14ac:dyDescent="0.25">
      <c r="A50" s="109"/>
      <c r="B50" s="109" t="s">
        <v>812</v>
      </c>
      <c r="C50" s="110" t="s">
        <v>811</v>
      </c>
      <c r="D50" s="166">
        <v>0.76674937965260548</v>
      </c>
      <c r="H50" s="269" t="s">
        <v>266</v>
      </c>
      <c r="I50" s="385"/>
      <c r="J50"/>
    </row>
    <row r="51" spans="1:10" x14ac:dyDescent="0.25">
      <c r="A51" s="109"/>
      <c r="B51" s="109" t="s">
        <v>187</v>
      </c>
      <c r="C51" s="110" t="s">
        <v>188</v>
      </c>
      <c r="D51" s="166">
        <v>0.49222797927461137</v>
      </c>
      <c r="H51" s="269" t="s">
        <v>282</v>
      </c>
      <c r="I51" s="385">
        <v>7</v>
      </c>
      <c r="J51"/>
    </row>
    <row r="52" spans="1:10" x14ac:dyDescent="0.25">
      <c r="A52" s="109"/>
      <c r="B52" s="110" t="s">
        <v>845</v>
      </c>
      <c r="C52" s="110" t="s">
        <v>846</v>
      </c>
      <c r="D52" s="167">
        <v>0.28735632183908044</v>
      </c>
      <c r="H52" s="269" t="s">
        <v>1526</v>
      </c>
      <c r="I52" s="385">
        <v>25</v>
      </c>
      <c r="J52"/>
    </row>
    <row r="53" spans="1:10" x14ac:dyDescent="0.25">
      <c r="A53" s="110"/>
      <c r="B53" s="132" t="s">
        <v>938</v>
      </c>
      <c r="C53" s="132" t="s">
        <v>937</v>
      </c>
      <c r="D53" s="112">
        <v>0</v>
      </c>
      <c r="H53" s="159" t="s">
        <v>5</v>
      </c>
      <c r="I53" s="385">
        <v>20</v>
      </c>
      <c r="J53"/>
    </row>
    <row r="54" spans="1:10" x14ac:dyDescent="0.25">
      <c r="A54" s="109" t="s">
        <v>166</v>
      </c>
      <c r="B54" s="109" t="s">
        <v>165</v>
      </c>
      <c r="C54" s="110" t="s">
        <v>167</v>
      </c>
      <c r="D54" s="166">
        <v>1.1428571428571428</v>
      </c>
      <c r="H54" s="269" t="s">
        <v>10</v>
      </c>
      <c r="I54" s="385">
        <v>0</v>
      </c>
      <c r="J54"/>
    </row>
    <row r="55" spans="1:10" x14ac:dyDescent="0.25">
      <c r="A55" s="110"/>
      <c r="B55" s="110" t="s">
        <v>761</v>
      </c>
      <c r="C55" s="110" t="s">
        <v>760</v>
      </c>
      <c r="D55" s="167">
        <v>1</v>
      </c>
      <c r="H55" s="269" t="s">
        <v>16</v>
      </c>
      <c r="I55" s="385"/>
      <c r="J55"/>
    </row>
    <row r="56" spans="1:10" x14ac:dyDescent="0.25">
      <c r="A56" s="109" t="s">
        <v>173</v>
      </c>
      <c r="B56" s="109" t="s">
        <v>175</v>
      </c>
      <c r="C56" s="110" t="s">
        <v>176</v>
      </c>
      <c r="D56" s="166">
        <v>0.66666666666666663</v>
      </c>
      <c r="H56" s="269" t="s">
        <v>822</v>
      </c>
      <c r="I56" s="385"/>
      <c r="J56"/>
    </row>
    <row r="57" spans="1:10" x14ac:dyDescent="0.25">
      <c r="A57" s="109"/>
      <c r="B57" s="109" t="s">
        <v>172</v>
      </c>
      <c r="C57" s="110" t="s">
        <v>174</v>
      </c>
      <c r="D57" s="166">
        <v>1</v>
      </c>
      <c r="H57" s="269" t="s">
        <v>24</v>
      </c>
      <c r="I57" s="385">
        <v>20</v>
      </c>
      <c r="J57"/>
    </row>
    <row r="58" spans="1:10" x14ac:dyDescent="0.25">
      <c r="A58" s="109"/>
      <c r="B58" s="110" t="s">
        <v>177</v>
      </c>
      <c r="C58" s="110" t="s">
        <v>178</v>
      </c>
      <c r="D58" s="167">
        <v>1</v>
      </c>
      <c r="H58" s="269" t="s">
        <v>876</v>
      </c>
      <c r="I58" s="385"/>
      <c r="J58"/>
    </row>
    <row r="59" spans="1:10" x14ac:dyDescent="0.25">
      <c r="A59" s="110"/>
      <c r="B59" s="132" t="s">
        <v>1055</v>
      </c>
      <c r="C59" s="132" t="s">
        <v>1061</v>
      </c>
      <c r="D59" s="112">
        <v>1</v>
      </c>
      <c r="H59" s="269" t="s">
        <v>795</v>
      </c>
      <c r="I59" s="385">
        <v>0</v>
      </c>
      <c r="J59"/>
    </row>
    <row r="60" spans="1:10" x14ac:dyDescent="0.25">
      <c r="A60" s="109" t="s">
        <v>180</v>
      </c>
      <c r="B60" s="109" t="s">
        <v>179</v>
      </c>
      <c r="C60" s="110" t="s">
        <v>181</v>
      </c>
      <c r="D60" s="166">
        <v>1</v>
      </c>
      <c r="H60" s="159" t="s">
        <v>480</v>
      </c>
      <c r="I60" s="385">
        <v>8</v>
      </c>
      <c r="J60"/>
    </row>
    <row r="61" spans="1:10" x14ac:dyDescent="0.25">
      <c r="A61" s="110"/>
      <c r="B61" s="110" t="s">
        <v>285</v>
      </c>
      <c r="C61" s="110" t="s">
        <v>286</v>
      </c>
      <c r="D61" s="167">
        <v>1.5263157894736841</v>
      </c>
      <c r="H61" s="269" t="s">
        <v>128</v>
      </c>
      <c r="I61" s="385">
        <v>0</v>
      </c>
      <c r="J61"/>
    </row>
    <row r="62" spans="1:10" x14ac:dyDescent="0.25">
      <c r="A62" s="109" t="s">
        <v>185</v>
      </c>
      <c r="B62" s="109" t="s">
        <v>208</v>
      </c>
      <c r="C62" s="110" t="s">
        <v>209</v>
      </c>
      <c r="D62" s="166">
        <v>0.71317829457364335</v>
      </c>
      <c r="H62" s="269" t="s">
        <v>62</v>
      </c>
      <c r="I62" s="385"/>
      <c r="J62"/>
    </row>
    <row r="63" spans="1:10" x14ac:dyDescent="0.25">
      <c r="A63" s="109"/>
      <c r="B63" s="109" t="s">
        <v>201</v>
      </c>
      <c r="C63" s="110" t="s">
        <v>202</v>
      </c>
      <c r="D63" s="166">
        <v>0.57735849056603772</v>
      </c>
      <c r="H63" s="269" t="s">
        <v>39</v>
      </c>
      <c r="I63" s="385"/>
      <c r="J63"/>
    </row>
    <row r="64" spans="1:10" x14ac:dyDescent="0.25">
      <c r="A64" s="109"/>
      <c r="B64" s="109" t="s">
        <v>222</v>
      </c>
      <c r="C64" s="110" t="s">
        <v>223</v>
      </c>
      <c r="D64" s="166">
        <v>0.65048543689320382</v>
      </c>
      <c r="H64" s="269" t="s">
        <v>48</v>
      </c>
      <c r="I64" s="385"/>
      <c r="J64"/>
    </row>
    <row r="65" spans="1:10" x14ac:dyDescent="0.25">
      <c r="A65" s="109"/>
      <c r="B65" s="109" t="s">
        <v>189</v>
      </c>
      <c r="C65" s="110" t="s">
        <v>190</v>
      </c>
      <c r="D65" s="166">
        <v>0.42268041237113402</v>
      </c>
      <c r="H65" s="269" t="s">
        <v>50</v>
      </c>
      <c r="I65" s="385"/>
      <c r="J65"/>
    </row>
    <row r="66" spans="1:10" x14ac:dyDescent="0.25">
      <c r="A66" s="109"/>
      <c r="B66" s="109" t="s">
        <v>184</v>
      </c>
      <c r="C66" s="110" t="s">
        <v>186</v>
      </c>
      <c r="D66" s="166">
        <v>1</v>
      </c>
      <c r="H66" s="269" t="s">
        <v>58</v>
      </c>
      <c r="I66" s="385"/>
      <c r="J66"/>
    </row>
    <row r="67" spans="1:10" x14ac:dyDescent="0.25">
      <c r="A67" s="109"/>
      <c r="B67" s="109" t="s">
        <v>228</v>
      </c>
      <c r="C67" s="110" t="s">
        <v>229</v>
      </c>
      <c r="D67" s="166">
        <v>0.91836734693877553</v>
      </c>
      <c r="H67" s="269" t="s">
        <v>60</v>
      </c>
      <c r="I67" s="385"/>
      <c r="J67"/>
    </row>
    <row r="68" spans="1:10" x14ac:dyDescent="0.25">
      <c r="A68" s="109"/>
      <c r="B68" s="109" t="s">
        <v>224</v>
      </c>
      <c r="C68" s="110" t="s">
        <v>225</v>
      </c>
      <c r="D68" s="166">
        <v>0.97560975609756095</v>
      </c>
      <c r="H68" s="269" t="s">
        <v>70</v>
      </c>
      <c r="I68" s="385"/>
      <c r="J68"/>
    </row>
    <row r="69" spans="1:10" x14ac:dyDescent="0.25">
      <c r="A69" s="109"/>
      <c r="B69" s="109" t="s">
        <v>195</v>
      </c>
      <c r="C69" s="110" t="s">
        <v>196</v>
      </c>
      <c r="D69" s="166">
        <v>0.77296248382923671</v>
      </c>
      <c r="H69" s="269" t="s">
        <v>78</v>
      </c>
      <c r="I69" s="385"/>
      <c r="J69"/>
    </row>
    <row r="70" spans="1:10" x14ac:dyDescent="0.25">
      <c r="A70" s="109"/>
      <c r="B70" s="109" t="s">
        <v>193</v>
      </c>
      <c r="C70" s="110" t="s">
        <v>194</v>
      </c>
      <c r="D70" s="166">
        <v>0.8607242339832869</v>
      </c>
      <c r="H70" s="269" t="s">
        <v>82</v>
      </c>
      <c r="I70" s="385"/>
      <c r="J70"/>
    </row>
    <row r="71" spans="1:10" x14ac:dyDescent="0.25">
      <c r="A71" s="109"/>
      <c r="B71" s="109" t="s">
        <v>191</v>
      </c>
      <c r="C71" s="110" t="s">
        <v>192</v>
      </c>
      <c r="D71" s="166">
        <v>1.796116504854369</v>
      </c>
      <c r="H71" s="269" t="s">
        <v>56</v>
      </c>
      <c r="I71" s="385">
        <v>0</v>
      </c>
      <c r="J71"/>
    </row>
    <row r="72" spans="1:10" x14ac:dyDescent="0.25">
      <c r="A72" s="109"/>
      <c r="B72" s="109" t="s">
        <v>218</v>
      </c>
      <c r="C72" s="110" t="s">
        <v>219</v>
      </c>
      <c r="D72" s="166">
        <v>1.2010050251256281</v>
      </c>
      <c r="H72" s="269" t="s">
        <v>955</v>
      </c>
      <c r="I72" s="385"/>
      <c r="J72"/>
    </row>
    <row r="73" spans="1:10" x14ac:dyDescent="0.25">
      <c r="A73" s="110"/>
      <c r="B73" s="110" t="s">
        <v>214</v>
      </c>
      <c r="C73" s="110" t="s">
        <v>215</v>
      </c>
      <c r="D73" s="167">
        <v>1.7318435754189945</v>
      </c>
      <c r="H73" s="269" t="s">
        <v>94</v>
      </c>
      <c r="I73" s="385">
        <v>0</v>
      </c>
      <c r="J73"/>
    </row>
    <row r="74" spans="1:10" x14ac:dyDescent="0.25">
      <c r="A74" s="109" t="s">
        <v>230</v>
      </c>
      <c r="B74" s="109" t="s">
        <v>903</v>
      </c>
      <c r="C74" s="110" t="s">
        <v>902</v>
      </c>
      <c r="D74" s="166">
        <v>1</v>
      </c>
      <c r="H74" s="269" t="s">
        <v>54</v>
      </c>
      <c r="I74" s="385">
        <v>0</v>
      </c>
      <c r="J74"/>
    </row>
    <row r="75" spans="1:10" x14ac:dyDescent="0.25">
      <c r="A75" s="109"/>
      <c r="B75" s="110" t="s">
        <v>913</v>
      </c>
      <c r="C75" s="110" t="s">
        <v>912</v>
      </c>
      <c r="D75" s="167">
        <v>1.2000000000000002</v>
      </c>
      <c r="H75" s="269" t="s">
        <v>66</v>
      </c>
      <c r="I75" s="385">
        <v>0</v>
      </c>
      <c r="J75"/>
    </row>
    <row r="76" spans="1:10" x14ac:dyDescent="0.25">
      <c r="A76" s="110"/>
      <c r="B76" s="132" t="s">
        <v>771</v>
      </c>
      <c r="C76" s="132" t="s">
        <v>359</v>
      </c>
      <c r="D76" s="112">
        <v>1</v>
      </c>
      <c r="H76" s="269" t="s">
        <v>80</v>
      </c>
      <c r="I76" s="385">
        <v>0</v>
      </c>
      <c r="J76"/>
    </row>
    <row r="77" spans="1:10" x14ac:dyDescent="0.25">
      <c r="A77" s="109" t="s">
        <v>237</v>
      </c>
      <c r="B77" s="109" t="s">
        <v>865</v>
      </c>
      <c r="C77" s="109" t="s">
        <v>823</v>
      </c>
      <c r="D77" s="166">
        <v>0</v>
      </c>
      <c r="H77" s="269" t="s">
        <v>102</v>
      </c>
      <c r="I77" s="385">
        <v>0</v>
      </c>
      <c r="J77"/>
    </row>
    <row r="78" spans="1:10" x14ac:dyDescent="0.25">
      <c r="A78" s="109"/>
      <c r="B78" s="109"/>
      <c r="C78" s="110" t="s">
        <v>787</v>
      </c>
      <c r="D78" s="166">
        <v>0</v>
      </c>
      <c r="H78" s="269" t="s">
        <v>106</v>
      </c>
      <c r="I78" s="385">
        <v>0</v>
      </c>
      <c r="J78"/>
    </row>
    <row r="79" spans="1:10" x14ac:dyDescent="0.25">
      <c r="A79" s="109"/>
      <c r="B79" s="109" t="s">
        <v>236</v>
      </c>
      <c r="C79" s="110" t="s">
        <v>238</v>
      </c>
      <c r="D79" s="166">
        <v>0.90909090909090906</v>
      </c>
      <c r="H79" s="269" t="s">
        <v>116</v>
      </c>
      <c r="I79" s="385">
        <v>0</v>
      </c>
      <c r="J79"/>
    </row>
    <row r="80" spans="1:10" x14ac:dyDescent="0.25">
      <c r="A80" s="109"/>
      <c r="B80" s="109" t="s">
        <v>267</v>
      </c>
      <c r="C80" s="110" t="s">
        <v>268</v>
      </c>
      <c r="D80" s="166">
        <v>1.1846153846153846</v>
      </c>
      <c r="H80" s="269" t="s">
        <v>130</v>
      </c>
      <c r="I80" s="385">
        <v>0</v>
      </c>
      <c r="J80"/>
    </row>
    <row r="81" spans="1:10" x14ac:dyDescent="0.25">
      <c r="A81" s="109"/>
      <c r="B81" s="109" t="s">
        <v>249</v>
      </c>
      <c r="C81" s="110" t="s">
        <v>250</v>
      </c>
      <c r="D81" s="166">
        <v>0.64516129032258063</v>
      </c>
      <c r="H81" s="269" t="s">
        <v>138</v>
      </c>
      <c r="I81" s="385">
        <v>0</v>
      </c>
      <c r="J81"/>
    </row>
    <row r="82" spans="1:10" x14ac:dyDescent="0.25">
      <c r="A82" s="109"/>
      <c r="B82" s="109" t="s">
        <v>247</v>
      </c>
      <c r="C82" s="110" t="s">
        <v>248</v>
      </c>
      <c r="D82" s="166">
        <v>2</v>
      </c>
      <c r="H82" s="269" t="s">
        <v>136</v>
      </c>
      <c r="I82" s="385">
        <v>0</v>
      </c>
      <c r="J82"/>
    </row>
    <row r="83" spans="1:10" x14ac:dyDescent="0.25">
      <c r="A83" s="109"/>
      <c r="B83" s="109" t="s">
        <v>273</v>
      </c>
      <c r="C83" s="110" t="s">
        <v>274</v>
      </c>
      <c r="D83" s="166">
        <v>0.69565217391304346</v>
      </c>
      <c r="H83" s="269" t="s">
        <v>68</v>
      </c>
      <c r="I83" s="385">
        <v>0</v>
      </c>
      <c r="J83"/>
    </row>
    <row r="84" spans="1:10" x14ac:dyDescent="0.25">
      <c r="A84" s="109"/>
      <c r="B84" s="109" t="s">
        <v>275</v>
      </c>
      <c r="C84" s="110" t="s">
        <v>276</v>
      </c>
      <c r="D84" s="166">
        <v>0.5423728813559322</v>
      </c>
      <c r="H84" s="269" t="s">
        <v>84</v>
      </c>
      <c r="I84" s="385">
        <v>0</v>
      </c>
      <c r="J84"/>
    </row>
    <row r="85" spans="1:10" x14ac:dyDescent="0.25">
      <c r="A85" s="109"/>
      <c r="B85" s="109" t="s">
        <v>259</v>
      </c>
      <c r="C85" s="110" t="s">
        <v>260</v>
      </c>
      <c r="D85" s="166">
        <v>0.76923076923076916</v>
      </c>
      <c r="H85" s="269" t="s">
        <v>86</v>
      </c>
      <c r="I85" s="385">
        <v>0</v>
      </c>
      <c r="J85"/>
    </row>
    <row r="86" spans="1:10" x14ac:dyDescent="0.25">
      <c r="A86" s="109"/>
      <c r="B86" s="109" t="s">
        <v>279</v>
      </c>
      <c r="C86" s="110" t="s">
        <v>280</v>
      </c>
      <c r="D86" s="166">
        <v>0.54347826086956519</v>
      </c>
      <c r="H86" s="269" t="s">
        <v>104</v>
      </c>
      <c r="I86" s="385">
        <v>0</v>
      </c>
      <c r="J86"/>
    </row>
    <row r="87" spans="1:10" x14ac:dyDescent="0.25">
      <c r="A87" s="109"/>
      <c r="B87" s="109" t="s">
        <v>245</v>
      </c>
      <c r="C87" s="110" t="s">
        <v>246</v>
      </c>
      <c r="D87" s="166">
        <v>9.6774193548387094E-2</v>
      </c>
      <c r="H87" s="269" t="s">
        <v>98</v>
      </c>
      <c r="I87" s="385">
        <v>0</v>
      </c>
      <c r="J87"/>
    </row>
    <row r="88" spans="1:10" x14ac:dyDescent="0.25">
      <c r="A88" s="109"/>
      <c r="B88" s="109" t="s">
        <v>242</v>
      </c>
      <c r="C88" s="110" t="s">
        <v>243</v>
      </c>
      <c r="D88" s="166">
        <v>0.5</v>
      </c>
      <c r="H88" s="269" t="s">
        <v>142</v>
      </c>
      <c r="I88" s="385">
        <v>0</v>
      </c>
      <c r="J88"/>
    </row>
    <row r="89" spans="1:10" x14ac:dyDescent="0.25">
      <c r="A89" s="109"/>
      <c r="B89" s="109" t="s">
        <v>255</v>
      </c>
      <c r="C89" s="110" t="s">
        <v>256</v>
      </c>
      <c r="D89" s="166">
        <v>0.11904761904761904</v>
      </c>
      <c r="H89" s="269" t="s">
        <v>110</v>
      </c>
      <c r="I89" s="385">
        <v>0</v>
      </c>
      <c r="J89"/>
    </row>
    <row r="90" spans="1:10" x14ac:dyDescent="0.25">
      <c r="A90" s="109"/>
      <c r="B90" s="109" t="s">
        <v>283</v>
      </c>
      <c r="C90" s="110" t="s">
        <v>284</v>
      </c>
      <c r="D90" s="166">
        <v>0.89928057553956831</v>
      </c>
      <c r="H90" s="269" t="s">
        <v>112</v>
      </c>
      <c r="I90" s="385">
        <v>0</v>
      </c>
      <c r="J90"/>
    </row>
    <row r="91" spans="1:10" x14ac:dyDescent="0.25">
      <c r="A91" s="109"/>
      <c r="B91" s="109" t="s">
        <v>239</v>
      </c>
      <c r="C91" s="110" t="s">
        <v>240</v>
      </c>
      <c r="D91" s="166">
        <v>0.22857142857142856</v>
      </c>
      <c r="H91" s="269" t="s">
        <v>114</v>
      </c>
      <c r="I91" s="385">
        <v>0</v>
      </c>
      <c r="J91"/>
    </row>
    <row r="92" spans="1:10" x14ac:dyDescent="0.25">
      <c r="A92" s="109"/>
      <c r="B92" s="109" t="s">
        <v>257</v>
      </c>
      <c r="C92" s="110" t="s">
        <v>258</v>
      </c>
      <c r="D92" s="166">
        <v>0.32258064516129031</v>
      </c>
      <c r="H92" s="269" t="s">
        <v>122</v>
      </c>
      <c r="I92" s="385">
        <v>0</v>
      </c>
      <c r="J92"/>
    </row>
    <row r="93" spans="1:10" x14ac:dyDescent="0.25">
      <c r="A93" s="109"/>
      <c r="B93" s="109" t="s">
        <v>251</v>
      </c>
      <c r="C93" s="110" t="s">
        <v>252</v>
      </c>
      <c r="D93" s="166">
        <v>0.79999999999999993</v>
      </c>
      <c r="H93" s="269" t="s">
        <v>124</v>
      </c>
      <c r="I93" s="385">
        <v>8</v>
      </c>
      <c r="J93"/>
    </row>
    <row r="94" spans="1:10" x14ac:dyDescent="0.25">
      <c r="A94" s="109"/>
      <c r="B94" s="109" t="s">
        <v>253</v>
      </c>
      <c r="C94" s="110" t="s">
        <v>254</v>
      </c>
      <c r="D94" s="166">
        <v>0.65573770491803274</v>
      </c>
      <c r="H94" s="269" t="s">
        <v>96</v>
      </c>
      <c r="I94" s="385">
        <v>0</v>
      </c>
      <c r="J94"/>
    </row>
    <row r="95" spans="1:10" x14ac:dyDescent="0.25">
      <c r="A95" s="109"/>
      <c r="B95" s="109" t="s">
        <v>261</v>
      </c>
      <c r="C95" s="110" t="s">
        <v>262</v>
      </c>
      <c r="D95" s="166">
        <v>1.2173913043478262</v>
      </c>
      <c r="H95" s="269" t="s">
        <v>132</v>
      </c>
      <c r="I95" s="385">
        <v>0</v>
      </c>
      <c r="J95"/>
    </row>
    <row r="96" spans="1:10" x14ac:dyDescent="0.25">
      <c r="A96" s="109"/>
      <c r="B96" s="109" t="s">
        <v>263</v>
      </c>
      <c r="C96" s="110" t="s">
        <v>264</v>
      </c>
      <c r="D96" s="166">
        <v>1.2666666666666666</v>
      </c>
      <c r="H96" s="269" t="s">
        <v>134</v>
      </c>
      <c r="I96" s="385"/>
      <c r="J96"/>
    </row>
    <row r="97" spans="1:10" x14ac:dyDescent="0.25">
      <c r="A97" s="109"/>
      <c r="B97" s="109" t="s">
        <v>281</v>
      </c>
      <c r="C97" s="110" t="s">
        <v>282</v>
      </c>
      <c r="D97" s="166">
        <v>1</v>
      </c>
      <c r="H97" s="269" t="s">
        <v>64</v>
      </c>
      <c r="I97" s="385"/>
      <c r="J97"/>
    </row>
    <row r="98" spans="1:10" x14ac:dyDescent="0.25">
      <c r="A98" s="109"/>
      <c r="B98" s="109" t="s">
        <v>269</v>
      </c>
      <c r="C98" s="110" t="s">
        <v>270</v>
      </c>
      <c r="D98" s="166">
        <v>1.0634920634920635</v>
      </c>
      <c r="H98" s="269" t="s">
        <v>74</v>
      </c>
      <c r="I98" s="385"/>
      <c r="J98"/>
    </row>
    <row r="99" spans="1:10" x14ac:dyDescent="0.25">
      <c r="A99" s="109"/>
      <c r="B99" s="109" t="s">
        <v>271</v>
      </c>
      <c r="C99" s="110" t="s">
        <v>272</v>
      </c>
      <c r="D99" s="166">
        <v>0.97959183673469385</v>
      </c>
      <c r="H99" s="269" t="s">
        <v>467</v>
      </c>
      <c r="I99" s="385">
        <v>0</v>
      </c>
      <c r="J99"/>
    </row>
    <row r="100" spans="1:10" x14ac:dyDescent="0.25">
      <c r="A100" s="110"/>
      <c r="B100" s="110" t="s">
        <v>241</v>
      </c>
      <c r="C100" s="110" t="s">
        <v>1030</v>
      </c>
      <c r="D100" s="167">
        <v>2.3518518518518521</v>
      </c>
      <c r="H100" s="269" t="s">
        <v>1132</v>
      </c>
      <c r="I100" s="385"/>
      <c r="J100"/>
    </row>
    <row r="101" spans="1:10" x14ac:dyDescent="0.25">
      <c r="A101" s="109" t="s">
        <v>288</v>
      </c>
      <c r="B101" s="109" t="s">
        <v>287</v>
      </c>
      <c r="C101" s="110" t="s">
        <v>289</v>
      </c>
      <c r="D101" s="166">
        <v>0.44776119402985076</v>
      </c>
      <c r="H101" s="269" t="s">
        <v>1153</v>
      </c>
      <c r="I101" s="385"/>
      <c r="J101"/>
    </row>
    <row r="102" spans="1:10" x14ac:dyDescent="0.25">
      <c r="A102" s="109"/>
      <c r="B102" s="109" t="s">
        <v>290</v>
      </c>
      <c r="C102" s="110" t="s">
        <v>291</v>
      </c>
      <c r="D102" s="166">
        <v>1.2702702702702702</v>
      </c>
      <c r="H102" s="269" t="s">
        <v>1154</v>
      </c>
      <c r="I102" s="385"/>
      <c r="J102"/>
    </row>
    <row r="103" spans="1:10" x14ac:dyDescent="0.25">
      <c r="A103" s="109"/>
      <c r="B103" s="109" t="s">
        <v>905</v>
      </c>
      <c r="C103" s="110" t="s">
        <v>904</v>
      </c>
      <c r="D103" s="166">
        <v>1.0277777777777777</v>
      </c>
      <c r="H103" s="159" t="s">
        <v>299</v>
      </c>
      <c r="I103" s="385">
        <v>0</v>
      </c>
      <c r="J103"/>
    </row>
    <row r="104" spans="1:10" x14ac:dyDescent="0.25">
      <c r="A104" s="109"/>
      <c r="B104" s="110" t="s">
        <v>909</v>
      </c>
      <c r="C104" s="110" t="s">
        <v>916</v>
      </c>
      <c r="D104" s="167">
        <v>0.6</v>
      </c>
      <c r="H104" s="269" t="s">
        <v>815</v>
      </c>
      <c r="I104" s="385">
        <v>0</v>
      </c>
      <c r="J104"/>
    </row>
    <row r="105" spans="1:10" x14ac:dyDescent="0.25">
      <c r="A105" s="110"/>
      <c r="B105" s="132" t="s">
        <v>294</v>
      </c>
      <c r="C105" s="132" t="s">
        <v>372</v>
      </c>
      <c r="D105" s="112">
        <v>0</v>
      </c>
      <c r="H105" s="159" t="s">
        <v>288</v>
      </c>
      <c r="I105" s="385">
        <v>0</v>
      </c>
      <c r="J105"/>
    </row>
    <row r="106" spans="1:10" x14ac:dyDescent="0.25">
      <c r="A106" s="110" t="s">
        <v>297</v>
      </c>
      <c r="B106" s="110" t="s">
        <v>296</v>
      </c>
      <c r="C106" s="110" t="s">
        <v>759</v>
      </c>
      <c r="D106" s="167">
        <v>0.22727272727272727</v>
      </c>
      <c r="H106" s="269" t="s">
        <v>373</v>
      </c>
      <c r="I106" s="385">
        <v>0</v>
      </c>
      <c r="J106"/>
    </row>
    <row r="107" spans="1:10" x14ac:dyDescent="0.25">
      <c r="A107" s="109" t="s">
        <v>301</v>
      </c>
      <c r="B107" s="109" t="s">
        <v>304</v>
      </c>
      <c r="C107" s="110" t="s">
        <v>305</v>
      </c>
      <c r="D107" s="166">
        <v>0.48837209302325579</v>
      </c>
      <c r="H107" s="269" t="s">
        <v>293</v>
      </c>
      <c r="I107" s="385"/>
      <c r="J107"/>
    </row>
    <row r="108" spans="1:10" x14ac:dyDescent="0.25">
      <c r="A108" s="110"/>
      <c r="B108" s="110" t="s">
        <v>306</v>
      </c>
      <c r="C108" s="110" t="s">
        <v>307</v>
      </c>
      <c r="D108" s="167">
        <v>1.0697674418604652</v>
      </c>
      <c r="H108" s="269" t="s">
        <v>1128</v>
      </c>
      <c r="I108" s="385"/>
      <c r="J108"/>
    </row>
    <row r="109" spans="1:10" x14ac:dyDescent="0.25">
      <c r="A109" s="109" t="s">
        <v>309</v>
      </c>
      <c r="B109" s="109" t="s">
        <v>339</v>
      </c>
      <c r="C109" s="110" t="s">
        <v>340</v>
      </c>
      <c r="D109" s="166">
        <v>0.58461538461538465</v>
      </c>
      <c r="H109" s="159" t="s">
        <v>817</v>
      </c>
      <c r="I109" s="385"/>
      <c r="J109"/>
    </row>
    <row r="110" spans="1:10" x14ac:dyDescent="0.25">
      <c r="A110" s="109"/>
      <c r="B110" s="109" t="s">
        <v>348</v>
      </c>
      <c r="C110" s="110" t="s">
        <v>349</v>
      </c>
      <c r="D110" s="166">
        <v>1</v>
      </c>
      <c r="H110" s="269" t="s">
        <v>819</v>
      </c>
      <c r="I110" s="385"/>
      <c r="J110"/>
    </row>
    <row r="111" spans="1:10" x14ac:dyDescent="0.25">
      <c r="A111" s="109"/>
      <c r="B111" s="109" t="s">
        <v>318</v>
      </c>
      <c r="C111" s="110" t="s">
        <v>319</v>
      </c>
      <c r="D111" s="166">
        <v>0.96666666666666667</v>
      </c>
      <c r="H111" s="159" t="s">
        <v>180</v>
      </c>
      <c r="I111" s="385">
        <v>0</v>
      </c>
      <c r="J111"/>
    </row>
    <row r="112" spans="1:10" x14ac:dyDescent="0.25">
      <c r="A112" s="109"/>
      <c r="B112" s="109" t="s">
        <v>311</v>
      </c>
      <c r="C112" s="110" t="s">
        <v>312</v>
      </c>
      <c r="D112" s="166">
        <v>1.0294117647058822</v>
      </c>
      <c r="H112" s="269" t="s">
        <v>183</v>
      </c>
      <c r="I112" s="385">
        <v>0</v>
      </c>
      <c r="J112"/>
    </row>
    <row r="113" spans="1:10" x14ac:dyDescent="0.25">
      <c r="A113" s="109"/>
      <c r="B113" s="109" t="s">
        <v>328</v>
      </c>
      <c r="C113" s="110" t="s">
        <v>329</v>
      </c>
      <c r="D113" s="166">
        <v>0.9042553191489362</v>
      </c>
      <c r="H113" s="159" t="s">
        <v>146</v>
      </c>
      <c r="I113" s="385">
        <v>0</v>
      </c>
      <c r="J113"/>
    </row>
    <row r="114" spans="1:10" x14ac:dyDescent="0.25">
      <c r="A114" s="109"/>
      <c r="B114" s="109" t="s">
        <v>336</v>
      </c>
      <c r="C114" s="110" t="s">
        <v>337</v>
      </c>
      <c r="D114" s="166">
        <v>1.258064516129032</v>
      </c>
      <c r="H114" s="269" t="s">
        <v>837</v>
      </c>
      <c r="I114" s="385">
        <v>0</v>
      </c>
      <c r="J114"/>
    </row>
    <row r="115" spans="1:10" x14ac:dyDescent="0.25">
      <c r="A115" s="109"/>
      <c r="B115" s="109" t="s">
        <v>326</v>
      </c>
      <c r="C115" s="110" t="s">
        <v>327</v>
      </c>
      <c r="D115" s="166">
        <v>0.37024221453287198</v>
      </c>
      <c r="H115" s="269" t="s">
        <v>370</v>
      </c>
      <c r="I115" s="385"/>
      <c r="J115"/>
    </row>
    <row r="116" spans="1:10" x14ac:dyDescent="0.25">
      <c r="A116" s="109"/>
      <c r="B116" s="109" t="s">
        <v>316</v>
      </c>
      <c r="C116" s="110" t="s">
        <v>317</v>
      </c>
      <c r="D116" s="166">
        <v>1.0090090090090089</v>
      </c>
      <c r="H116" s="269" t="s">
        <v>365</v>
      </c>
      <c r="I116" s="385">
        <v>0</v>
      </c>
      <c r="J116"/>
    </row>
    <row r="117" spans="1:10" x14ac:dyDescent="0.25">
      <c r="A117" s="109"/>
      <c r="B117" s="109" t="s">
        <v>346</v>
      </c>
      <c r="C117" s="110" t="s">
        <v>347</v>
      </c>
      <c r="D117" s="166">
        <v>1.7173913043478262</v>
      </c>
      <c r="H117" s="159" t="s">
        <v>185</v>
      </c>
      <c r="I117" s="385"/>
      <c r="J117"/>
    </row>
    <row r="118" spans="1:10" x14ac:dyDescent="0.25">
      <c r="A118" s="109"/>
      <c r="B118" s="109" t="s">
        <v>314</v>
      </c>
      <c r="C118" s="110" t="s">
        <v>315</v>
      </c>
      <c r="D118" s="166">
        <v>0.84615384615384626</v>
      </c>
      <c r="H118" s="269" t="s">
        <v>200</v>
      </c>
      <c r="I118" s="385"/>
      <c r="J118"/>
    </row>
    <row r="119" spans="1:10" x14ac:dyDescent="0.25">
      <c r="A119" s="109"/>
      <c r="B119" s="109" t="s">
        <v>324</v>
      </c>
      <c r="C119" s="110" t="s">
        <v>325</v>
      </c>
      <c r="D119" s="166">
        <v>0.88888888888888884</v>
      </c>
      <c r="H119" s="269" t="s">
        <v>204</v>
      </c>
      <c r="I119" s="385"/>
      <c r="J119"/>
    </row>
    <row r="120" spans="1:10" x14ac:dyDescent="0.25">
      <c r="A120" s="109"/>
      <c r="B120" s="109" t="s">
        <v>322</v>
      </c>
      <c r="C120" s="110" t="s">
        <v>323</v>
      </c>
      <c r="D120" s="166">
        <v>1.0983935742971889</v>
      </c>
      <c r="H120" s="269" t="s">
        <v>205</v>
      </c>
      <c r="I120" s="385"/>
      <c r="J120"/>
    </row>
    <row r="121" spans="1:10" x14ac:dyDescent="0.25">
      <c r="A121" s="109"/>
      <c r="B121" s="109" t="s">
        <v>344</v>
      </c>
      <c r="C121" s="110" t="s">
        <v>345</v>
      </c>
      <c r="D121" s="166">
        <v>1.4184782608695652</v>
      </c>
      <c r="H121" s="269" t="s">
        <v>207</v>
      </c>
      <c r="I121" s="385"/>
      <c r="J121"/>
    </row>
    <row r="122" spans="1:10" x14ac:dyDescent="0.25">
      <c r="A122" s="109"/>
      <c r="B122" s="109" t="s">
        <v>332</v>
      </c>
      <c r="C122" s="110" t="s">
        <v>333</v>
      </c>
      <c r="D122" s="166">
        <v>1.2302631578947367</v>
      </c>
      <c r="H122" s="269" t="s">
        <v>211</v>
      </c>
      <c r="I122" s="385"/>
      <c r="J122"/>
    </row>
    <row r="123" spans="1:10" x14ac:dyDescent="0.25">
      <c r="A123" s="109"/>
      <c r="B123" s="109" t="s">
        <v>334</v>
      </c>
      <c r="C123" s="110" t="s">
        <v>335</v>
      </c>
      <c r="D123" s="166">
        <v>0.67114093959731547</v>
      </c>
      <c r="H123" s="269" t="s">
        <v>217</v>
      </c>
      <c r="I123" s="385"/>
      <c r="J123"/>
    </row>
    <row r="124" spans="1:10" x14ac:dyDescent="0.25">
      <c r="A124" s="109"/>
      <c r="B124" s="109" t="s">
        <v>350</v>
      </c>
      <c r="C124" s="110" t="s">
        <v>351</v>
      </c>
      <c r="D124" s="166">
        <v>0.11461318051575932</v>
      </c>
      <c r="H124" s="269" t="s">
        <v>221</v>
      </c>
      <c r="I124" s="385"/>
      <c r="J124"/>
    </row>
    <row r="125" spans="1:10" x14ac:dyDescent="0.25">
      <c r="A125" s="109"/>
      <c r="B125" s="109" t="s">
        <v>320</v>
      </c>
      <c r="C125" s="110" t="s">
        <v>321</v>
      </c>
      <c r="D125" s="166">
        <v>1</v>
      </c>
      <c r="H125" s="269" t="s">
        <v>227</v>
      </c>
      <c r="I125" s="385"/>
      <c r="J125"/>
    </row>
    <row r="126" spans="1:10" x14ac:dyDescent="0.25">
      <c r="A126" s="109"/>
      <c r="B126" s="109" t="s">
        <v>352</v>
      </c>
      <c r="C126" s="110" t="s">
        <v>353</v>
      </c>
      <c r="D126" s="166">
        <v>0.65</v>
      </c>
      <c r="H126" s="269" t="s">
        <v>1079</v>
      </c>
      <c r="I126" s="385"/>
      <c r="J126"/>
    </row>
    <row r="127" spans="1:10" x14ac:dyDescent="0.25">
      <c r="A127" s="109"/>
      <c r="B127" s="109" t="s">
        <v>341</v>
      </c>
      <c r="C127" s="110" t="s">
        <v>342</v>
      </c>
      <c r="D127" s="166">
        <v>0.95</v>
      </c>
      <c r="H127" s="159" t="s">
        <v>301</v>
      </c>
      <c r="I127" s="385"/>
      <c r="J127"/>
    </row>
    <row r="128" spans="1:10" x14ac:dyDescent="0.25">
      <c r="A128" s="110"/>
      <c r="B128" s="110" t="s">
        <v>343</v>
      </c>
      <c r="C128" s="110" t="s">
        <v>1029</v>
      </c>
      <c r="D128" s="167">
        <v>0.18817204301075269</v>
      </c>
      <c r="H128" s="269" t="s">
        <v>12</v>
      </c>
      <c r="I128" s="385"/>
      <c r="J128"/>
    </row>
    <row r="129" spans="1:10" x14ac:dyDescent="0.25">
      <c r="A129" s="109" t="s">
        <v>299</v>
      </c>
      <c r="B129" s="110" t="s">
        <v>865</v>
      </c>
      <c r="C129" s="110" t="s">
        <v>787</v>
      </c>
      <c r="D129" s="167">
        <v>0</v>
      </c>
      <c r="H129" s="159" t="s">
        <v>361</v>
      </c>
      <c r="I129" s="385">
        <v>0</v>
      </c>
      <c r="J129"/>
    </row>
    <row r="130" spans="1:10" x14ac:dyDescent="0.25">
      <c r="A130" s="110"/>
      <c r="B130" s="132" t="s">
        <v>1044</v>
      </c>
      <c r="C130" s="132" t="s">
        <v>1045</v>
      </c>
      <c r="D130" s="112">
        <v>0.98360655737704916</v>
      </c>
      <c r="H130" s="269" t="s">
        <v>35</v>
      </c>
      <c r="I130" s="385">
        <v>0</v>
      </c>
      <c r="J130"/>
    </row>
    <row r="131" spans="1:10" x14ac:dyDescent="0.25">
      <c r="A131" s="109" t="s">
        <v>719</v>
      </c>
      <c r="B131" s="132" t="s">
        <v>1043</v>
      </c>
      <c r="C131" s="132" t="s">
        <v>1059</v>
      </c>
      <c r="D131" s="112">
        <v>1.0294117647058825</v>
      </c>
      <c r="H131" s="159" t="s">
        <v>27</v>
      </c>
      <c r="I131" s="385"/>
      <c r="J131"/>
    </row>
    <row r="132" spans="1:10" x14ac:dyDescent="0.25">
      <c r="A132" s="110" t="s">
        <v>411</v>
      </c>
      <c r="B132" s="110"/>
      <c r="C132" s="110"/>
      <c r="D132" s="167">
        <v>105.42932448197416</v>
      </c>
      <c r="H132" s="314" t="s">
        <v>32</v>
      </c>
      <c r="I132" s="385"/>
      <c r="J132"/>
    </row>
    <row r="133" spans="1:10" x14ac:dyDescent="0.25">
      <c r="B133"/>
      <c r="H133" s="269" t="s">
        <v>34</v>
      </c>
      <c r="I133" s="385"/>
      <c r="J133"/>
    </row>
    <row r="134" spans="1:10" x14ac:dyDescent="0.25">
      <c r="B134"/>
      <c r="H134" s="269" t="s">
        <v>37</v>
      </c>
      <c r="I134" s="385"/>
      <c r="J134"/>
    </row>
    <row r="135" spans="1:10" x14ac:dyDescent="0.25">
      <c r="B135"/>
      <c r="H135" s="159" t="s">
        <v>151</v>
      </c>
      <c r="I135" s="385">
        <v>0</v>
      </c>
      <c r="J135"/>
    </row>
    <row r="136" spans="1:10" x14ac:dyDescent="0.25">
      <c r="B136"/>
      <c r="H136" s="269" t="s">
        <v>808</v>
      </c>
      <c r="I136" s="385">
        <v>0</v>
      </c>
      <c r="J136"/>
    </row>
    <row r="137" spans="1:10" x14ac:dyDescent="0.25">
      <c r="B137"/>
      <c r="H137" s="269" t="s">
        <v>803</v>
      </c>
      <c r="I137" s="385">
        <v>0</v>
      </c>
      <c r="J137"/>
    </row>
    <row r="138" spans="1:10" x14ac:dyDescent="0.25">
      <c r="B138"/>
      <c r="H138" s="269" t="s">
        <v>804</v>
      </c>
      <c r="I138" s="385">
        <v>0</v>
      </c>
      <c r="J138"/>
    </row>
    <row r="139" spans="1:10" x14ac:dyDescent="0.25">
      <c r="B139"/>
      <c r="H139" s="269" t="s">
        <v>887</v>
      </c>
      <c r="I139" s="385"/>
      <c r="J139"/>
    </row>
    <row r="140" spans="1:10" x14ac:dyDescent="0.25">
      <c r="B140"/>
      <c r="H140" s="269" t="s">
        <v>810</v>
      </c>
      <c r="I140" s="385">
        <v>0</v>
      </c>
      <c r="J140"/>
    </row>
    <row r="141" spans="1:10" x14ac:dyDescent="0.25">
      <c r="B141"/>
      <c r="H141" s="269" t="s">
        <v>469</v>
      </c>
      <c r="I141" s="385">
        <v>0</v>
      </c>
      <c r="J141"/>
    </row>
    <row r="142" spans="1:10" x14ac:dyDescent="0.25">
      <c r="B142"/>
      <c r="H142" s="269" t="s">
        <v>158</v>
      </c>
      <c r="I142" s="385">
        <v>0</v>
      </c>
      <c r="J142"/>
    </row>
    <row r="143" spans="1:10" x14ac:dyDescent="0.25">
      <c r="B143"/>
      <c r="H143" s="269" t="s">
        <v>802</v>
      </c>
      <c r="I143" s="385">
        <v>0</v>
      </c>
      <c r="J143"/>
    </row>
    <row r="144" spans="1:10" x14ac:dyDescent="0.25">
      <c r="B144"/>
      <c r="H144" s="269" t="s">
        <v>801</v>
      </c>
      <c r="I144" s="385">
        <v>0</v>
      </c>
      <c r="J144"/>
    </row>
    <row r="145" spans="2:10" x14ac:dyDescent="0.25">
      <c r="B145"/>
      <c r="H145" s="269" t="s">
        <v>295</v>
      </c>
      <c r="I145" s="385"/>
      <c r="J145"/>
    </row>
    <row r="146" spans="2:10" x14ac:dyDescent="0.25">
      <c r="B146"/>
      <c r="H146" s="269" t="s">
        <v>471</v>
      </c>
      <c r="I146" s="385">
        <v>0</v>
      </c>
      <c r="J146"/>
    </row>
    <row r="147" spans="2:10" x14ac:dyDescent="0.25">
      <c r="B147"/>
      <c r="H147" s="269" t="s">
        <v>162</v>
      </c>
      <c r="I147" s="385">
        <v>0</v>
      </c>
      <c r="J147"/>
    </row>
    <row r="148" spans="2:10" x14ac:dyDescent="0.25">
      <c r="B148"/>
      <c r="H148" s="269" t="s">
        <v>791</v>
      </c>
      <c r="I148" s="385">
        <v>0</v>
      </c>
      <c r="J148"/>
    </row>
    <row r="149" spans="2:10" x14ac:dyDescent="0.25">
      <c r="B149"/>
      <c r="H149" s="269" t="s">
        <v>792</v>
      </c>
      <c r="I149" s="385">
        <v>0</v>
      </c>
      <c r="J149"/>
    </row>
    <row r="150" spans="2:10" x14ac:dyDescent="0.25">
      <c r="B150"/>
      <c r="H150" s="269" t="s">
        <v>164</v>
      </c>
      <c r="I150" s="385">
        <v>0</v>
      </c>
      <c r="J150"/>
    </row>
    <row r="151" spans="2:10" x14ac:dyDescent="0.25">
      <c r="B151"/>
      <c r="H151" s="269" t="s">
        <v>813</v>
      </c>
      <c r="I151" s="385">
        <v>0</v>
      </c>
      <c r="J151"/>
    </row>
    <row r="152" spans="2:10" x14ac:dyDescent="0.25">
      <c r="B152"/>
      <c r="H152" s="159" t="s">
        <v>144</v>
      </c>
      <c r="I152" s="385"/>
      <c r="J152"/>
    </row>
    <row r="153" spans="2:10" x14ac:dyDescent="0.25">
      <c r="B153"/>
      <c r="H153" s="269" t="s">
        <v>145</v>
      </c>
      <c r="I153" s="385"/>
      <c r="J153"/>
    </row>
    <row r="154" spans="2:10" x14ac:dyDescent="0.25">
      <c r="B154"/>
      <c r="H154" s="187" t="s">
        <v>411</v>
      </c>
      <c r="I154" s="386">
        <v>720</v>
      </c>
      <c r="J154"/>
    </row>
    <row r="155" spans="2:10" x14ac:dyDescent="0.25">
      <c r="B155"/>
      <c r="H155"/>
      <c r="I155"/>
      <c r="J155"/>
    </row>
    <row r="156" spans="2:10" x14ac:dyDescent="0.25">
      <c r="B156"/>
      <c r="H156"/>
      <c r="I156"/>
      <c r="J156"/>
    </row>
    <row r="157" spans="2:10" x14ac:dyDescent="0.25">
      <c r="B157"/>
      <c r="H157"/>
      <c r="I157"/>
      <c r="J157"/>
    </row>
    <row r="158" spans="2:10" x14ac:dyDescent="0.25">
      <c r="B158"/>
      <c r="H158"/>
      <c r="I158"/>
      <c r="J158"/>
    </row>
    <row r="159" spans="2:10" x14ac:dyDescent="0.25">
      <c r="B159"/>
      <c r="H159"/>
      <c r="I159"/>
      <c r="J159"/>
    </row>
    <row r="160" spans="2:10" x14ac:dyDescent="0.25">
      <c r="B160"/>
      <c r="H160"/>
      <c r="I160"/>
      <c r="J160"/>
    </row>
    <row r="161" spans="2:10" x14ac:dyDescent="0.25">
      <c r="B161"/>
      <c r="H161"/>
      <c r="I161"/>
      <c r="J161"/>
    </row>
    <row r="162" spans="2:10" x14ac:dyDescent="0.25">
      <c r="B162"/>
      <c r="H162"/>
      <c r="I162"/>
      <c r="J162"/>
    </row>
    <row r="163" spans="2:10" x14ac:dyDescent="0.25">
      <c r="B163"/>
      <c r="H163"/>
      <c r="I163"/>
      <c r="J163"/>
    </row>
    <row r="164" spans="2:10" x14ac:dyDescent="0.25">
      <c r="B164"/>
      <c r="H164"/>
      <c r="I164"/>
      <c r="J164"/>
    </row>
    <row r="165" spans="2:10" x14ac:dyDescent="0.25">
      <c r="B165"/>
      <c r="H165"/>
      <c r="I165"/>
      <c r="J165"/>
    </row>
    <row r="166" spans="2:10" x14ac:dyDescent="0.25">
      <c r="B166"/>
      <c r="H166"/>
      <c r="I166"/>
      <c r="J166"/>
    </row>
    <row r="167" spans="2:10" x14ac:dyDescent="0.25">
      <c r="B167"/>
      <c r="H167"/>
      <c r="I167"/>
      <c r="J167"/>
    </row>
    <row r="168" spans="2:10" x14ac:dyDescent="0.25">
      <c r="B168"/>
      <c r="H168"/>
      <c r="I168"/>
      <c r="J168"/>
    </row>
    <row r="169" spans="2:10" x14ac:dyDescent="0.25">
      <c r="B169"/>
      <c r="H169"/>
      <c r="I169"/>
      <c r="J169"/>
    </row>
    <row r="170" spans="2:10" x14ac:dyDescent="0.25">
      <c r="B170"/>
      <c r="H170"/>
      <c r="I170"/>
      <c r="J170"/>
    </row>
    <row r="171" spans="2:10" x14ac:dyDescent="0.25">
      <c r="B171"/>
      <c r="H171"/>
      <c r="I171"/>
      <c r="J171"/>
    </row>
    <row r="172" spans="2:10" x14ac:dyDescent="0.25">
      <c r="B172"/>
      <c r="H172"/>
      <c r="I172"/>
      <c r="J172"/>
    </row>
    <row r="173" spans="2:10" x14ac:dyDescent="0.25">
      <c r="B173"/>
      <c r="H173"/>
      <c r="I173"/>
      <c r="J173"/>
    </row>
    <row r="174" spans="2:10" x14ac:dyDescent="0.25">
      <c r="B174"/>
      <c r="H174"/>
      <c r="I174"/>
      <c r="J174"/>
    </row>
    <row r="175" spans="2:10" x14ac:dyDescent="0.25">
      <c r="B175"/>
      <c r="H175"/>
      <c r="I175"/>
      <c r="J175"/>
    </row>
    <row r="176" spans="2:10" x14ac:dyDescent="0.25">
      <c r="B176"/>
      <c r="H176"/>
      <c r="I176"/>
      <c r="J176"/>
    </row>
    <row r="177" spans="2:10" x14ac:dyDescent="0.25">
      <c r="B177"/>
      <c r="H177"/>
      <c r="I177"/>
      <c r="J177"/>
    </row>
    <row r="178" spans="2:10" x14ac:dyDescent="0.25">
      <c r="B178"/>
      <c r="H178"/>
      <c r="I178"/>
      <c r="J178"/>
    </row>
    <row r="179" spans="2:10" x14ac:dyDescent="0.25">
      <c r="B179"/>
      <c r="H179"/>
      <c r="I179"/>
      <c r="J179"/>
    </row>
    <row r="180" spans="2:10" x14ac:dyDescent="0.25">
      <c r="B180"/>
      <c r="H180"/>
      <c r="I180"/>
      <c r="J180"/>
    </row>
    <row r="181" spans="2:10" x14ac:dyDescent="0.25">
      <c r="B181"/>
      <c r="H181"/>
      <c r="I181"/>
      <c r="J181"/>
    </row>
    <row r="182" spans="2:10" x14ac:dyDescent="0.25">
      <c r="B182"/>
      <c r="H182"/>
      <c r="I182"/>
      <c r="J182"/>
    </row>
    <row r="183" spans="2:10" x14ac:dyDescent="0.25">
      <c r="B183"/>
      <c r="H183"/>
      <c r="I183"/>
      <c r="J183"/>
    </row>
    <row r="184" spans="2:10" x14ac:dyDescent="0.25">
      <c r="B184"/>
      <c r="H184"/>
      <c r="I184"/>
      <c r="J184"/>
    </row>
    <row r="185" spans="2:10" x14ac:dyDescent="0.25">
      <c r="B185"/>
      <c r="H185"/>
      <c r="I185"/>
      <c r="J185"/>
    </row>
    <row r="186" spans="2:10" x14ac:dyDescent="0.25">
      <c r="B186"/>
      <c r="H186"/>
      <c r="I186"/>
      <c r="J186"/>
    </row>
    <row r="187" spans="2:10" x14ac:dyDescent="0.25">
      <c r="B187"/>
      <c r="H187"/>
      <c r="I187"/>
      <c r="J187"/>
    </row>
    <row r="188" spans="2:10" x14ac:dyDescent="0.25">
      <c r="B188"/>
      <c r="H188"/>
      <c r="I188"/>
      <c r="J188"/>
    </row>
    <row r="189" spans="2:10" x14ac:dyDescent="0.25">
      <c r="B189"/>
      <c r="H189"/>
      <c r="I189"/>
      <c r="J189"/>
    </row>
    <row r="190" spans="2:10" x14ac:dyDescent="0.25">
      <c r="B190"/>
      <c r="H190"/>
      <c r="I190"/>
      <c r="J190"/>
    </row>
    <row r="191" spans="2:10" x14ac:dyDescent="0.25">
      <c r="B191"/>
      <c r="H191"/>
      <c r="I191"/>
      <c r="J191"/>
    </row>
    <row r="192" spans="2:10" x14ac:dyDescent="0.25">
      <c r="B192"/>
      <c r="H192"/>
      <c r="I192"/>
      <c r="J192"/>
    </row>
    <row r="193" spans="2:10" x14ac:dyDescent="0.25">
      <c r="B193"/>
      <c r="H193"/>
      <c r="I193"/>
      <c r="J193"/>
    </row>
    <row r="194" spans="2:10" x14ac:dyDescent="0.25">
      <c r="B194"/>
      <c r="H194"/>
      <c r="I194"/>
      <c r="J194"/>
    </row>
    <row r="195" spans="2:10" x14ac:dyDescent="0.25">
      <c r="B195"/>
      <c r="H195"/>
      <c r="I195"/>
      <c r="J195"/>
    </row>
    <row r="196" spans="2:10" x14ac:dyDescent="0.25">
      <c r="B196"/>
      <c r="H196"/>
      <c r="I196"/>
      <c r="J196"/>
    </row>
    <row r="197" spans="2:10" x14ac:dyDescent="0.25">
      <c r="B197"/>
      <c r="H197"/>
      <c r="I197"/>
      <c r="J197"/>
    </row>
    <row r="198" spans="2:10" x14ac:dyDescent="0.25">
      <c r="B198"/>
      <c r="H198"/>
      <c r="I198"/>
      <c r="J198"/>
    </row>
    <row r="199" spans="2:10" x14ac:dyDescent="0.25">
      <c r="B199"/>
      <c r="H199"/>
      <c r="I199"/>
      <c r="J199"/>
    </row>
    <row r="200" spans="2:10" x14ac:dyDescent="0.25">
      <c r="B200"/>
      <c r="H200"/>
      <c r="I200"/>
      <c r="J200"/>
    </row>
    <row r="201" spans="2:10" x14ac:dyDescent="0.25">
      <c r="B201"/>
      <c r="H201"/>
      <c r="I201"/>
      <c r="J201"/>
    </row>
    <row r="202" spans="2:10" x14ac:dyDescent="0.25">
      <c r="B202"/>
      <c r="H202"/>
      <c r="I202"/>
      <c r="J202"/>
    </row>
    <row r="203" spans="2:10" x14ac:dyDescent="0.25">
      <c r="B203"/>
      <c r="H203"/>
      <c r="I203"/>
      <c r="J203"/>
    </row>
    <row r="204" spans="2:10" x14ac:dyDescent="0.25">
      <c r="B204"/>
      <c r="H204"/>
      <c r="I204"/>
      <c r="J204"/>
    </row>
    <row r="205" spans="2:10" x14ac:dyDescent="0.25">
      <c r="B205"/>
      <c r="H205"/>
      <c r="I205"/>
      <c r="J205"/>
    </row>
    <row r="206" spans="2:10" x14ac:dyDescent="0.25">
      <c r="B206"/>
    </row>
    <row r="207" spans="2:10" x14ac:dyDescent="0.25">
      <c r="B207"/>
    </row>
    <row r="208" spans="2:10"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83"/>
  <sheetViews>
    <sheetView showGridLines="0" showZeros="0" zoomScaleNormal="100" zoomScaleSheetLayoutView="85" workbookViewId="0">
      <pane xSplit="6" ySplit="4" topLeftCell="G5" activePane="bottomRight" state="frozen"/>
      <selection pane="topRight" activeCell="G1" sqref="G1"/>
      <selection pane="bottomLeft" activeCell="A5" sqref="A5"/>
      <selection pane="bottomRight" activeCell="A62" sqref="A62"/>
    </sheetView>
  </sheetViews>
  <sheetFormatPr defaultColWidth="9.140625" defaultRowHeight="11.25" customHeight="1" x14ac:dyDescent="0.2"/>
  <cols>
    <col min="1" max="1" width="9.140625" style="352"/>
    <col min="2" max="2" width="10.5703125" style="352" customWidth="1"/>
    <col min="3" max="3" width="9.42578125" style="352" customWidth="1"/>
    <col min="4" max="4" width="29.28515625" style="352" customWidth="1"/>
    <col min="5" max="5" width="15.85546875" style="352" customWidth="1"/>
    <col min="6" max="6" width="7.85546875" style="353" customWidth="1"/>
    <col min="7" max="7" width="8.5703125" style="352" customWidth="1"/>
    <col min="8" max="9" width="10.28515625" style="354" customWidth="1"/>
    <col min="10" max="11" width="11.140625" style="354" customWidth="1"/>
    <col min="12" max="15" width="10.28515625" style="354" customWidth="1"/>
    <col min="16" max="17" width="13.85546875" style="354" customWidth="1"/>
    <col min="18" max="18" width="12.28515625" style="354" customWidth="1"/>
    <col min="19" max="19" width="10.7109375" style="354" customWidth="1"/>
    <col min="20" max="20" width="13.28515625" style="354" customWidth="1"/>
    <col min="21" max="21" width="30.7109375" style="352" customWidth="1"/>
    <col min="22" max="250" width="9.140625" style="352"/>
    <col min="251" max="251" width="9.42578125" style="352" customWidth="1"/>
    <col min="252" max="252" width="31.42578125" style="352" customWidth="1"/>
    <col min="253" max="258" width="0" style="352" hidden="1" customWidth="1"/>
    <col min="259" max="259" width="8.7109375" style="352" customWidth="1"/>
    <col min="260" max="260" width="8.140625" style="352" customWidth="1"/>
    <col min="261" max="261" width="14.42578125" style="352" customWidth="1"/>
    <col min="262" max="262" width="13.28515625" style="352" customWidth="1"/>
    <col min="263" max="263" width="9.7109375" style="352" customWidth="1"/>
    <col min="264" max="264" width="13.5703125" style="352" customWidth="1"/>
    <col min="265" max="265" width="10.5703125" style="352" customWidth="1"/>
    <col min="266" max="266" width="11.28515625" style="352" customWidth="1"/>
    <col min="267" max="267" width="8.7109375" style="352" customWidth="1"/>
    <col min="268" max="268" width="9" style="352" customWidth="1"/>
    <col min="269" max="269" width="6.7109375" style="352" customWidth="1"/>
    <col min="270" max="270" width="11.42578125" style="352" customWidth="1"/>
    <col min="271" max="271" width="12.28515625" style="352" customWidth="1"/>
    <col min="272" max="272" width="11.28515625" style="352" customWidth="1"/>
    <col min="273" max="273" width="12.42578125" style="352" customWidth="1"/>
    <col min="274" max="274" width="13" style="352" customWidth="1"/>
    <col min="275" max="275" width="9.5703125" style="352" customWidth="1"/>
    <col min="276" max="276" width="11.42578125" style="352" customWidth="1"/>
    <col min="277" max="506" width="9.140625" style="352"/>
    <col min="507" max="507" width="9.42578125" style="352" customWidth="1"/>
    <col min="508" max="508" width="31.42578125" style="352" customWidth="1"/>
    <col min="509" max="514" width="0" style="352" hidden="1" customWidth="1"/>
    <col min="515" max="515" width="8.7109375" style="352" customWidth="1"/>
    <col min="516" max="516" width="8.140625" style="352" customWidth="1"/>
    <col min="517" max="517" width="14.42578125" style="352" customWidth="1"/>
    <col min="518" max="518" width="13.28515625" style="352" customWidth="1"/>
    <col min="519" max="519" width="9.7109375" style="352" customWidth="1"/>
    <col min="520" max="520" width="13.5703125" style="352" customWidth="1"/>
    <col min="521" max="521" width="10.5703125" style="352" customWidth="1"/>
    <col min="522" max="522" width="11.28515625" style="352" customWidth="1"/>
    <col min="523" max="523" width="8.7109375" style="352" customWidth="1"/>
    <col min="524" max="524" width="9" style="352" customWidth="1"/>
    <col min="525" max="525" width="6.7109375" style="352" customWidth="1"/>
    <col min="526" max="526" width="11.42578125" style="352" customWidth="1"/>
    <col min="527" max="527" width="12.28515625" style="352" customWidth="1"/>
    <col min="528" max="528" width="11.28515625" style="352" customWidth="1"/>
    <col min="529" max="529" width="12.42578125" style="352" customWidth="1"/>
    <col min="530" max="530" width="13" style="352" customWidth="1"/>
    <col min="531" max="531" width="9.5703125" style="352" customWidth="1"/>
    <col min="532" max="532" width="11.42578125" style="352" customWidth="1"/>
    <col min="533" max="762" width="9.140625" style="352"/>
    <col min="763" max="763" width="9.42578125" style="352" customWidth="1"/>
    <col min="764" max="764" width="31.42578125" style="352" customWidth="1"/>
    <col min="765" max="770" width="0" style="352" hidden="1" customWidth="1"/>
    <col min="771" max="771" width="8.7109375" style="352" customWidth="1"/>
    <col min="772" max="772" width="8.140625" style="352" customWidth="1"/>
    <col min="773" max="773" width="14.42578125" style="352" customWidth="1"/>
    <col min="774" max="774" width="13.28515625" style="352" customWidth="1"/>
    <col min="775" max="775" width="9.7109375" style="352" customWidth="1"/>
    <col min="776" max="776" width="13.5703125" style="352" customWidth="1"/>
    <col min="777" max="777" width="10.5703125" style="352" customWidth="1"/>
    <col min="778" max="778" width="11.28515625" style="352" customWidth="1"/>
    <col min="779" max="779" width="8.7109375" style="352" customWidth="1"/>
    <col min="780" max="780" width="9" style="352" customWidth="1"/>
    <col min="781" max="781" width="6.7109375" style="352" customWidth="1"/>
    <col min="782" max="782" width="11.42578125" style="352" customWidth="1"/>
    <col min="783" max="783" width="12.28515625" style="352" customWidth="1"/>
    <col min="784" max="784" width="11.28515625" style="352" customWidth="1"/>
    <col min="785" max="785" width="12.42578125" style="352" customWidth="1"/>
    <col min="786" max="786" width="13" style="352" customWidth="1"/>
    <col min="787" max="787" width="9.5703125" style="352" customWidth="1"/>
    <col min="788" max="788" width="11.42578125" style="352" customWidth="1"/>
    <col min="789" max="1018" width="9.140625" style="352"/>
    <col min="1019" max="1019" width="9.42578125" style="352" customWidth="1"/>
    <col min="1020" max="1020" width="31.42578125" style="352" customWidth="1"/>
    <col min="1021" max="1026" width="0" style="352" hidden="1" customWidth="1"/>
    <col min="1027" max="1027" width="8.7109375" style="352" customWidth="1"/>
    <col min="1028" max="1028" width="8.140625" style="352" customWidth="1"/>
    <col min="1029" max="1029" width="14.42578125" style="352" customWidth="1"/>
    <col min="1030" max="1030" width="13.28515625" style="352" customWidth="1"/>
    <col min="1031" max="1031" width="9.7109375" style="352" customWidth="1"/>
    <col min="1032" max="1032" width="13.5703125" style="352" customWidth="1"/>
    <col min="1033" max="1033" width="10.5703125" style="352" customWidth="1"/>
    <col min="1034" max="1034" width="11.28515625" style="352" customWidth="1"/>
    <col min="1035" max="1035" width="8.7109375" style="352" customWidth="1"/>
    <col min="1036" max="1036" width="9" style="352" customWidth="1"/>
    <col min="1037" max="1037" width="6.7109375" style="352" customWidth="1"/>
    <col min="1038" max="1038" width="11.42578125" style="352" customWidth="1"/>
    <col min="1039" max="1039" width="12.28515625" style="352" customWidth="1"/>
    <col min="1040" max="1040" width="11.28515625" style="352" customWidth="1"/>
    <col min="1041" max="1041" width="12.42578125" style="352" customWidth="1"/>
    <col min="1042" max="1042" width="13" style="352" customWidth="1"/>
    <col min="1043" max="1043" width="9.5703125" style="352" customWidth="1"/>
    <col min="1044" max="1044" width="11.42578125" style="352" customWidth="1"/>
    <col min="1045" max="1274" width="9.140625" style="352"/>
    <col min="1275" max="1275" width="9.42578125" style="352" customWidth="1"/>
    <col min="1276" max="1276" width="31.42578125" style="352" customWidth="1"/>
    <col min="1277" max="1282" width="0" style="352" hidden="1" customWidth="1"/>
    <col min="1283" max="1283" width="8.7109375" style="352" customWidth="1"/>
    <col min="1284" max="1284" width="8.140625" style="352" customWidth="1"/>
    <col min="1285" max="1285" width="14.42578125" style="352" customWidth="1"/>
    <col min="1286" max="1286" width="13.28515625" style="352" customWidth="1"/>
    <col min="1287" max="1287" width="9.7109375" style="352" customWidth="1"/>
    <col min="1288" max="1288" width="13.5703125" style="352" customWidth="1"/>
    <col min="1289" max="1289" width="10.5703125" style="352" customWidth="1"/>
    <col min="1290" max="1290" width="11.28515625" style="352" customWidth="1"/>
    <col min="1291" max="1291" width="8.7109375" style="352" customWidth="1"/>
    <col min="1292" max="1292" width="9" style="352" customWidth="1"/>
    <col min="1293" max="1293" width="6.7109375" style="352" customWidth="1"/>
    <col min="1294" max="1294" width="11.42578125" style="352" customWidth="1"/>
    <col min="1295" max="1295" width="12.28515625" style="352" customWidth="1"/>
    <col min="1296" max="1296" width="11.28515625" style="352" customWidth="1"/>
    <col min="1297" max="1297" width="12.42578125" style="352" customWidth="1"/>
    <col min="1298" max="1298" width="13" style="352" customWidth="1"/>
    <col min="1299" max="1299" width="9.5703125" style="352" customWidth="1"/>
    <col min="1300" max="1300" width="11.42578125" style="352" customWidth="1"/>
    <col min="1301" max="1530" width="9.140625" style="352"/>
    <col min="1531" max="1531" width="9.42578125" style="352" customWidth="1"/>
    <col min="1532" max="1532" width="31.42578125" style="352" customWidth="1"/>
    <col min="1533" max="1538" width="0" style="352" hidden="1" customWidth="1"/>
    <col min="1539" max="1539" width="8.7109375" style="352" customWidth="1"/>
    <col min="1540" max="1540" width="8.140625" style="352" customWidth="1"/>
    <col min="1541" max="1541" width="14.42578125" style="352" customWidth="1"/>
    <col min="1542" max="1542" width="13.28515625" style="352" customWidth="1"/>
    <col min="1543" max="1543" width="9.7109375" style="352" customWidth="1"/>
    <col min="1544" max="1544" width="13.5703125" style="352" customWidth="1"/>
    <col min="1545" max="1545" width="10.5703125" style="352" customWidth="1"/>
    <col min="1546" max="1546" width="11.28515625" style="352" customWidth="1"/>
    <col min="1547" max="1547" width="8.7109375" style="352" customWidth="1"/>
    <col min="1548" max="1548" width="9" style="352" customWidth="1"/>
    <col min="1549" max="1549" width="6.7109375" style="352" customWidth="1"/>
    <col min="1550" max="1550" width="11.42578125" style="352" customWidth="1"/>
    <col min="1551" max="1551" width="12.28515625" style="352" customWidth="1"/>
    <col min="1552" max="1552" width="11.28515625" style="352" customWidth="1"/>
    <col min="1553" max="1553" width="12.42578125" style="352" customWidth="1"/>
    <col min="1554" max="1554" width="13" style="352" customWidth="1"/>
    <col min="1555" max="1555" width="9.5703125" style="352" customWidth="1"/>
    <col min="1556" max="1556" width="11.42578125" style="352" customWidth="1"/>
    <col min="1557" max="1786" width="9.140625" style="352"/>
    <col min="1787" max="1787" width="9.42578125" style="352" customWidth="1"/>
    <col min="1788" max="1788" width="31.42578125" style="352" customWidth="1"/>
    <col min="1789" max="1794" width="0" style="352" hidden="1" customWidth="1"/>
    <col min="1795" max="1795" width="8.7109375" style="352" customWidth="1"/>
    <col min="1796" max="1796" width="8.140625" style="352" customWidth="1"/>
    <col min="1797" max="1797" width="14.42578125" style="352" customWidth="1"/>
    <col min="1798" max="1798" width="13.28515625" style="352" customWidth="1"/>
    <col min="1799" max="1799" width="9.7109375" style="352" customWidth="1"/>
    <col min="1800" max="1800" width="13.5703125" style="352" customWidth="1"/>
    <col min="1801" max="1801" width="10.5703125" style="352" customWidth="1"/>
    <col min="1802" max="1802" width="11.28515625" style="352" customWidth="1"/>
    <col min="1803" max="1803" width="8.7109375" style="352" customWidth="1"/>
    <col min="1804" max="1804" width="9" style="352" customWidth="1"/>
    <col min="1805" max="1805" width="6.7109375" style="352" customWidth="1"/>
    <col min="1806" max="1806" width="11.42578125" style="352" customWidth="1"/>
    <col min="1807" max="1807" width="12.28515625" style="352" customWidth="1"/>
    <col min="1808" max="1808" width="11.28515625" style="352" customWidth="1"/>
    <col min="1809" max="1809" width="12.42578125" style="352" customWidth="1"/>
    <col min="1810" max="1810" width="13" style="352" customWidth="1"/>
    <col min="1811" max="1811" width="9.5703125" style="352" customWidth="1"/>
    <col min="1812" max="1812" width="11.42578125" style="352" customWidth="1"/>
    <col min="1813" max="2042" width="9.140625" style="352"/>
    <col min="2043" max="2043" width="9.42578125" style="352" customWidth="1"/>
    <col min="2044" max="2044" width="31.42578125" style="352" customWidth="1"/>
    <col min="2045" max="2050" width="0" style="352" hidden="1" customWidth="1"/>
    <col min="2051" max="2051" width="8.7109375" style="352" customWidth="1"/>
    <col min="2052" max="2052" width="8.140625" style="352" customWidth="1"/>
    <col min="2053" max="2053" width="14.42578125" style="352" customWidth="1"/>
    <col min="2054" max="2054" width="13.28515625" style="352" customWidth="1"/>
    <col min="2055" max="2055" width="9.7109375" style="352" customWidth="1"/>
    <col min="2056" max="2056" width="13.5703125" style="352" customWidth="1"/>
    <col min="2057" max="2057" width="10.5703125" style="352" customWidth="1"/>
    <col min="2058" max="2058" width="11.28515625" style="352" customWidth="1"/>
    <col min="2059" max="2059" width="8.7109375" style="352" customWidth="1"/>
    <col min="2060" max="2060" width="9" style="352" customWidth="1"/>
    <col min="2061" max="2061" width="6.7109375" style="352" customWidth="1"/>
    <col min="2062" max="2062" width="11.42578125" style="352" customWidth="1"/>
    <col min="2063" max="2063" width="12.28515625" style="352" customWidth="1"/>
    <col min="2064" max="2064" width="11.28515625" style="352" customWidth="1"/>
    <col min="2065" max="2065" width="12.42578125" style="352" customWidth="1"/>
    <col min="2066" max="2066" width="13" style="352" customWidth="1"/>
    <col min="2067" max="2067" width="9.5703125" style="352" customWidth="1"/>
    <col min="2068" max="2068" width="11.42578125" style="352" customWidth="1"/>
    <col min="2069" max="2298" width="9.140625" style="352"/>
    <col min="2299" max="2299" width="9.42578125" style="352" customWidth="1"/>
    <col min="2300" max="2300" width="31.42578125" style="352" customWidth="1"/>
    <col min="2301" max="2306" width="0" style="352" hidden="1" customWidth="1"/>
    <col min="2307" max="2307" width="8.7109375" style="352" customWidth="1"/>
    <col min="2308" max="2308" width="8.140625" style="352" customWidth="1"/>
    <col min="2309" max="2309" width="14.42578125" style="352" customWidth="1"/>
    <col min="2310" max="2310" width="13.28515625" style="352" customWidth="1"/>
    <col min="2311" max="2311" width="9.7109375" style="352" customWidth="1"/>
    <col min="2312" max="2312" width="13.5703125" style="352" customWidth="1"/>
    <col min="2313" max="2313" width="10.5703125" style="352" customWidth="1"/>
    <col min="2314" max="2314" width="11.28515625" style="352" customWidth="1"/>
    <col min="2315" max="2315" width="8.7109375" style="352" customWidth="1"/>
    <col min="2316" max="2316" width="9" style="352" customWidth="1"/>
    <col min="2317" max="2317" width="6.7109375" style="352" customWidth="1"/>
    <col min="2318" max="2318" width="11.42578125" style="352" customWidth="1"/>
    <col min="2319" max="2319" width="12.28515625" style="352" customWidth="1"/>
    <col min="2320" max="2320" width="11.28515625" style="352" customWidth="1"/>
    <col min="2321" max="2321" width="12.42578125" style="352" customWidth="1"/>
    <col min="2322" max="2322" width="13" style="352" customWidth="1"/>
    <col min="2323" max="2323" width="9.5703125" style="352" customWidth="1"/>
    <col min="2324" max="2324" width="11.42578125" style="352" customWidth="1"/>
    <col min="2325" max="2554" width="9.140625" style="352"/>
    <col min="2555" max="2555" width="9.42578125" style="352" customWidth="1"/>
    <col min="2556" max="2556" width="31.42578125" style="352" customWidth="1"/>
    <col min="2557" max="2562" width="0" style="352" hidden="1" customWidth="1"/>
    <col min="2563" max="2563" width="8.7109375" style="352" customWidth="1"/>
    <col min="2564" max="2564" width="8.140625" style="352" customWidth="1"/>
    <col min="2565" max="2565" width="14.42578125" style="352" customWidth="1"/>
    <col min="2566" max="2566" width="13.28515625" style="352" customWidth="1"/>
    <col min="2567" max="2567" width="9.7109375" style="352" customWidth="1"/>
    <col min="2568" max="2568" width="13.5703125" style="352" customWidth="1"/>
    <col min="2569" max="2569" width="10.5703125" style="352" customWidth="1"/>
    <col min="2570" max="2570" width="11.28515625" style="352" customWidth="1"/>
    <col min="2571" max="2571" width="8.7109375" style="352" customWidth="1"/>
    <col min="2572" max="2572" width="9" style="352" customWidth="1"/>
    <col min="2573" max="2573" width="6.7109375" style="352" customWidth="1"/>
    <col min="2574" max="2574" width="11.42578125" style="352" customWidth="1"/>
    <col min="2575" max="2575" width="12.28515625" style="352" customWidth="1"/>
    <col min="2576" max="2576" width="11.28515625" style="352" customWidth="1"/>
    <col min="2577" max="2577" width="12.42578125" style="352" customWidth="1"/>
    <col min="2578" max="2578" width="13" style="352" customWidth="1"/>
    <col min="2579" max="2579" width="9.5703125" style="352" customWidth="1"/>
    <col min="2580" max="2580" width="11.42578125" style="352" customWidth="1"/>
    <col min="2581" max="2810" width="9.140625" style="352"/>
    <col min="2811" max="2811" width="9.42578125" style="352" customWidth="1"/>
    <col min="2812" max="2812" width="31.42578125" style="352" customWidth="1"/>
    <col min="2813" max="2818" width="0" style="352" hidden="1" customWidth="1"/>
    <col min="2819" max="2819" width="8.7109375" style="352" customWidth="1"/>
    <col min="2820" max="2820" width="8.140625" style="352" customWidth="1"/>
    <col min="2821" max="2821" width="14.42578125" style="352" customWidth="1"/>
    <col min="2822" max="2822" width="13.28515625" style="352" customWidth="1"/>
    <col min="2823" max="2823" width="9.7109375" style="352" customWidth="1"/>
    <col min="2824" max="2824" width="13.5703125" style="352" customWidth="1"/>
    <col min="2825" max="2825" width="10.5703125" style="352" customWidth="1"/>
    <col min="2826" max="2826" width="11.28515625" style="352" customWidth="1"/>
    <col min="2827" max="2827" width="8.7109375" style="352" customWidth="1"/>
    <col min="2828" max="2828" width="9" style="352" customWidth="1"/>
    <col min="2829" max="2829" width="6.7109375" style="352" customWidth="1"/>
    <col min="2830" max="2830" width="11.42578125" style="352" customWidth="1"/>
    <col min="2831" max="2831" width="12.28515625" style="352" customWidth="1"/>
    <col min="2832" max="2832" width="11.28515625" style="352" customWidth="1"/>
    <col min="2833" max="2833" width="12.42578125" style="352" customWidth="1"/>
    <col min="2834" max="2834" width="13" style="352" customWidth="1"/>
    <col min="2835" max="2835" width="9.5703125" style="352" customWidth="1"/>
    <col min="2836" max="2836" width="11.42578125" style="352" customWidth="1"/>
    <col min="2837" max="3066" width="9.140625" style="352"/>
    <col min="3067" max="3067" width="9.42578125" style="352" customWidth="1"/>
    <col min="3068" max="3068" width="31.42578125" style="352" customWidth="1"/>
    <col min="3069" max="3074" width="0" style="352" hidden="1" customWidth="1"/>
    <col min="3075" max="3075" width="8.7109375" style="352" customWidth="1"/>
    <col min="3076" max="3076" width="8.140625" style="352" customWidth="1"/>
    <col min="3077" max="3077" width="14.42578125" style="352" customWidth="1"/>
    <col min="3078" max="3078" width="13.28515625" style="352" customWidth="1"/>
    <col min="3079" max="3079" width="9.7109375" style="352" customWidth="1"/>
    <col min="3080" max="3080" width="13.5703125" style="352" customWidth="1"/>
    <col min="3081" max="3081" width="10.5703125" style="352" customWidth="1"/>
    <col min="3082" max="3082" width="11.28515625" style="352" customWidth="1"/>
    <col min="3083" max="3083" width="8.7109375" style="352" customWidth="1"/>
    <col min="3084" max="3084" width="9" style="352" customWidth="1"/>
    <col min="3085" max="3085" width="6.7109375" style="352" customWidth="1"/>
    <col min="3086" max="3086" width="11.42578125" style="352" customWidth="1"/>
    <col min="3087" max="3087" width="12.28515625" style="352" customWidth="1"/>
    <col min="3088" max="3088" width="11.28515625" style="352" customWidth="1"/>
    <col min="3089" max="3089" width="12.42578125" style="352" customWidth="1"/>
    <col min="3090" max="3090" width="13" style="352" customWidth="1"/>
    <col min="3091" max="3091" width="9.5703125" style="352" customWidth="1"/>
    <col min="3092" max="3092" width="11.42578125" style="352" customWidth="1"/>
    <col min="3093" max="3322" width="9.140625" style="352"/>
    <col min="3323" max="3323" width="9.42578125" style="352" customWidth="1"/>
    <col min="3324" max="3324" width="31.42578125" style="352" customWidth="1"/>
    <col min="3325" max="3330" width="0" style="352" hidden="1" customWidth="1"/>
    <col min="3331" max="3331" width="8.7109375" style="352" customWidth="1"/>
    <col min="3332" max="3332" width="8.140625" style="352" customWidth="1"/>
    <col min="3333" max="3333" width="14.42578125" style="352" customWidth="1"/>
    <col min="3334" max="3334" width="13.28515625" style="352" customWidth="1"/>
    <col min="3335" max="3335" width="9.7109375" style="352" customWidth="1"/>
    <col min="3336" max="3336" width="13.5703125" style="352" customWidth="1"/>
    <col min="3337" max="3337" width="10.5703125" style="352" customWidth="1"/>
    <col min="3338" max="3338" width="11.28515625" style="352" customWidth="1"/>
    <col min="3339" max="3339" width="8.7109375" style="352" customWidth="1"/>
    <col min="3340" max="3340" width="9" style="352" customWidth="1"/>
    <col min="3341" max="3341" width="6.7109375" style="352" customWidth="1"/>
    <col min="3342" max="3342" width="11.42578125" style="352" customWidth="1"/>
    <col min="3343" max="3343" width="12.28515625" style="352" customWidth="1"/>
    <col min="3344" max="3344" width="11.28515625" style="352" customWidth="1"/>
    <col min="3345" max="3345" width="12.42578125" style="352" customWidth="1"/>
    <col min="3346" max="3346" width="13" style="352" customWidth="1"/>
    <col min="3347" max="3347" width="9.5703125" style="352" customWidth="1"/>
    <col min="3348" max="3348" width="11.42578125" style="352" customWidth="1"/>
    <col min="3349" max="3578" width="9.140625" style="352"/>
    <col min="3579" max="3579" width="9.42578125" style="352" customWidth="1"/>
    <col min="3580" max="3580" width="31.42578125" style="352" customWidth="1"/>
    <col min="3581" max="3586" width="0" style="352" hidden="1" customWidth="1"/>
    <col min="3587" max="3587" width="8.7109375" style="352" customWidth="1"/>
    <col min="3588" max="3588" width="8.140625" style="352" customWidth="1"/>
    <col min="3589" max="3589" width="14.42578125" style="352" customWidth="1"/>
    <col min="3590" max="3590" width="13.28515625" style="352" customWidth="1"/>
    <col min="3591" max="3591" width="9.7109375" style="352" customWidth="1"/>
    <col min="3592" max="3592" width="13.5703125" style="352" customWidth="1"/>
    <col min="3593" max="3593" width="10.5703125" style="352" customWidth="1"/>
    <col min="3594" max="3594" width="11.28515625" style="352" customWidth="1"/>
    <col min="3595" max="3595" width="8.7109375" style="352" customWidth="1"/>
    <col min="3596" max="3596" width="9" style="352" customWidth="1"/>
    <col min="3597" max="3597" width="6.7109375" style="352" customWidth="1"/>
    <col min="3598" max="3598" width="11.42578125" style="352" customWidth="1"/>
    <col min="3599" max="3599" width="12.28515625" style="352" customWidth="1"/>
    <col min="3600" max="3600" width="11.28515625" style="352" customWidth="1"/>
    <col min="3601" max="3601" width="12.42578125" style="352" customWidth="1"/>
    <col min="3602" max="3602" width="13" style="352" customWidth="1"/>
    <col min="3603" max="3603" width="9.5703125" style="352" customWidth="1"/>
    <col min="3604" max="3604" width="11.42578125" style="352" customWidth="1"/>
    <col min="3605" max="3834" width="9.140625" style="352"/>
    <col min="3835" max="3835" width="9.42578125" style="352" customWidth="1"/>
    <col min="3836" max="3836" width="31.42578125" style="352" customWidth="1"/>
    <col min="3837" max="3842" width="0" style="352" hidden="1" customWidth="1"/>
    <col min="3843" max="3843" width="8.7109375" style="352" customWidth="1"/>
    <col min="3844" max="3844" width="8.140625" style="352" customWidth="1"/>
    <col min="3845" max="3845" width="14.42578125" style="352" customWidth="1"/>
    <col min="3846" max="3846" width="13.28515625" style="352" customWidth="1"/>
    <col min="3847" max="3847" width="9.7109375" style="352" customWidth="1"/>
    <col min="3848" max="3848" width="13.5703125" style="352" customWidth="1"/>
    <col min="3849" max="3849" width="10.5703125" style="352" customWidth="1"/>
    <col min="3850" max="3850" width="11.28515625" style="352" customWidth="1"/>
    <col min="3851" max="3851" width="8.7109375" style="352" customWidth="1"/>
    <col min="3852" max="3852" width="9" style="352" customWidth="1"/>
    <col min="3853" max="3853" width="6.7109375" style="352" customWidth="1"/>
    <col min="3854" max="3854" width="11.42578125" style="352" customWidth="1"/>
    <col min="3855" max="3855" width="12.28515625" style="352" customWidth="1"/>
    <col min="3856" max="3856" width="11.28515625" style="352" customWidth="1"/>
    <col min="3857" max="3857" width="12.42578125" style="352" customWidth="1"/>
    <col min="3858" max="3858" width="13" style="352" customWidth="1"/>
    <col min="3859" max="3859" width="9.5703125" style="352" customWidth="1"/>
    <col min="3860" max="3860" width="11.42578125" style="352" customWidth="1"/>
    <col min="3861" max="4090" width="9.140625" style="352"/>
    <col min="4091" max="4091" width="9.42578125" style="352" customWidth="1"/>
    <col min="4092" max="4092" width="31.42578125" style="352" customWidth="1"/>
    <col min="4093" max="4098" width="0" style="352" hidden="1" customWidth="1"/>
    <col min="4099" max="4099" width="8.7109375" style="352" customWidth="1"/>
    <col min="4100" max="4100" width="8.140625" style="352" customWidth="1"/>
    <col min="4101" max="4101" width="14.42578125" style="352" customWidth="1"/>
    <col min="4102" max="4102" width="13.28515625" style="352" customWidth="1"/>
    <col min="4103" max="4103" width="9.7109375" style="352" customWidth="1"/>
    <col min="4104" max="4104" width="13.5703125" style="352" customWidth="1"/>
    <col min="4105" max="4105" width="10.5703125" style="352" customWidth="1"/>
    <col min="4106" max="4106" width="11.28515625" style="352" customWidth="1"/>
    <col min="4107" max="4107" width="8.7109375" style="352" customWidth="1"/>
    <col min="4108" max="4108" width="9" style="352" customWidth="1"/>
    <col min="4109" max="4109" width="6.7109375" style="352" customWidth="1"/>
    <col min="4110" max="4110" width="11.42578125" style="352" customWidth="1"/>
    <col min="4111" max="4111" width="12.28515625" style="352" customWidth="1"/>
    <col min="4112" max="4112" width="11.28515625" style="352" customWidth="1"/>
    <col min="4113" max="4113" width="12.42578125" style="352" customWidth="1"/>
    <col min="4114" max="4114" width="13" style="352" customWidth="1"/>
    <col min="4115" max="4115" width="9.5703125" style="352" customWidth="1"/>
    <col min="4116" max="4116" width="11.42578125" style="352" customWidth="1"/>
    <col min="4117" max="4346" width="9.140625" style="352"/>
    <col min="4347" max="4347" width="9.42578125" style="352" customWidth="1"/>
    <col min="4348" max="4348" width="31.42578125" style="352" customWidth="1"/>
    <col min="4349" max="4354" width="0" style="352" hidden="1" customWidth="1"/>
    <col min="4355" max="4355" width="8.7109375" style="352" customWidth="1"/>
    <col min="4356" max="4356" width="8.140625" style="352" customWidth="1"/>
    <col min="4357" max="4357" width="14.42578125" style="352" customWidth="1"/>
    <col min="4358" max="4358" width="13.28515625" style="352" customWidth="1"/>
    <col min="4359" max="4359" width="9.7109375" style="352" customWidth="1"/>
    <col min="4360" max="4360" width="13.5703125" style="352" customWidth="1"/>
    <col min="4361" max="4361" width="10.5703125" style="352" customWidth="1"/>
    <col min="4362" max="4362" width="11.28515625" style="352" customWidth="1"/>
    <col min="4363" max="4363" width="8.7109375" style="352" customWidth="1"/>
    <col min="4364" max="4364" width="9" style="352" customWidth="1"/>
    <col min="4365" max="4365" width="6.7109375" style="352" customWidth="1"/>
    <col min="4366" max="4366" width="11.42578125" style="352" customWidth="1"/>
    <col min="4367" max="4367" width="12.28515625" style="352" customWidth="1"/>
    <col min="4368" max="4368" width="11.28515625" style="352" customWidth="1"/>
    <col min="4369" max="4369" width="12.42578125" style="352" customWidth="1"/>
    <col min="4370" max="4370" width="13" style="352" customWidth="1"/>
    <col min="4371" max="4371" width="9.5703125" style="352" customWidth="1"/>
    <col min="4372" max="4372" width="11.42578125" style="352" customWidth="1"/>
    <col min="4373" max="4602" width="9.140625" style="352"/>
    <col min="4603" max="4603" width="9.42578125" style="352" customWidth="1"/>
    <col min="4604" max="4604" width="31.42578125" style="352" customWidth="1"/>
    <col min="4605" max="4610" width="0" style="352" hidden="1" customWidth="1"/>
    <col min="4611" max="4611" width="8.7109375" style="352" customWidth="1"/>
    <col min="4612" max="4612" width="8.140625" style="352" customWidth="1"/>
    <col min="4613" max="4613" width="14.42578125" style="352" customWidth="1"/>
    <col min="4614" max="4614" width="13.28515625" style="352" customWidth="1"/>
    <col min="4615" max="4615" width="9.7109375" style="352" customWidth="1"/>
    <col min="4616" max="4616" width="13.5703125" style="352" customWidth="1"/>
    <col min="4617" max="4617" width="10.5703125" style="352" customWidth="1"/>
    <col min="4618" max="4618" width="11.28515625" style="352" customWidth="1"/>
    <col min="4619" max="4619" width="8.7109375" style="352" customWidth="1"/>
    <col min="4620" max="4620" width="9" style="352" customWidth="1"/>
    <col min="4621" max="4621" width="6.7109375" style="352" customWidth="1"/>
    <col min="4622" max="4622" width="11.42578125" style="352" customWidth="1"/>
    <col min="4623" max="4623" width="12.28515625" style="352" customWidth="1"/>
    <col min="4624" max="4624" width="11.28515625" style="352" customWidth="1"/>
    <col min="4625" max="4625" width="12.42578125" style="352" customWidth="1"/>
    <col min="4626" max="4626" width="13" style="352" customWidth="1"/>
    <col min="4627" max="4627" width="9.5703125" style="352" customWidth="1"/>
    <col min="4628" max="4628" width="11.42578125" style="352" customWidth="1"/>
    <col min="4629" max="4858" width="9.140625" style="352"/>
    <col min="4859" max="4859" width="9.42578125" style="352" customWidth="1"/>
    <col min="4860" max="4860" width="31.42578125" style="352" customWidth="1"/>
    <col min="4861" max="4866" width="0" style="352" hidden="1" customWidth="1"/>
    <col min="4867" max="4867" width="8.7109375" style="352" customWidth="1"/>
    <col min="4868" max="4868" width="8.140625" style="352" customWidth="1"/>
    <col min="4869" max="4869" width="14.42578125" style="352" customWidth="1"/>
    <col min="4870" max="4870" width="13.28515625" style="352" customWidth="1"/>
    <col min="4871" max="4871" width="9.7109375" style="352" customWidth="1"/>
    <col min="4872" max="4872" width="13.5703125" style="352" customWidth="1"/>
    <col min="4873" max="4873" width="10.5703125" style="352" customWidth="1"/>
    <col min="4874" max="4874" width="11.28515625" style="352" customWidth="1"/>
    <col min="4875" max="4875" width="8.7109375" style="352" customWidth="1"/>
    <col min="4876" max="4876" width="9" style="352" customWidth="1"/>
    <col min="4877" max="4877" width="6.7109375" style="352" customWidth="1"/>
    <col min="4878" max="4878" width="11.42578125" style="352" customWidth="1"/>
    <col min="4879" max="4879" width="12.28515625" style="352" customWidth="1"/>
    <col min="4880" max="4880" width="11.28515625" style="352" customWidth="1"/>
    <col min="4881" max="4881" width="12.42578125" style="352" customWidth="1"/>
    <col min="4882" max="4882" width="13" style="352" customWidth="1"/>
    <col min="4883" max="4883" width="9.5703125" style="352" customWidth="1"/>
    <col min="4884" max="4884" width="11.42578125" style="352" customWidth="1"/>
    <col min="4885" max="5114" width="9.140625" style="352"/>
    <col min="5115" max="5115" width="9.42578125" style="352" customWidth="1"/>
    <col min="5116" max="5116" width="31.42578125" style="352" customWidth="1"/>
    <col min="5117" max="5122" width="0" style="352" hidden="1" customWidth="1"/>
    <col min="5123" max="5123" width="8.7109375" style="352" customWidth="1"/>
    <col min="5124" max="5124" width="8.140625" style="352" customWidth="1"/>
    <col min="5125" max="5125" width="14.42578125" style="352" customWidth="1"/>
    <col min="5126" max="5126" width="13.28515625" style="352" customWidth="1"/>
    <col min="5127" max="5127" width="9.7109375" style="352" customWidth="1"/>
    <col min="5128" max="5128" width="13.5703125" style="352" customWidth="1"/>
    <col min="5129" max="5129" width="10.5703125" style="352" customWidth="1"/>
    <col min="5130" max="5130" width="11.28515625" style="352" customWidth="1"/>
    <col min="5131" max="5131" width="8.7109375" style="352" customWidth="1"/>
    <col min="5132" max="5132" width="9" style="352" customWidth="1"/>
    <col min="5133" max="5133" width="6.7109375" style="352" customWidth="1"/>
    <col min="5134" max="5134" width="11.42578125" style="352" customWidth="1"/>
    <col min="5135" max="5135" width="12.28515625" style="352" customWidth="1"/>
    <col min="5136" max="5136" width="11.28515625" style="352" customWidth="1"/>
    <col min="5137" max="5137" width="12.42578125" style="352" customWidth="1"/>
    <col min="5138" max="5138" width="13" style="352" customWidth="1"/>
    <col min="5139" max="5139" width="9.5703125" style="352" customWidth="1"/>
    <col min="5140" max="5140" width="11.42578125" style="352" customWidth="1"/>
    <col min="5141" max="5370" width="9.140625" style="352"/>
    <col min="5371" max="5371" width="9.42578125" style="352" customWidth="1"/>
    <col min="5372" max="5372" width="31.42578125" style="352" customWidth="1"/>
    <col min="5373" max="5378" width="0" style="352" hidden="1" customWidth="1"/>
    <col min="5379" max="5379" width="8.7109375" style="352" customWidth="1"/>
    <col min="5380" max="5380" width="8.140625" style="352" customWidth="1"/>
    <col min="5381" max="5381" width="14.42578125" style="352" customWidth="1"/>
    <col min="5382" max="5382" width="13.28515625" style="352" customWidth="1"/>
    <col min="5383" max="5383" width="9.7109375" style="352" customWidth="1"/>
    <col min="5384" max="5384" width="13.5703125" style="352" customWidth="1"/>
    <col min="5385" max="5385" width="10.5703125" style="352" customWidth="1"/>
    <col min="5386" max="5386" width="11.28515625" style="352" customWidth="1"/>
    <col min="5387" max="5387" width="8.7109375" style="352" customWidth="1"/>
    <col min="5388" max="5388" width="9" style="352" customWidth="1"/>
    <col min="5389" max="5389" width="6.7109375" style="352" customWidth="1"/>
    <col min="5390" max="5390" width="11.42578125" style="352" customWidth="1"/>
    <col min="5391" max="5391" width="12.28515625" style="352" customWidth="1"/>
    <col min="5392" max="5392" width="11.28515625" style="352" customWidth="1"/>
    <col min="5393" max="5393" width="12.42578125" style="352" customWidth="1"/>
    <col min="5394" max="5394" width="13" style="352" customWidth="1"/>
    <col min="5395" max="5395" width="9.5703125" style="352" customWidth="1"/>
    <col min="5396" max="5396" width="11.42578125" style="352" customWidth="1"/>
    <col min="5397" max="5626" width="9.140625" style="352"/>
    <col min="5627" max="5627" width="9.42578125" style="352" customWidth="1"/>
    <col min="5628" max="5628" width="31.42578125" style="352" customWidth="1"/>
    <col min="5629" max="5634" width="0" style="352" hidden="1" customWidth="1"/>
    <col min="5635" max="5635" width="8.7109375" style="352" customWidth="1"/>
    <col min="5636" max="5636" width="8.140625" style="352" customWidth="1"/>
    <col min="5637" max="5637" width="14.42578125" style="352" customWidth="1"/>
    <col min="5638" max="5638" width="13.28515625" style="352" customWidth="1"/>
    <col min="5639" max="5639" width="9.7109375" style="352" customWidth="1"/>
    <col min="5640" max="5640" width="13.5703125" style="352" customWidth="1"/>
    <col min="5641" max="5641" width="10.5703125" style="352" customWidth="1"/>
    <col min="5642" max="5642" width="11.28515625" style="352" customWidth="1"/>
    <col min="5643" max="5643" width="8.7109375" style="352" customWidth="1"/>
    <col min="5644" max="5644" width="9" style="352" customWidth="1"/>
    <col min="5645" max="5645" width="6.7109375" style="352" customWidth="1"/>
    <col min="5646" max="5646" width="11.42578125" style="352" customWidth="1"/>
    <col min="5647" max="5647" width="12.28515625" style="352" customWidth="1"/>
    <col min="5648" max="5648" width="11.28515625" style="352" customWidth="1"/>
    <col min="5649" max="5649" width="12.42578125" style="352" customWidth="1"/>
    <col min="5650" max="5650" width="13" style="352" customWidth="1"/>
    <col min="5651" max="5651" width="9.5703125" style="352" customWidth="1"/>
    <col min="5652" max="5652" width="11.42578125" style="352" customWidth="1"/>
    <col min="5653" max="5882" width="9.140625" style="352"/>
    <col min="5883" max="5883" width="9.42578125" style="352" customWidth="1"/>
    <col min="5884" max="5884" width="31.42578125" style="352" customWidth="1"/>
    <col min="5885" max="5890" width="0" style="352" hidden="1" customWidth="1"/>
    <col min="5891" max="5891" width="8.7109375" style="352" customWidth="1"/>
    <col min="5892" max="5892" width="8.140625" style="352" customWidth="1"/>
    <col min="5893" max="5893" width="14.42578125" style="352" customWidth="1"/>
    <col min="5894" max="5894" width="13.28515625" style="352" customWidth="1"/>
    <col min="5895" max="5895" width="9.7109375" style="352" customWidth="1"/>
    <col min="5896" max="5896" width="13.5703125" style="352" customWidth="1"/>
    <col min="5897" max="5897" width="10.5703125" style="352" customWidth="1"/>
    <col min="5898" max="5898" width="11.28515625" style="352" customWidth="1"/>
    <col min="5899" max="5899" width="8.7109375" style="352" customWidth="1"/>
    <col min="5900" max="5900" width="9" style="352" customWidth="1"/>
    <col min="5901" max="5901" width="6.7109375" style="352" customWidth="1"/>
    <col min="5902" max="5902" width="11.42578125" style="352" customWidth="1"/>
    <col min="5903" max="5903" width="12.28515625" style="352" customWidth="1"/>
    <col min="5904" max="5904" width="11.28515625" style="352" customWidth="1"/>
    <col min="5905" max="5905" width="12.42578125" style="352" customWidth="1"/>
    <col min="5906" max="5906" width="13" style="352" customWidth="1"/>
    <col min="5907" max="5907" width="9.5703125" style="352" customWidth="1"/>
    <col min="5908" max="5908" width="11.42578125" style="352" customWidth="1"/>
    <col min="5909" max="6138" width="9.140625" style="352"/>
    <col min="6139" max="6139" width="9.42578125" style="352" customWidth="1"/>
    <col min="6140" max="6140" width="31.42578125" style="352" customWidth="1"/>
    <col min="6141" max="6146" width="0" style="352" hidden="1" customWidth="1"/>
    <col min="6147" max="6147" width="8.7109375" style="352" customWidth="1"/>
    <col min="6148" max="6148" width="8.140625" style="352" customWidth="1"/>
    <col min="6149" max="6149" width="14.42578125" style="352" customWidth="1"/>
    <col min="6150" max="6150" width="13.28515625" style="352" customWidth="1"/>
    <col min="6151" max="6151" width="9.7109375" style="352" customWidth="1"/>
    <col min="6152" max="6152" width="13.5703125" style="352" customWidth="1"/>
    <col min="6153" max="6153" width="10.5703125" style="352" customWidth="1"/>
    <col min="6154" max="6154" width="11.28515625" style="352" customWidth="1"/>
    <col min="6155" max="6155" width="8.7109375" style="352" customWidth="1"/>
    <col min="6156" max="6156" width="9" style="352" customWidth="1"/>
    <col min="6157" max="6157" width="6.7109375" style="352" customWidth="1"/>
    <col min="6158" max="6158" width="11.42578125" style="352" customWidth="1"/>
    <col min="6159" max="6159" width="12.28515625" style="352" customWidth="1"/>
    <col min="6160" max="6160" width="11.28515625" style="352" customWidth="1"/>
    <col min="6161" max="6161" width="12.42578125" style="352" customWidth="1"/>
    <col min="6162" max="6162" width="13" style="352" customWidth="1"/>
    <col min="6163" max="6163" width="9.5703125" style="352" customWidth="1"/>
    <col min="6164" max="6164" width="11.42578125" style="352" customWidth="1"/>
    <col min="6165" max="6394" width="9.140625" style="352"/>
    <col min="6395" max="6395" width="9.42578125" style="352" customWidth="1"/>
    <col min="6396" max="6396" width="31.42578125" style="352" customWidth="1"/>
    <col min="6397" max="6402" width="0" style="352" hidden="1" customWidth="1"/>
    <col min="6403" max="6403" width="8.7109375" style="352" customWidth="1"/>
    <col min="6404" max="6404" width="8.140625" style="352" customWidth="1"/>
    <col min="6405" max="6405" width="14.42578125" style="352" customWidth="1"/>
    <col min="6406" max="6406" width="13.28515625" style="352" customWidth="1"/>
    <col min="6407" max="6407" width="9.7109375" style="352" customWidth="1"/>
    <col min="6408" max="6408" width="13.5703125" style="352" customWidth="1"/>
    <col min="6409" max="6409" width="10.5703125" style="352" customWidth="1"/>
    <col min="6410" max="6410" width="11.28515625" style="352" customWidth="1"/>
    <col min="6411" max="6411" width="8.7109375" style="352" customWidth="1"/>
    <col min="6412" max="6412" width="9" style="352" customWidth="1"/>
    <col min="6413" max="6413" width="6.7109375" style="352" customWidth="1"/>
    <col min="6414" max="6414" width="11.42578125" style="352" customWidth="1"/>
    <col min="6415" max="6415" width="12.28515625" style="352" customWidth="1"/>
    <col min="6416" max="6416" width="11.28515625" style="352" customWidth="1"/>
    <col min="6417" max="6417" width="12.42578125" style="352" customWidth="1"/>
    <col min="6418" max="6418" width="13" style="352" customWidth="1"/>
    <col min="6419" max="6419" width="9.5703125" style="352" customWidth="1"/>
    <col min="6420" max="6420" width="11.42578125" style="352" customWidth="1"/>
    <col min="6421" max="6650" width="9.140625" style="352"/>
    <col min="6651" max="6651" width="9.42578125" style="352" customWidth="1"/>
    <col min="6652" max="6652" width="31.42578125" style="352" customWidth="1"/>
    <col min="6653" max="6658" width="0" style="352" hidden="1" customWidth="1"/>
    <col min="6659" max="6659" width="8.7109375" style="352" customWidth="1"/>
    <col min="6660" max="6660" width="8.140625" style="352" customWidth="1"/>
    <col min="6661" max="6661" width="14.42578125" style="352" customWidth="1"/>
    <col min="6662" max="6662" width="13.28515625" style="352" customWidth="1"/>
    <col min="6663" max="6663" width="9.7109375" style="352" customWidth="1"/>
    <col min="6664" max="6664" width="13.5703125" style="352" customWidth="1"/>
    <col min="6665" max="6665" width="10.5703125" style="352" customWidth="1"/>
    <col min="6666" max="6666" width="11.28515625" style="352" customWidth="1"/>
    <col min="6667" max="6667" width="8.7109375" style="352" customWidth="1"/>
    <col min="6668" max="6668" width="9" style="352" customWidth="1"/>
    <col min="6669" max="6669" width="6.7109375" style="352" customWidth="1"/>
    <col min="6670" max="6670" width="11.42578125" style="352" customWidth="1"/>
    <col min="6671" max="6671" width="12.28515625" style="352" customWidth="1"/>
    <col min="6672" max="6672" width="11.28515625" style="352" customWidth="1"/>
    <col min="6673" max="6673" width="12.42578125" style="352" customWidth="1"/>
    <col min="6674" max="6674" width="13" style="352" customWidth="1"/>
    <col min="6675" max="6675" width="9.5703125" style="352" customWidth="1"/>
    <col min="6676" max="6676" width="11.42578125" style="352" customWidth="1"/>
    <col min="6677" max="6906" width="9.140625" style="352"/>
    <col min="6907" max="6907" width="9.42578125" style="352" customWidth="1"/>
    <col min="6908" max="6908" width="31.42578125" style="352" customWidth="1"/>
    <col min="6909" max="6914" width="0" style="352" hidden="1" customWidth="1"/>
    <col min="6915" max="6915" width="8.7109375" style="352" customWidth="1"/>
    <col min="6916" max="6916" width="8.140625" style="352" customWidth="1"/>
    <col min="6917" max="6917" width="14.42578125" style="352" customWidth="1"/>
    <col min="6918" max="6918" width="13.28515625" style="352" customWidth="1"/>
    <col min="6919" max="6919" width="9.7109375" style="352" customWidth="1"/>
    <col min="6920" max="6920" width="13.5703125" style="352" customWidth="1"/>
    <col min="6921" max="6921" width="10.5703125" style="352" customWidth="1"/>
    <col min="6922" max="6922" width="11.28515625" style="352" customWidth="1"/>
    <col min="6923" max="6923" width="8.7109375" style="352" customWidth="1"/>
    <col min="6924" max="6924" width="9" style="352" customWidth="1"/>
    <col min="6925" max="6925" width="6.7109375" style="352" customWidth="1"/>
    <col min="6926" max="6926" width="11.42578125" style="352" customWidth="1"/>
    <col min="6927" max="6927" width="12.28515625" style="352" customWidth="1"/>
    <col min="6928" max="6928" width="11.28515625" style="352" customWidth="1"/>
    <col min="6929" max="6929" width="12.42578125" style="352" customWidth="1"/>
    <col min="6930" max="6930" width="13" style="352" customWidth="1"/>
    <col min="6931" max="6931" width="9.5703125" style="352" customWidth="1"/>
    <col min="6932" max="6932" width="11.42578125" style="352" customWidth="1"/>
    <col min="6933" max="7162" width="9.140625" style="352"/>
    <col min="7163" max="7163" width="9.42578125" style="352" customWidth="1"/>
    <col min="7164" max="7164" width="31.42578125" style="352" customWidth="1"/>
    <col min="7165" max="7170" width="0" style="352" hidden="1" customWidth="1"/>
    <col min="7171" max="7171" width="8.7109375" style="352" customWidth="1"/>
    <col min="7172" max="7172" width="8.140625" style="352" customWidth="1"/>
    <col min="7173" max="7173" width="14.42578125" style="352" customWidth="1"/>
    <col min="7174" max="7174" width="13.28515625" style="352" customWidth="1"/>
    <col min="7175" max="7175" width="9.7109375" style="352" customWidth="1"/>
    <col min="7176" max="7176" width="13.5703125" style="352" customWidth="1"/>
    <col min="7177" max="7177" width="10.5703125" style="352" customWidth="1"/>
    <col min="7178" max="7178" width="11.28515625" style="352" customWidth="1"/>
    <col min="7179" max="7179" width="8.7109375" style="352" customWidth="1"/>
    <col min="7180" max="7180" width="9" style="352" customWidth="1"/>
    <col min="7181" max="7181" width="6.7109375" style="352" customWidth="1"/>
    <col min="7182" max="7182" width="11.42578125" style="352" customWidth="1"/>
    <col min="7183" max="7183" width="12.28515625" style="352" customWidth="1"/>
    <col min="7184" max="7184" width="11.28515625" style="352" customWidth="1"/>
    <col min="7185" max="7185" width="12.42578125" style="352" customWidth="1"/>
    <col min="7186" max="7186" width="13" style="352" customWidth="1"/>
    <col min="7187" max="7187" width="9.5703125" style="352" customWidth="1"/>
    <col min="7188" max="7188" width="11.42578125" style="352" customWidth="1"/>
    <col min="7189" max="7418" width="9.140625" style="352"/>
    <col min="7419" max="7419" width="9.42578125" style="352" customWidth="1"/>
    <col min="7420" max="7420" width="31.42578125" style="352" customWidth="1"/>
    <col min="7421" max="7426" width="0" style="352" hidden="1" customWidth="1"/>
    <col min="7427" max="7427" width="8.7109375" style="352" customWidth="1"/>
    <col min="7428" max="7428" width="8.140625" style="352" customWidth="1"/>
    <col min="7429" max="7429" width="14.42578125" style="352" customWidth="1"/>
    <col min="7430" max="7430" width="13.28515625" style="352" customWidth="1"/>
    <col min="7431" max="7431" width="9.7109375" style="352" customWidth="1"/>
    <col min="7432" max="7432" width="13.5703125" style="352" customWidth="1"/>
    <col min="7433" max="7433" width="10.5703125" style="352" customWidth="1"/>
    <col min="7434" max="7434" width="11.28515625" style="352" customWidth="1"/>
    <col min="7435" max="7435" width="8.7109375" style="352" customWidth="1"/>
    <col min="7436" max="7436" width="9" style="352" customWidth="1"/>
    <col min="7437" max="7437" width="6.7109375" style="352" customWidth="1"/>
    <col min="7438" max="7438" width="11.42578125" style="352" customWidth="1"/>
    <col min="7439" max="7439" width="12.28515625" style="352" customWidth="1"/>
    <col min="7440" max="7440" width="11.28515625" style="352" customWidth="1"/>
    <col min="7441" max="7441" width="12.42578125" style="352" customWidth="1"/>
    <col min="7442" max="7442" width="13" style="352" customWidth="1"/>
    <col min="7443" max="7443" width="9.5703125" style="352" customWidth="1"/>
    <col min="7444" max="7444" width="11.42578125" style="352" customWidth="1"/>
    <col min="7445" max="7674" width="9.140625" style="352"/>
    <col min="7675" max="7675" width="9.42578125" style="352" customWidth="1"/>
    <col min="7676" max="7676" width="31.42578125" style="352" customWidth="1"/>
    <col min="7677" max="7682" width="0" style="352" hidden="1" customWidth="1"/>
    <col min="7683" max="7683" width="8.7109375" style="352" customWidth="1"/>
    <col min="7684" max="7684" width="8.140625" style="352" customWidth="1"/>
    <col min="7685" max="7685" width="14.42578125" style="352" customWidth="1"/>
    <col min="7686" max="7686" width="13.28515625" style="352" customWidth="1"/>
    <col min="7687" max="7687" width="9.7109375" style="352" customWidth="1"/>
    <col min="7688" max="7688" width="13.5703125" style="352" customWidth="1"/>
    <col min="7689" max="7689" width="10.5703125" style="352" customWidth="1"/>
    <col min="7690" max="7690" width="11.28515625" style="352" customWidth="1"/>
    <col min="7691" max="7691" width="8.7109375" style="352" customWidth="1"/>
    <col min="7692" max="7692" width="9" style="352" customWidth="1"/>
    <col min="7693" max="7693" width="6.7109375" style="352" customWidth="1"/>
    <col min="7694" max="7694" width="11.42578125" style="352" customWidth="1"/>
    <col min="7695" max="7695" width="12.28515625" style="352" customWidth="1"/>
    <col min="7696" max="7696" width="11.28515625" style="352" customWidth="1"/>
    <col min="7697" max="7697" width="12.42578125" style="352" customWidth="1"/>
    <col min="7698" max="7698" width="13" style="352" customWidth="1"/>
    <col min="7699" max="7699" width="9.5703125" style="352" customWidth="1"/>
    <col min="7700" max="7700" width="11.42578125" style="352" customWidth="1"/>
    <col min="7701" max="7930" width="9.140625" style="352"/>
    <col min="7931" max="7931" width="9.42578125" style="352" customWidth="1"/>
    <col min="7932" max="7932" width="31.42578125" style="352" customWidth="1"/>
    <col min="7933" max="7938" width="0" style="352" hidden="1" customWidth="1"/>
    <col min="7939" max="7939" width="8.7109375" style="352" customWidth="1"/>
    <col min="7940" max="7940" width="8.140625" style="352" customWidth="1"/>
    <col min="7941" max="7941" width="14.42578125" style="352" customWidth="1"/>
    <col min="7942" max="7942" width="13.28515625" style="352" customWidth="1"/>
    <col min="7943" max="7943" width="9.7109375" style="352" customWidth="1"/>
    <col min="7944" max="7944" width="13.5703125" style="352" customWidth="1"/>
    <col min="7945" max="7945" width="10.5703125" style="352" customWidth="1"/>
    <col min="7946" max="7946" width="11.28515625" style="352" customWidth="1"/>
    <col min="7947" max="7947" width="8.7109375" style="352" customWidth="1"/>
    <col min="7948" max="7948" width="9" style="352" customWidth="1"/>
    <col min="7949" max="7949" width="6.7109375" style="352" customWidth="1"/>
    <col min="7950" max="7950" width="11.42578125" style="352" customWidth="1"/>
    <col min="7951" max="7951" width="12.28515625" style="352" customWidth="1"/>
    <col min="7952" max="7952" width="11.28515625" style="352" customWidth="1"/>
    <col min="7953" max="7953" width="12.42578125" style="352" customWidth="1"/>
    <col min="7954" max="7954" width="13" style="352" customWidth="1"/>
    <col min="7955" max="7955" width="9.5703125" style="352" customWidth="1"/>
    <col min="7956" max="7956" width="11.42578125" style="352" customWidth="1"/>
    <col min="7957" max="8186" width="9.140625" style="352"/>
    <col min="8187" max="8187" width="9.42578125" style="352" customWidth="1"/>
    <col min="8188" max="8188" width="31.42578125" style="352" customWidth="1"/>
    <col min="8189" max="8194" width="0" style="352" hidden="1" customWidth="1"/>
    <col min="8195" max="8195" width="8.7109375" style="352" customWidth="1"/>
    <col min="8196" max="8196" width="8.140625" style="352" customWidth="1"/>
    <col min="8197" max="8197" width="14.42578125" style="352" customWidth="1"/>
    <col min="8198" max="8198" width="13.28515625" style="352" customWidth="1"/>
    <col min="8199" max="8199" width="9.7109375" style="352" customWidth="1"/>
    <col min="8200" max="8200" width="13.5703125" style="352" customWidth="1"/>
    <col min="8201" max="8201" width="10.5703125" style="352" customWidth="1"/>
    <col min="8202" max="8202" width="11.28515625" style="352" customWidth="1"/>
    <col min="8203" max="8203" width="8.7109375" style="352" customWidth="1"/>
    <col min="8204" max="8204" width="9" style="352" customWidth="1"/>
    <col min="8205" max="8205" width="6.7109375" style="352" customWidth="1"/>
    <col min="8206" max="8206" width="11.42578125" style="352" customWidth="1"/>
    <col min="8207" max="8207" width="12.28515625" style="352" customWidth="1"/>
    <col min="8208" max="8208" width="11.28515625" style="352" customWidth="1"/>
    <col min="8209" max="8209" width="12.42578125" style="352" customWidth="1"/>
    <col min="8210" max="8210" width="13" style="352" customWidth="1"/>
    <col min="8211" max="8211" width="9.5703125" style="352" customWidth="1"/>
    <col min="8212" max="8212" width="11.42578125" style="352" customWidth="1"/>
    <col min="8213" max="8442" width="9.140625" style="352"/>
    <col min="8443" max="8443" width="9.42578125" style="352" customWidth="1"/>
    <col min="8444" max="8444" width="31.42578125" style="352" customWidth="1"/>
    <col min="8445" max="8450" width="0" style="352" hidden="1" customWidth="1"/>
    <col min="8451" max="8451" width="8.7109375" style="352" customWidth="1"/>
    <col min="8452" max="8452" width="8.140625" style="352" customWidth="1"/>
    <col min="8453" max="8453" width="14.42578125" style="352" customWidth="1"/>
    <col min="8454" max="8454" width="13.28515625" style="352" customWidth="1"/>
    <col min="8455" max="8455" width="9.7109375" style="352" customWidth="1"/>
    <col min="8456" max="8456" width="13.5703125" style="352" customWidth="1"/>
    <col min="8457" max="8457" width="10.5703125" style="352" customWidth="1"/>
    <col min="8458" max="8458" width="11.28515625" style="352" customWidth="1"/>
    <col min="8459" max="8459" width="8.7109375" style="352" customWidth="1"/>
    <col min="8460" max="8460" width="9" style="352" customWidth="1"/>
    <col min="8461" max="8461" width="6.7109375" style="352" customWidth="1"/>
    <col min="8462" max="8462" width="11.42578125" style="352" customWidth="1"/>
    <col min="8463" max="8463" width="12.28515625" style="352" customWidth="1"/>
    <col min="8464" max="8464" width="11.28515625" style="352" customWidth="1"/>
    <col min="8465" max="8465" width="12.42578125" style="352" customWidth="1"/>
    <col min="8466" max="8466" width="13" style="352" customWidth="1"/>
    <col min="8467" max="8467" width="9.5703125" style="352" customWidth="1"/>
    <col min="8468" max="8468" width="11.42578125" style="352" customWidth="1"/>
    <col min="8469" max="8698" width="9.140625" style="352"/>
    <col min="8699" max="8699" width="9.42578125" style="352" customWidth="1"/>
    <col min="8700" max="8700" width="31.42578125" style="352" customWidth="1"/>
    <col min="8701" max="8706" width="0" style="352" hidden="1" customWidth="1"/>
    <col min="8707" max="8707" width="8.7109375" style="352" customWidth="1"/>
    <col min="8708" max="8708" width="8.140625" style="352" customWidth="1"/>
    <col min="8709" max="8709" width="14.42578125" style="352" customWidth="1"/>
    <col min="8710" max="8710" width="13.28515625" style="352" customWidth="1"/>
    <col min="8711" max="8711" width="9.7109375" style="352" customWidth="1"/>
    <col min="8712" max="8712" width="13.5703125" style="352" customWidth="1"/>
    <col min="8713" max="8713" width="10.5703125" style="352" customWidth="1"/>
    <col min="8714" max="8714" width="11.28515625" style="352" customWidth="1"/>
    <col min="8715" max="8715" width="8.7109375" style="352" customWidth="1"/>
    <col min="8716" max="8716" width="9" style="352" customWidth="1"/>
    <col min="8717" max="8717" width="6.7109375" style="352" customWidth="1"/>
    <col min="8718" max="8718" width="11.42578125" style="352" customWidth="1"/>
    <col min="8719" max="8719" width="12.28515625" style="352" customWidth="1"/>
    <col min="8720" max="8720" width="11.28515625" style="352" customWidth="1"/>
    <col min="8721" max="8721" width="12.42578125" style="352" customWidth="1"/>
    <col min="8722" max="8722" width="13" style="352" customWidth="1"/>
    <col min="8723" max="8723" width="9.5703125" style="352" customWidth="1"/>
    <col min="8724" max="8724" width="11.42578125" style="352" customWidth="1"/>
    <col min="8725" max="8954" width="9.140625" style="352"/>
    <col min="8955" max="8955" width="9.42578125" style="352" customWidth="1"/>
    <col min="8956" max="8956" width="31.42578125" style="352" customWidth="1"/>
    <col min="8957" max="8962" width="0" style="352" hidden="1" customWidth="1"/>
    <col min="8963" max="8963" width="8.7109375" style="352" customWidth="1"/>
    <col min="8964" max="8964" width="8.140625" style="352" customWidth="1"/>
    <col min="8965" max="8965" width="14.42578125" style="352" customWidth="1"/>
    <col min="8966" max="8966" width="13.28515625" style="352" customWidth="1"/>
    <col min="8967" max="8967" width="9.7109375" style="352" customWidth="1"/>
    <col min="8968" max="8968" width="13.5703125" style="352" customWidth="1"/>
    <col min="8969" max="8969" width="10.5703125" style="352" customWidth="1"/>
    <col min="8970" max="8970" width="11.28515625" style="352" customWidth="1"/>
    <col min="8971" max="8971" width="8.7109375" style="352" customWidth="1"/>
    <col min="8972" max="8972" width="9" style="352" customWidth="1"/>
    <col min="8973" max="8973" width="6.7109375" style="352" customWidth="1"/>
    <col min="8974" max="8974" width="11.42578125" style="352" customWidth="1"/>
    <col min="8975" max="8975" width="12.28515625" style="352" customWidth="1"/>
    <col min="8976" max="8976" width="11.28515625" style="352" customWidth="1"/>
    <col min="8977" max="8977" width="12.42578125" style="352" customWidth="1"/>
    <col min="8978" max="8978" width="13" style="352" customWidth="1"/>
    <col min="8979" max="8979" width="9.5703125" style="352" customWidth="1"/>
    <col min="8980" max="8980" width="11.42578125" style="352" customWidth="1"/>
    <col min="8981" max="9210" width="9.140625" style="352"/>
    <col min="9211" max="9211" width="9.42578125" style="352" customWidth="1"/>
    <col min="9212" max="9212" width="31.42578125" style="352" customWidth="1"/>
    <col min="9213" max="9218" width="0" style="352" hidden="1" customWidth="1"/>
    <col min="9219" max="9219" width="8.7109375" style="352" customWidth="1"/>
    <col min="9220" max="9220" width="8.140625" style="352" customWidth="1"/>
    <col min="9221" max="9221" width="14.42578125" style="352" customWidth="1"/>
    <col min="9222" max="9222" width="13.28515625" style="352" customWidth="1"/>
    <col min="9223" max="9223" width="9.7109375" style="352" customWidth="1"/>
    <col min="9224" max="9224" width="13.5703125" style="352" customWidth="1"/>
    <col min="9225" max="9225" width="10.5703125" style="352" customWidth="1"/>
    <col min="9226" max="9226" width="11.28515625" style="352" customWidth="1"/>
    <col min="9227" max="9227" width="8.7109375" style="352" customWidth="1"/>
    <col min="9228" max="9228" width="9" style="352" customWidth="1"/>
    <col min="9229" max="9229" width="6.7109375" style="352" customWidth="1"/>
    <col min="9230" max="9230" width="11.42578125" style="352" customWidth="1"/>
    <col min="9231" max="9231" width="12.28515625" style="352" customWidth="1"/>
    <col min="9232" max="9232" width="11.28515625" style="352" customWidth="1"/>
    <col min="9233" max="9233" width="12.42578125" style="352" customWidth="1"/>
    <col min="9234" max="9234" width="13" style="352" customWidth="1"/>
    <col min="9235" max="9235" width="9.5703125" style="352" customWidth="1"/>
    <col min="9236" max="9236" width="11.42578125" style="352" customWidth="1"/>
    <col min="9237" max="9466" width="9.140625" style="352"/>
    <col min="9467" max="9467" width="9.42578125" style="352" customWidth="1"/>
    <col min="9468" max="9468" width="31.42578125" style="352" customWidth="1"/>
    <col min="9469" max="9474" width="0" style="352" hidden="1" customWidth="1"/>
    <col min="9475" max="9475" width="8.7109375" style="352" customWidth="1"/>
    <col min="9476" max="9476" width="8.140625" style="352" customWidth="1"/>
    <col min="9477" max="9477" width="14.42578125" style="352" customWidth="1"/>
    <col min="9478" max="9478" width="13.28515625" style="352" customWidth="1"/>
    <col min="9479" max="9479" width="9.7109375" style="352" customWidth="1"/>
    <col min="9480" max="9480" width="13.5703125" style="352" customWidth="1"/>
    <col min="9481" max="9481" width="10.5703125" style="352" customWidth="1"/>
    <col min="9482" max="9482" width="11.28515625" style="352" customWidth="1"/>
    <col min="9483" max="9483" width="8.7109375" style="352" customWidth="1"/>
    <col min="9484" max="9484" width="9" style="352" customWidth="1"/>
    <col min="9485" max="9485" width="6.7109375" style="352" customWidth="1"/>
    <col min="9486" max="9486" width="11.42578125" style="352" customWidth="1"/>
    <col min="9487" max="9487" width="12.28515625" style="352" customWidth="1"/>
    <col min="9488" max="9488" width="11.28515625" style="352" customWidth="1"/>
    <col min="9489" max="9489" width="12.42578125" style="352" customWidth="1"/>
    <col min="9490" max="9490" width="13" style="352" customWidth="1"/>
    <col min="9491" max="9491" width="9.5703125" style="352" customWidth="1"/>
    <col min="9492" max="9492" width="11.42578125" style="352" customWidth="1"/>
    <col min="9493" max="9722" width="9.140625" style="352"/>
    <col min="9723" max="9723" width="9.42578125" style="352" customWidth="1"/>
    <col min="9724" max="9724" width="31.42578125" style="352" customWidth="1"/>
    <col min="9725" max="9730" width="0" style="352" hidden="1" customWidth="1"/>
    <col min="9731" max="9731" width="8.7109375" style="352" customWidth="1"/>
    <col min="9732" max="9732" width="8.140625" style="352" customWidth="1"/>
    <col min="9733" max="9733" width="14.42578125" style="352" customWidth="1"/>
    <col min="9734" max="9734" width="13.28515625" style="352" customWidth="1"/>
    <col min="9735" max="9735" width="9.7109375" style="352" customWidth="1"/>
    <col min="9736" max="9736" width="13.5703125" style="352" customWidth="1"/>
    <col min="9737" max="9737" width="10.5703125" style="352" customWidth="1"/>
    <col min="9738" max="9738" width="11.28515625" style="352" customWidth="1"/>
    <col min="9739" max="9739" width="8.7109375" style="352" customWidth="1"/>
    <col min="9740" max="9740" width="9" style="352" customWidth="1"/>
    <col min="9741" max="9741" width="6.7109375" style="352" customWidth="1"/>
    <col min="9742" max="9742" width="11.42578125" style="352" customWidth="1"/>
    <col min="9743" max="9743" width="12.28515625" style="352" customWidth="1"/>
    <col min="9744" max="9744" width="11.28515625" style="352" customWidth="1"/>
    <col min="9745" max="9745" width="12.42578125" style="352" customWidth="1"/>
    <col min="9746" max="9746" width="13" style="352" customWidth="1"/>
    <col min="9747" max="9747" width="9.5703125" style="352" customWidth="1"/>
    <col min="9748" max="9748" width="11.42578125" style="352" customWidth="1"/>
    <col min="9749" max="9978" width="9.140625" style="352"/>
    <col min="9979" max="9979" width="9.42578125" style="352" customWidth="1"/>
    <col min="9980" max="9980" width="31.42578125" style="352" customWidth="1"/>
    <col min="9981" max="9986" width="0" style="352" hidden="1" customWidth="1"/>
    <col min="9987" max="9987" width="8.7109375" style="352" customWidth="1"/>
    <col min="9988" max="9988" width="8.140625" style="352" customWidth="1"/>
    <col min="9989" max="9989" width="14.42578125" style="352" customWidth="1"/>
    <col min="9990" max="9990" width="13.28515625" style="352" customWidth="1"/>
    <col min="9991" max="9991" width="9.7109375" style="352" customWidth="1"/>
    <col min="9992" max="9992" width="13.5703125" style="352" customWidth="1"/>
    <col min="9993" max="9993" width="10.5703125" style="352" customWidth="1"/>
    <col min="9994" max="9994" width="11.28515625" style="352" customWidth="1"/>
    <col min="9995" max="9995" width="8.7109375" style="352" customWidth="1"/>
    <col min="9996" max="9996" width="9" style="352" customWidth="1"/>
    <col min="9997" max="9997" width="6.7109375" style="352" customWidth="1"/>
    <col min="9998" max="9998" width="11.42578125" style="352" customWidth="1"/>
    <col min="9999" max="9999" width="12.28515625" style="352" customWidth="1"/>
    <col min="10000" max="10000" width="11.28515625" style="352" customWidth="1"/>
    <col min="10001" max="10001" width="12.42578125" style="352" customWidth="1"/>
    <col min="10002" max="10002" width="13" style="352" customWidth="1"/>
    <col min="10003" max="10003" width="9.5703125" style="352" customWidth="1"/>
    <col min="10004" max="10004" width="11.42578125" style="352" customWidth="1"/>
    <col min="10005" max="10234" width="9.140625" style="352"/>
    <col min="10235" max="10235" width="9.42578125" style="352" customWidth="1"/>
    <col min="10236" max="10236" width="31.42578125" style="352" customWidth="1"/>
    <col min="10237" max="10242" width="0" style="352" hidden="1" customWidth="1"/>
    <col min="10243" max="10243" width="8.7109375" style="352" customWidth="1"/>
    <col min="10244" max="10244" width="8.140625" style="352" customWidth="1"/>
    <col min="10245" max="10245" width="14.42578125" style="352" customWidth="1"/>
    <col min="10246" max="10246" width="13.28515625" style="352" customWidth="1"/>
    <col min="10247" max="10247" width="9.7109375" style="352" customWidth="1"/>
    <col min="10248" max="10248" width="13.5703125" style="352" customWidth="1"/>
    <col min="10249" max="10249" width="10.5703125" style="352" customWidth="1"/>
    <col min="10250" max="10250" width="11.28515625" style="352" customWidth="1"/>
    <col min="10251" max="10251" width="8.7109375" style="352" customWidth="1"/>
    <col min="10252" max="10252" width="9" style="352" customWidth="1"/>
    <col min="10253" max="10253" width="6.7109375" style="352" customWidth="1"/>
    <col min="10254" max="10254" width="11.42578125" style="352" customWidth="1"/>
    <col min="10255" max="10255" width="12.28515625" style="352" customWidth="1"/>
    <col min="10256" max="10256" width="11.28515625" style="352" customWidth="1"/>
    <col min="10257" max="10257" width="12.42578125" style="352" customWidth="1"/>
    <col min="10258" max="10258" width="13" style="352" customWidth="1"/>
    <col min="10259" max="10259" width="9.5703125" style="352" customWidth="1"/>
    <col min="10260" max="10260" width="11.42578125" style="352" customWidth="1"/>
    <col min="10261" max="10490" width="9.140625" style="352"/>
    <col min="10491" max="10491" width="9.42578125" style="352" customWidth="1"/>
    <col min="10492" max="10492" width="31.42578125" style="352" customWidth="1"/>
    <col min="10493" max="10498" width="0" style="352" hidden="1" customWidth="1"/>
    <col min="10499" max="10499" width="8.7109375" style="352" customWidth="1"/>
    <col min="10500" max="10500" width="8.140625" style="352" customWidth="1"/>
    <col min="10501" max="10501" width="14.42578125" style="352" customWidth="1"/>
    <col min="10502" max="10502" width="13.28515625" style="352" customWidth="1"/>
    <col min="10503" max="10503" width="9.7109375" style="352" customWidth="1"/>
    <col min="10504" max="10504" width="13.5703125" style="352" customWidth="1"/>
    <col min="10505" max="10505" width="10.5703125" style="352" customWidth="1"/>
    <col min="10506" max="10506" width="11.28515625" style="352" customWidth="1"/>
    <col min="10507" max="10507" width="8.7109375" style="352" customWidth="1"/>
    <col min="10508" max="10508" width="9" style="352" customWidth="1"/>
    <col min="10509" max="10509" width="6.7109375" style="352" customWidth="1"/>
    <col min="10510" max="10510" width="11.42578125" style="352" customWidth="1"/>
    <col min="10511" max="10511" width="12.28515625" style="352" customWidth="1"/>
    <col min="10512" max="10512" width="11.28515625" style="352" customWidth="1"/>
    <col min="10513" max="10513" width="12.42578125" style="352" customWidth="1"/>
    <col min="10514" max="10514" width="13" style="352" customWidth="1"/>
    <col min="10515" max="10515" width="9.5703125" style="352" customWidth="1"/>
    <col min="10516" max="10516" width="11.42578125" style="352" customWidth="1"/>
    <col min="10517" max="10746" width="9.140625" style="352"/>
    <col min="10747" max="10747" width="9.42578125" style="352" customWidth="1"/>
    <col min="10748" max="10748" width="31.42578125" style="352" customWidth="1"/>
    <col min="10749" max="10754" width="0" style="352" hidden="1" customWidth="1"/>
    <col min="10755" max="10755" width="8.7109375" style="352" customWidth="1"/>
    <col min="10756" max="10756" width="8.140625" style="352" customWidth="1"/>
    <col min="10757" max="10757" width="14.42578125" style="352" customWidth="1"/>
    <col min="10758" max="10758" width="13.28515625" style="352" customWidth="1"/>
    <col min="10759" max="10759" width="9.7109375" style="352" customWidth="1"/>
    <col min="10760" max="10760" width="13.5703125" style="352" customWidth="1"/>
    <col min="10761" max="10761" width="10.5703125" style="352" customWidth="1"/>
    <col min="10762" max="10762" width="11.28515625" style="352" customWidth="1"/>
    <col min="10763" max="10763" width="8.7109375" style="352" customWidth="1"/>
    <col min="10764" max="10764" width="9" style="352" customWidth="1"/>
    <col min="10765" max="10765" width="6.7109375" style="352" customWidth="1"/>
    <col min="10766" max="10766" width="11.42578125" style="352" customWidth="1"/>
    <col min="10767" max="10767" width="12.28515625" style="352" customWidth="1"/>
    <col min="10768" max="10768" width="11.28515625" style="352" customWidth="1"/>
    <col min="10769" max="10769" width="12.42578125" style="352" customWidth="1"/>
    <col min="10770" max="10770" width="13" style="352" customWidth="1"/>
    <col min="10771" max="10771" width="9.5703125" style="352" customWidth="1"/>
    <col min="10772" max="10772" width="11.42578125" style="352" customWidth="1"/>
    <col min="10773" max="11002" width="9.140625" style="352"/>
    <col min="11003" max="11003" width="9.42578125" style="352" customWidth="1"/>
    <col min="11004" max="11004" width="31.42578125" style="352" customWidth="1"/>
    <col min="11005" max="11010" width="0" style="352" hidden="1" customWidth="1"/>
    <col min="11011" max="11011" width="8.7109375" style="352" customWidth="1"/>
    <col min="11012" max="11012" width="8.140625" style="352" customWidth="1"/>
    <col min="11013" max="11013" width="14.42578125" style="352" customWidth="1"/>
    <col min="11014" max="11014" width="13.28515625" style="352" customWidth="1"/>
    <col min="11015" max="11015" width="9.7109375" style="352" customWidth="1"/>
    <col min="11016" max="11016" width="13.5703125" style="352" customWidth="1"/>
    <col min="11017" max="11017" width="10.5703125" style="352" customWidth="1"/>
    <col min="11018" max="11018" width="11.28515625" style="352" customWidth="1"/>
    <col min="11019" max="11019" width="8.7109375" style="352" customWidth="1"/>
    <col min="11020" max="11020" width="9" style="352" customWidth="1"/>
    <col min="11021" max="11021" width="6.7109375" style="352" customWidth="1"/>
    <col min="11022" max="11022" width="11.42578125" style="352" customWidth="1"/>
    <col min="11023" max="11023" width="12.28515625" style="352" customWidth="1"/>
    <col min="11024" max="11024" width="11.28515625" style="352" customWidth="1"/>
    <col min="11025" max="11025" width="12.42578125" style="352" customWidth="1"/>
    <col min="11026" max="11026" width="13" style="352" customWidth="1"/>
    <col min="11027" max="11027" width="9.5703125" style="352" customWidth="1"/>
    <col min="11028" max="11028" width="11.42578125" style="352" customWidth="1"/>
    <col min="11029" max="11258" width="9.140625" style="352"/>
    <col min="11259" max="11259" width="9.42578125" style="352" customWidth="1"/>
    <col min="11260" max="11260" width="31.42578125" style="352" customWidth="1"/>
    <col min="11261" max="11266" width="0" style="352" hidden="1" customWidth="1"/>
    <col min="11267" max="11267" width="8.7109375" style="352" customWidth="1"/>
    <col min="11268" max="11268" width="8.140625" style="352" customWidth="1"/>
    <col min="11269" max="11269" width="14.42578125" style="352" customWidth="1"/>
    <col min="11270" max="11270" width="13.28515625" style="352" customWidth="1"/>
    <col min="11271" max="11271" width="9.7109375" style="352" customWidth="1"/>
    <col min="11272" max="11272" width="13.5703125" style="352" customWidth="1"/>
    <col min="11273" max="11273" width="10.5703125" style="352" customWidth="1"/>
    <col min="11274" max="11274" width="11.28515625" style="352" customWidth="1"/>
    <col min="11275" max="11275" width="8.7109375" style="352" customWidth="1"/>
    <col min="11276" max="11276" width="9" style="352" customWidth="1"/>
    <col min="11277" max="11277" width="6.7109375" style="352" customWidth="1"/>
    <col min="11278" max="11278" width="11.42578125" style="352" customWidth="1"/>
    <col min="11279" max="11279" width="12.28515625" style="352" customWidth="1"/>
    <col min="11280" max="11280" width="11.28515625" style="352" customWidth="1"/>
    <col min="11281" max="11281" width="12.42578125" style="352" customWidth="1"/>
    <col min="11282" max="11282" width="13" style="352" customWidth="1"/>
    <col min="11283" max="11283" width="9.5703125" style="352" customWidth="1"/>
    <col min="11284" max="11284" width="11.42578125" style="352" customWidth="1"/>
    <col min="11285" max="11514" width="9.140625" style="352"/>
    <col min="11515" max="11515" width="9.42578125" style="352" customWidth="1"/>
    <col min="11516" max="11516" width="31.42578125" style="352" customWidth="1"/>
    <col min="11517" max="11522" width="0" style="352" hidden="1" customWidth="1"/>
    <col min="11523" max="11523" width="8.7109375" style="352" customWidth="1"/>
    <col min="11524" max="11524" width="8.140625" style="352" customWidth="1"/>
    <col min="11525" max="11525" width="14.42578125" style="352" customWidth="1"/>
    <col min="11526" max="11526" width="13.28515625" style="352" customWidth="1"/>
    <col min="11527" max="11527" width="9.7109375" style="352" customWidth="1"/>
    <col min="11528" max="11528" width="13.5703125" style="352" customWidth="1"/>
    <col min="11529" max="11529" width="10.5703125" style="352" customWidth="1"/>
    <col min="11530" max="11530" width="11.28515625" style="352" customWidth="1"/>
    <col min="11531" max="11531" width="8.7109375" style="352" customWidth="1"/>
    <col min="11532" max="11532" width="9" style="352" customWidth="1"/>
    <col min="11533" max="11533" width="6.7109375" style="352" customWidth="1"/>
    <col min="11534" max="11534" width="11.42578125" style="352" customWidth="1"/>
    <col min="11535" max="11535" width="12.28515625" style="352" customWidth="1"/>
    <col min="11536" max="11536" width="11.28515625" style="352" customWidth="1"/>
    <col min="11537" max="11537" width="12.42578125" style="352" customWidth="1"/>
    <col min="11538" max="11538" width="13" style="352" customWidth="1"/>
    <col min="11539" max="11539" width="9.5703125" style="352" customWidth="1"/>
    <col min="11540" max="11540" width="11.42578125" style="352" customWidth="1"/>
    <col min="11541" max="11770" width="9.140625" style="352"/>
    <col min="11771" max="11771" width="9.42578125" style="352" customWidth="1"/>
    <col min="11772" max="11772" width="31.42578125" style="352" customWidth="1"/>
    <col min="11773" max="11778" width="0" style="352" hidden="1" customWidth="1"/>
    <col min="11779" max="11779" width="8.7109375" style="352" customWidth="1"/>
    <col min="11780" max="11780" width="8.140625" style="352" customWidth="1"/>
    <col min="11781" max="11781" width="14.42578125" style="352" customWidth="1"/>
    <col min="11782" max="11782" width="13.28515625" style="352" customWidth="1"/>
    <col min="11783" max="11783" width="9.7109375" style="352" customWidth="1"/>
    <col min="11784" max="11784" width="13.5703125" style="352" customWidth="1"/>
    <col min="11785" max="11785" width="10.5703125" style="352" customWidth="1"/>
    <col min="11786" max="11786" width="11.28515625" style="352" customWidth="1"/>
    <col min="11787" max="11787" width="8.7109375" style="352" customWidth="1"/>
    <col min="11788" max="11788" width="9" style="352" customWidth="1"/>
    <col min="11789" max="11789" width="6.7109375" style="352" customWidth="1"/>
    <col min="11790" max="11790" width="11.42578125" style="352" customWidth="1"/>
    <col min="11791" max="11791" width="12.28515625" style="352" customWidth="1"/>
    <col min="11792" max="11792" width="11.28515625" style="352" customWidth="1"/>
    <col min="11793" max="11793" width="12.42578125" style="352" customWidth="1"/>
    <col min="11794" max="11794" width="13" style="352" customWidth="1"/>
    <col min="11795" max="11795" width="9.5703125" style="352" customWidth="1"/>
    <col min="11796" max="11796" width="11.42578125" style="352" customWidth="1"/>
    <col min="11797" max="12026" width="9.140625" style="352"/>
    <col min="12027" max="12027" width="9.42578125" style="352" customWidth="1"/>
    <col min="12028" max="12028" width="31.42578125" style="352" customWidth="1"/>
    <col min="12029" max="12034" width="0" style="352" hidden="1" customWidth="1"/>
    <col min="12035" max="12035" width="8.7109375" style="352" customWidth="1"/>
    <col min="12036" max="12036" width="8.140625" style="352" customWidth="1"/>
    <col min="12037" max="12037" width="14.42578125" style="352" customWidth="1"/>
    <col min="12038" max="12038" width="13.28515625" style="352" customWidth="1"/>
    <col min="12039" max="12039" width="9.7109375" style="352" customWidth="1"/>
    <col min="12040" max="12040" width="13.5703125" style="352" customWidth="1"/>
    <col min="12041" max="12041" width="10.5703125" style="352" customWidth="1"/>
    <col min="12042" max="12042" width="11.28515625" style="352" customWidth="1"/>
    <col min="12043" max="12043" width="8.7109375" style="352" customWidth="1"/>
    <col min="12044" max="12044" width="9" style="352" customWidth="1"/>
    <col min="12045" max="12045" width="6.7109375" style="352" customWidth="1"/>
    <col min="12046" max="12046" width="11.42578125" style="352" customWidth="1"/>
    <col min="12047" max="12047" width="12.28515625" style="352" customWidth="1"/>
    <col min="12048" max="12048" width="11.28515625" style="352" customWidth="1"/>
    <col min="12049" max="12049" width="12.42578125" style="352" customWidth="1"/>
    <col min="12050" max="12050" width="13" style="352" customWidth="1"/>
    <col min="12051" max="12051" width="9.5703125" style="352" customWidth="1"/>
    <col min="12052" max="12052" width="11.42578125" style="352" customWidth="1"/>
    <col min="12053" max="12282" width="9.140625" style="352"/>
    <col min="12283" max="12283" width="9.42578125" style="352" customWidth="1"/>
    <col min="12284" max="12284" width="31.42578125" style="352" customWidth="1"/>
    <col min="12285" max="12290" width="0" style="352" hidden="1" customWidth="1"/>
    <col min="12291" max="12291" width="8.7109375" style="352" customWidth="1"/>
    <col min="12292" max="12292" width="8.140625" style="352" customWidth="1"/>
    <col min="12293" max="12293" width="14.42578125" style="352" customWidth="1"/>
    <col min="12294" max="12294" width="13.28515625" style="352" customWidth="1"/>
    <col min="12295" max="12295" width="9.7109375" style="352" customWidth="1"/>
    <col min="12296" max="12296" width="13.5703125" style="352" customWidth="1"/>
    <col min="12297" max="12297" width="10.5703125" style="352" customWidth="1"/>
    <col min="12298" max="12298" width="11.28515625" style="352" customWidth="1"/>
    <col min="12299" max="12299" width="8.7109375" style="352" customWidth="1"/>
    <col min="12300" max="12300" width="9" style="352" customWidth="1"/>
    <col min="12301" max="12301" width="6.7109375" style="352" customWidth="1"/>
    <col min="12302" max="12302" width="11.42578125" style="352" customWidth="1"/>
    <col min="12303" max="12303" width="12.28515625" style="352" customWidth="1"/>
    <col min="12304" max="12304" width="11.28515625" style="352" customWidth="1"/>
    <col min="12305" max="12305" width="12.42578125" style="352" customWidth="1"/>
    <col min="12306" max="12306" width="13" style="352" customWidth="1"/>
    <col min="12307" max="12307" width="9.5703125" style="352" customWidth="1"/>
    <col min="12308" max="12308" width="11.42578125" style="352" customWidth="1"/>
    <col min="12309" max="12538" width="9.140625" style="352"/>
    <col min="12539" max="12539" width="9.42578125" style="352" customWidth="1"/>
    <col min="12540" max="12540" width="31.42578125" style="352" customWidth="1"/>
    <col min="12541" max="12546" width="0" style="352" hidden="1" customWidth="1"/>
    <col min="12547" max="12547" width="8.7109375" style="352" customWidth="1"/>
    <col min="12548" max="12548" width="8.140625" style="352" customWidth="1"/>
    <col min="12549" max="12549" width="14.42578125" style="352" customWidth="1"/>
    <col min="12550" max="12550" width="13.28515625" style="352" customWidth="1"/>
    <col min="12551" max="12551" width="9.7109375" style="352" customWidth="1"/>
    <col min="12552" max="12552" width="13.5703125" style="352" customWidth="1"/>
    <col min="12553" max="12553" width="10.5703125" style="352" customWidth="1"/>
    <col min="12554" max="12554" width="11.28515625" style="352" customWidth="1"/>
    <col min="12555" max="12555" width="8.7109375" style="352" customWidth="1"/>
    <col min="12556" max="12556" width="9" style="352" customWidth="1"/>
    <col min="12557" max="12557" width="6.7109375" style="352" customWidth="1"/>
    <col min="12558" max="12558" width="11.42578125" style="352" customWidth="1"/>
    <col min="12559" max="12559" width="12.28515625" style="352" customWidth="1"/>
    <col min="12560" max="12560" width="11.28515625" style="352" customWidth="1"/>
    <col min="12561" max="12561" width="12.42578125" style="352" customWidth="1"/>
    <col min="12562" max="12562" width="13" style="352" customWidth="1"/>
    <col min="12563" max="12563" width="9.5703125" style="352" customWidth="1"/>
    <col min="12564" max="12564" width="11.42578125" style="352" customWidth="1"/>
    <col min="12565" max="12794" width="9.140625" style="352"/>
    <col min="12795" max="12795" width="9.42578125" style="352" customWidth="1"/>
    <col min="12796" max="12796" width="31.42578125" style="352" customWidth="1"/>
    <col min="12797" max="12802" width="0" style="352" hidden="1" customWidth="1"/>
    <col min="12803" max="12803" width="8.7109375" style="352" customWidth="1"/>
    <col min="12804" max="12804" width="8.140625" style="352" customWidth="1"/>
    <col min="12805" max="12805" width="14.42578125" style="352" customWidth="1"/>
    <col min="12806" max="12806" width="13.28515625" style="352" customWidth="1"/>
    <col min="12807" max="12807" width="9.7109375" style="352" customWidth="1"/>
    <col min="12808" max="12808" width="13.5703125" style="352" customWidth="1"/>
    <col min="12809" max="12809" width="10.5703125" style="352" customWidth="1"/>
    <col min="12810" max="12810" width="11.28515625" style="352" customWidth="1"/>
    <col min="12811" max="12811" width="8.7109375" style="352" customWidth="1"/>
    <col min="12812" max="12812" width="9" style="352" customWidth="1"/>
    <col min="12813" max="12813" width="6.7109375" style="352" customWidth="1"/>
    <col min="12814" max="12814" width="11.42578125" style="352" customWidth="1"/>
    <col min="12815" max="12815" width="12.28515625" style="352" customWidth="1"/>
    <col min="12816" max="12816" width="11.28515625" style="352" customWidth="1"/>
    <col min="12817" max="12817" width="12.42578125" style="352" customWidth="1"/>
    <col min="12818" max="12818" width="13" style="352" customWidth="1"/>
    <col min="12819" max="12819" width="9.5703125" style="352" customWidth="1"/>
    <col min="12820" max="12820" width="11.42578125" style="352" customWidth="1"/>
    <col min="12821" max="13050" width="9.140625" style="352"/>
    <col min="13051" max="13051" width="9.42578125" style="352" customWidth="1"/>
    <col min="13052" max="13052" width="31.42578125" style="352" customWidth="1"/>
    <col min="13053" max="13058" width="0" style="352" hidden="1" customWidth="1"/>
    <col min="13059" max="13059" width="8.7109375" style="352" customWidth="1"/>
    <col min="13060" max="13060" width="8.140625" style="352" customWidth="1"/>
    <col min="13061" max="13061" width="14.42578125" style="352" customWidth="1"/>
    <col min="13062" max="13062" width="13.28515625" style="352" customWidth="1"/>
    <col min="13063" max="13063" width="9.7109375" style="352" customWidth="1"/>
    <col min="13064" max="13064" width="13.5703125" style="352" customWidth="1"/>
    <col min="13065" max="13065" width="10.5703125" style="352" customWidth="1"/>
    <col min="13066" max="13066" width="11.28515625" style="352" customWidth="1"/>
    <col min="13067" max="13067" width="8.7109375" style="352" customWidth="1"/>
    <col min="13068" max="13068" width="9" style="352" customWidth="1"/>
    <col min="13069" max="13069" width="6.7109375" style="352" customWidth="1"/>
    <col min="13070" max="13070" width="11.42578125" style="352" customWidth="1"/>
    <col min="13071" max="13071" width="12.28515625" style="352" customWidth="1"/>
    <col min="13072" max="13072" width="11.28515625" style="352" customWidth="1"/>
    <col min="13073" max="13073" width="12.42578125" style="352" customWidth="1"/>
    <col min="13074" max="13074" width="13" style="352" customWidth="1"/>
    <col min="13075" max="13075" width="9.5703125" style="352" customWidth="1"/>
    <col min="13076" max="13076" width="11.42578125" style="352" customWidth="1"/>
    <col min="13077" max="13306" width="9.140625" style="352"/>
    <col min="13307" max="13307" width="9.42578125" style="352" customWidth="1"/>
    <col min="13308" max="13308" width="31.42578125" style="352" customWidth="1"/>
    <col min="13309" max="13314" width="0" style="352" hidden="1" customWidth="1"/>
    <col min="13315" max="13315" width="8.7109375" style="352" customWidth="1"/>
    <col min="13316" max="13316" width="8.140625" style="352" customWidth="1"/>
    <col min="13317" max="13317" width="14.42578125" style="352" customWidth="1"/>
    <col min="13318" max="13318" width="13.28515625" style="352" customWidth="1"/>
    <col min="13319" max="13319" width="9.7109375" style="352" customWidth="1"/>
    <col min="13320" max="13320" width="13.5703125" style="352" customWidth="1"/>
    <col min="13321" max="13321" width="10.5703125" style="352" customWidth="1"/>
    <col min="13322" max="13322" width="11.28515625" style="352" customWidth="1"/>
    <col min="13323" max="13323" width="8.7109375" style="352" customWidth="1"/>
    <col min="13324" max="13324" width="9" style="352" customWidth="1"/>
    <col min="13325" max="13325" width="6.7109375" style="352" customWidth="1"/>
    <col min="13326" max="13326" width="11.42578125" style="352" customWidth="1"/>
    <col min="13327" max="13327" width="12.28515625" style="352" customWidth="1"/>
    <col min="13328" max="13328" width="11.28515625" style="352" customWidth="1"/>
    <col min="13329" max="13329" width="12.42578125" style="352" customWidth="1"/>
    <col min="13330" max="13330" width="13" style="352" customWidth="1"/>
    <col min="13331" max="13331" width="9.5703125" style="352" customWidth="1"/>
    <col min="13332" max="13332" width="11.42578125" style="352" customWidth="1"/>
    <col min="13333" max="13562" width="9.140625" style="352"/>
    <col min="13563" max="13563" width="9.42578125" style="352" customWidth="1"/>
    <col min="13564" max="13564" width="31.42578125" style="352" customWidth="1"/>
    <col min="13565" max="13570" width="0" style="352" hidden="1" customWidth="1"/>
    <col min="13571" max="13571" width="8.7109375" style="352" customWidth="1"/>
    <col min="13572" max="13572" width="8.140625" style="352" customWidth="1"/>
    <col min="13573" max="13573" width="14.42578125" style="352" customWidth="1"/>
    <col min="13574" max="13574" width="13.28515625" style="352" customWidth="1"/>
    <col min="13575" max="13575" width="9.7109375" style="352" customWidth="1"/>
    <col min="13576" max="13576" width="13.5703125" style="352" customWidth="1"/>
    <col min="13577" max="13577" width="10.5703125" style="352" customWidth="1"/>
    <col min="13578" max="13578" width="11.28515625" style="352" customWidth="1"/>
    <col min="13579" max="13579" width="8.7109375" style="352" customWidth="1"/>
    <col min="13580" max="13580" width="9" style="352" customWidth="1"/>
    <col min="13581" max="13581" width="6.7109375" style="352" customWidth="1"/>
    <col min="13582" max="13582" width="11.42578125" style="352" customWidth="1"/>
    <col min="13583" max="13583" width="12.28515625" style="352" customWidth="1"/>
    <col min="13584" max="13584" width="11.28515625" style="352" customWidth="1"/>
    <col min="13585" max="13585" width="12.42578125" style="352" customWidth="1"/>
    <col min="13586" max="13586" width="13" style="352" customWidth="1"/>
    <col min="13587" max="13587" width="9.5703125" style="352" customWidth="1"/>
    <col min="13588" max="13588" width="11.42578125" style="352" customWidth="1"/>
    <col min="13589" max="13818" width="9.140625" style="352"/>
    <col min="13819" max="13819" width="9.42578125" style="352" customWidth="1"/>
    <col min="13820" max="13820" width="31.42578125" style="352" customWidth="1"/>
    <col min="13821" max="13826" width="0" style="352" hidden="1" customWidth="1"/>
    <col min="13827" max="13827" width="8.7109375" style="352" customWidth="1"/>
    <col min="13828" max="13828" width="8.140625" style="352" customWidth="1"/>
    <col min="13829" max="13829" width="14.42578125" style="352" customWidth="1"/>
    <col min="13830" max="13830" width="13.28515625" style="352" customWidth="1"/>
    <col min="13831" max="13831" width="9.7109375" style="352" customWidth="1"/>
    <col min="13832" max="13832" width="13.5703125" style="352" customWidth="1"/>
    <col min="13833" max="13833" width="10.5703125" style="352" customWidth="1"/>
    <col min="13834" max="13834" width="11.28515625" style="352" customWidth="1"/>
    <col min="13835" max="13835" width="8.7109375" style="352" customWidth="1"/>
    <col min="13836" max="13836" width="9" style="352" customWidth="1"/>
    <col min="13837" max="13837" width="6.7109375" style="352" customWidth="1"/>
    <col min="13838" max="13838" width="11.42578125" style="352" customWidth="1"/>
    <col min="13839" max="13839" width="12.28515625" style="352" customWidth="1"/>
    <col min="13840" max="13840" width="11.28515625" style="352" customWidth="1"/>
    <col min="13841" max="13841" width="12.42578125" style="352" customWidth="1"/>
    <col min="13842" max="13842" width="13" style="352" customWidth="1"/>
    <col min="13843" max="13843" width="9.5703125" style="352" customWidth="1"/>
    <col min="13844" max="13844" width="11.42578125" style="352" customWidth="1"/>
    <col min="13845" max="14074" width="9.140625" style="352"/>
    <col min="14075" max="14075" width="9.42578125" style="352" customWidth="1"/>
    <col min="14076" max="14076" width="31.42578125" style="352" customWidth="1"/>
    <col min="14077" max="14082" width="0" style="352" hidden="1" customWidth="1"/>
    <col min="14083" max="14083" width="8.7109375" style="352" customWidth="1"/>
    <col min="14084" max="14084" width="8.140625" style="352" customWidth="1"/>
    <col min="14085" max="14085" width="14.42578125" style="352" customWidth="1"/>
    <col min="14086" max="14086" width="13.28515625" style="352" customWidth="1"/>
    <col min="14087" max="14087" width="9.7109375" style="352" customWidth="1"/>
    <col min="14088" max="14088" width="13.5703125" style="352" customWidth="1"/>
    <col min="14089" max="14089" width="10.5703125" style="352" customWidth="1"/>
    <col min="14090" max="14090" width="11.28515625" style="352" customWidth="1"/>
    <col min="14091" max="14091" width="8.7109375" style="352" customWidth="1"/>
    <col min="14092" max="14092" width="9" style="352" customWidth="1"/>
    <col min="14093" max="14093" width="6.7109375" style="352" customWidth="1"/>
    <col min="14094" max="14094" width="11.42578125" style="352" customWidth="1"/>
    <col min="14095" max="14095" width="12.28515625" style="352" customWidth="1"/>
    <col min="14096" max="14096" width="11.28515625" style="352" customWidth="1"/>
    <col min="14097" max="14097" width="12.42578125" style="352" customWidth="1"/>
    <col min="14098" max="14098" width="13" style="352" customWidth="1"/>
    <col min="14099" max="14099" width="9.5703125" style="352" customWidth="1"/>
    <col min="14100" max="14100" width="11.42578125" style="352" customWidth="1"/>
    <col min="14101" max="14330" width="9.140625" style="352"/>
    <col min="14331" max="14331" width="9.42578125" style="352" customWidth="1"/>
    <col min="14332" max="14332" width="31.42578125" style="352" customWidth="1"/>
    <col min="14333" max="14338" width="0" style="352" hidden="1" customWidth="1"/>
    <col min="14339" max="14339" width="8.7109375" style="352" customWidth="1"/>
    <col min="14340" max="14340" width="8.140625" style="352" customWidth="1"/>
    <col min="14341" max="14341" width="14.42578125" style="352" customWidth="1"/>
    <col min="14342" max="14342" width="13.28515625" style="352" customWidth="1"/>
    <col min="14343" max="14343" width="9.7109375" style="352" customWidth="1"/>
    <col min="14344" max="14344" width="13.5703125" style="352" customWidth="1"/>
    <col min="14345" max="14345" width="10.5703125" style="352" customWidth="1"/>
    <col min="14346" max="14346" width="11.28515625" style="352" customWidth="1"/>
    <col min="14347" max="14347" width="8.7109375" style="352" customWidth="1"/>
    <col min="14348" max="14348" width="9" style="352" customWidth="1"/>
    <col min="14349" max="14349" width="6.7109375" style="352" customWidth="1"/>
    <col min="14350" max="14350" width="11.42578125" style="352" customWidth="1"/>
    <col min="14351" max="14351" width="12.28515625" style="352" customWidth="1"/>
    <col min="14352" max="14352" width="11.28515625" style="352" customWidth="1"/>
    <col min="14353" max="14353" width="12.42578125" style="352" customWidth="1"/>
    <col min="14354" max="14354" width="13" style="352" customWidth="1"/>
    <col min="14355" max="14355" width="9.5703125" style="352" customWidth="1"/>
    <col min="14356" max="14356" width="11.42578125" style="352" customWidth="1"/>
    <col min="14357" max="14586" width="9.140625" style="352"/>
    <col min="14587" max="14587" width="9.42578125" style="352" customWidth="1"/>
    <col min="14588" max="14588" width="31.42578125" style="352" customWidth="1"/>
    <col min="14589" max="14594" width="0" style="352" hidden="1" customWidth="1"/>
    <col min="14595" max="14595" width="8.7109375" style="352" customWidth="1"/>
    <col min="14596" max="14596" width="8.140625" style="352" customWidth="1"/>
    <col min="14597" max="14597" width="14.42578125" style="352" customWidth="1"/>
    <col min="14598" max="14598" width="13.28515625" style="352" customWidth="1"/>
    <col min="14599" max="14599" width="9.7109375" style="352" customWidth="1"/>
    <col min="14600" max="14600" width="13.5703125" style="352" customWidth="1"/>
    <col min="14601" max="14601" width="10.5703125" style="352" customWidth="1"/>
    <col min="14602" max="14602" width="11.28515625" style="352" customWidth="1"/>
    <col min="14603" max="14603" width="8.7109375" style="352" customWidth="1"/>
    <col min="14604" max="14604" width="9" style="352" customWidth="1"/>
    <col min="14605" max="14605" width="6.7109375" style="352" customWidth="1"/>
    <col min="14606" max="14606" width="11.42578125" style="352" customWidth="1"/>
    <col min="14607" max="14607" width="12.28515625" style="352" customWidth="1"/>
    <col min="14608" max="14608" width="11.28515625" style="352" customWidth="1"/>
    <col min="14609" max="14609" width="12.42578125" style="352" customWidth="1"/>
    <col min="14610" max="14610" width="13" style="352" customWidth="1"/>
    <col min="14611" max="14611" width="9.5703125" style="352" customWidth="1"/>
    <col min="14612" max="14612" width="11.42578125" style="352" customWidth="1"/>
    <col min="14613" max="14842" width="9.140625" style="352"/>
    <col min="14843" max="14843" width="9.42578125" style="352" customWidth="1"/>
    <col min="14844" max="14844" width="31.42578125" style="352" customWidth="1"/>
    <col min="14845" max="14850" width="0" style="352" hidden="1" customWidth="1"/>
    <col min="14851" max="14851" width="8.7109375" style="352" customWidth="1"/>
    <col min="14852" max="14852" width="8.140625" style="352" customWidth="1"/>
    <col min="14853" max="14853" width="14.42578125" style="352" customWidth="1"/>
    <col min="14854" max="14854" width="13.28515625" style="352" customWidth="1"/>
    <col min="14855" max="14855" width="9.7109375" style="352" customWidth="1"/>
    <col min="14856" max="14856" width="13.5703125" style="352" customWidth="1"/>
    <col min="14857" max="14857" width="10.5703125" style="352" customWidth="1"/>
    <col min="14858" max="14858" width="11.28515625" style="352" customWidth="1"/>
    <col min="14859" max="14859" width="8.7109375" style="352" customWidth="1"/>
    <col min="14860" max="14860" width="9" style="352" customWidth="1"/>
    <col min="14861" max="14861" width="6.7109375" style="352" customWidth="1"/>
    <col min="14862" max="14862" width="11.42578125" style="352" customWidth="1"/>
    <col min="14863" max="14863" width="12.28515625" style="352" customWidth="1"/>
    <col min="14864" max="14864" width="11.28515625" style="352" customWidth="1"/>
    <col min="14865" max="14865" width="12.42578125" style="352" customWidth="1"/>
    <col min="14866" max="14866" width="13" style="352" customWidth="1"/>
    <col min="14867" max="14867" width="9.5703125" style="352" customWidth="1"/>
    <col min="14868" max="14868" width="11.42578125" style="352" customWidth="1"/>
    <col min="14869" max="15098" width="9.140625" style="352"/>
    <col min="15099" max="15099" width="9.42578125" style="352" customWidth="1"/>
    <col min="15100" max="15100" width="31.42578125" style="352" customWidth="1"/>
    <col min="15101" max="15106" width="0" style="352" hidden="1" customWidth="1"/>
    <col min="15107" max="15107" width="8.7109375" style="352" customWidth="1"/>
    <col min="15108" max="15108" width="8.140625" style="352" customWidth="1"/>
    <col min="15109" max="15109" width="14.42578125" style="352" customWidth="1"/>
    <col min="15110" max="15110" width="13.28515625" style="352" customWidth="1"/>
    <col min="15111" max="15111" width="9.7109375" style="352" customWidth="1"/>
    <col min="15112" max="15112" width="13.5703125" style="352" customWidth="1"/>
    <col min="15113" max="15113" width="10.5703125" style="352" customWidth="1"/>
    <col min="15114" max="15114" width="11.28515625" style="352" customWidth="1"/>
    <col min="15115" max="15115" width="8.7109375" style="352" customWidth="1"/>
    <col min="15116" max="15116" width="9" style="352" customWidth="1"/>
    <col min="15117" max="15117" width="6.7109375" style="352" customWidth="1"/>
    <col min="15118" max="15118" width="11.42578125" style="352" customWidth="1"/>
    <col min="15119" max="15119" width="12.28515625" style="352" customWidth="1"/>
    <col min="15120" max="15120" width="11.28515625" style="352" customWidth="1"/>
    <col min="15121" max="15121" width="12.42578125" style="352" customWidth="1"/>
    <col min="15122" max="15122" width="13" style="352" customWidth="1"/>
    <col min="15123" max="15123" width="9.5703125" style="352" customWidth="1"/>
    <col min="15124" max="15124" width="11.42578125" style="352" customWidth="1"/>
    <col min="15125" max="15354" width="9.140625" style="352"/>
    <col min="15355" max="15355" width="9.42578125" style="352" customWidth="1"/>
    <col min="15356" max="15356" width="31.42578125" style="352" customWidth="1"/>
    <col min="15357" max="15362" width="0" style="352" hidden="1" customWidth="1"/>
    <col min="15363" max="15363" width="8.7109375" style="352" customWidth="1"/>
    <col min="15364" max="15364" width="8.140625" style="352" customWidth="1"/>
    <col min="15365" max="15365" width="14.42578125" style="352" customWidth="1"/>
    <col min="15366" max="15366" width="13.28515625" style="352" customWidth="1"/>
    <col min="15367" max="15367" width="9.7109375" style="352" customWidth="1"/>
    <col min="15368" max="15368" width="13.5703125" style="352" customWidth="1"/>
    <col min="15369" max="15369" width="10.5703125" style="352" customWidth="1"/>
    <col min="15370" max="15370" width="11.28515625" style="352" customWidth="1"/>
    <col min="15371" max="15371" width="8.7109375" style="352" customWidth="1"/>
    <col min="15372" max="15372" width="9" style="352" customWidth="1"/>
    <col min="15373" max="15373" width="6.7109375" style="352" customWidth="1"/>
    <col min="15374" max="15374" width="11.42578125" style="352" customWidth="1"/>
    <col min="15375" max="15375" width="12.28515625" style="352" customWidth="1"/>
    <col min="15376" max="15376" width="11.28515625" style="352" customWidth="1"/>
    <col min="15377" max="15377" width="12.42578125" style="352" customWidth="1"/>
    <col min="15378" max="15378" width="13" style="352" customWidth="1"/>
    <col min="15379" max="15379" width="9.5703125" style="352" customWidth="1"/>
    <col min="15380" max="15380" width="11.42578125" style="352" customWidth="1"/>
    <col min="15381" max="15610" width="9.140625" style="352"/>
    <col min="15611" max="15611" width="9.42578125" style="352" customWidth="1"/>
    <col min="15612" max="15612" width="31.42578125" style="352" customWidth="1"/>
    <col min="15613" max="15618" width="0" style="352" hidden="1" customWidth="1"/>
    <col min="15619" max="15619" width="8.7109375" style="352" customWidth="1"/>
    <col min="15620" max="15620" width="8.140625" style="352" customWidth="1"/>
    <col min="15621" max="15621" width="14.42578125" style="352" customWidth="1"/>
    <col min="15622" max="15622" width="13.28515625" style="352" customWidth="1"/>
    <col min="15623" max="15623" width="9.7109375" style="352" customWidth="1"/>
    <col min="15624" max="15624" width="13.5703125" style="352" customWidth="1"/>
    <col min="15625" max="15625" width="10.5703125" style="352" customWidth="1"/>
    <col min="15626" max="15626" width="11.28515625" style="352" customWidth="1"/>
    <col min="15627" max="15627" width="8.7109375" style="352" customWidth="1"/>
    <col min="15628" max="15628" width="9" style="352" customWidth="1"/>
    <col min="15629" max="15629" width="6.7109375" style="352" customWidth="1"/>
    <col min="15630" max="15630" width="11.42578125" style="352" customWidth="1"/>
    <col min="15631" max="15631" width="12.28515625" style="352" customWidth="1"/>
    <col min="15632" max="15632" width="11.28515625" style="352" customWidth="1"/>
    <col min="15633" max="15633" width="12.42578125" style="352" customWidth="1"/>
    <col min="15634" max="15634" width="13" style="352" customWidth="1"/>
    <col min="15635" max="15635" width="9.5703125" style="352" customWidth="1"/>
    <col min="15636" max="15636" width="11.42578125" style="352" customWidth="1"/>
    <col min="15637" max="15866" width="9.140625" style="352"/>
    <col min="15867" max="15867" width="9.42578125" style="352" customWidth="1"/>
    <col min="15868" max="15868" width="31.42578125" style="352" customWidth="1"/>
    <col min="15869" max="15874" width="0" style="352" hidden="1" customWidth="1"/>
    <col min="15875" max="15875" width="8.7109375" style="352" customWidth="1"/>
    <col min="15876" max="15876" width="8.140625" style="352" customWidth="1"/>
    <col min="15877" max="15877" width="14.42578125" style="352" customWidth="1"/>
    <col min="15878" max="15878" width="13.28515625" style="352" customWidth="1"/>
    <col min="15879" max="15879" width="9.7109375" style="352" customWidth="1"/>
    <col min="15880" max="15880" width="13.5703125" style="352" customWidth="1"/>
    <col min="15881" max="15881" width="10.5703125" style="352" customWidth="1"/>
    <col min="15882" max="15882" width="11.28515625" style="352" customWidth="1"/>
    <col min="15883" max="15883" width="8.7109375" style="352" customWidth="1"/>
    <col min="15884" max="15884" width="9" style="352" customWidth="1"/>
    <col min="15885" max="15885" width="6.7109375" style="352" customWidth="1"/>
    <col min="15886" max="15886" width="11.42578125" style="352" customWidth="1"/>
    <col min="15887" max="15887" width="12.28515625" style="352" customWidth="1"/>
    <col min="15888" max="15888" width="11.28515625" style="352" customWidth="1"/>
    <col min="15889" max="15889" width="12.42578125" style="352" customWidth="1"/>
    <col min="15890" max="15890" width="13" style="352" customWidth="1"/>
    <col min="15891" max="15891" width="9.5703125" style="352" customWidth="1"/>
    <col min="15892" max="15892" width="11.42578125" style="352" customWidth="1"/>
    <col min="15893" max="16122" width="9.140625" style="352"/>
    <col min="16123" max="16123" width="9.42578125" style="352" customWidth="1"/>
    <col min="16124" max="16124" width="31.42578125" style="352" customWidth="1"/>
    <col min="16125" max="16130" width="0" style="352" hidden="1" customWidth="1"/>
    <col min="16131" max="16131" width="8.7109375" style="352" customWidth="1"/>
    <col min="16132" max="16132" width="8.140625" style="352" customWidth="1"/>
    <col min="16133" max="16133" width="14.42578125" style="352" customWidth="1"/>
    <col min="16134" max="16134" width="13.28515625" style="352" customWidth="1"/>
    <col min="16135" max="16135" width="9.7109375" style="352" customWidth="1"/>
    <col min="16136" max="16136" width="13.5703125" style="352" customWidth="1"/>
    <col min="16137" max="16137" width="10.5703125" style="352" customWidth="1"/>
    <col min="16138" max="16138" width="11.28515625" style="352" customWidth="1"/>
    <col min="16139" max="16139" width="8.7109375" style="352" customWidth="1"/>
    <col min="16140" max="16140" width="9" style="352" customWidth="1"/>
    <col min="16141" max="16141" width="6.7109375" style="352" customWidth="1"/>
    <col min="16142" max="16142" width="11.42578125" style="352" customWidth="1"/>
    <col min="16143" max="16143" width="12.28515625" style="352" customWidth="1"/>
    <col min="16144" max="16144" width="11.28515625" style="352" customWidth="1"/>
    <col min="16145" max="16145" width="12.42578125" style="352" customWidth="1"/>
    <col min="16146" max="16146" width="13" style="352" customWidth="1"/>
    <col min="16147" max="16147" width="9.5703125" style="352" customWidth="1"/>
    <col min="16148" max="16148" width="11.42578125" style="352" customWidth="1"/>
    <col min="16149" max="16384" width="9.140625" style="352"/>
  </cols>
  <sheetData>
    <row r="1" spans="1:21" s="325" customFormat="1" ht="60" customHeight="1" thickBot="1" x14ac:dyDescent="0.25">
      <c r="A1" s="779" t="s">
        <v>1796</v>
      </c>
      <c r="B1" s="779"/>
      <c r="C1" s="779"/>
      <c r="D1" s="779"/>
      <c r="E1" s="779"/>
      <c r="F1" s="779"/>
      <c r="G1" s="779"/>
      <c r="H1" s="779"/>
      <c r="I1" s="779"/>
      <c r="J1" s="779"/>
      <c r="K1" s="779"/>
      <c r="L1" s="779"/>
      <c r="M1" s="779"/>
      <c r="N1" s="779"/>
      <c r="O1" s="779"/>
      <c r="P1" s="779"/>
      <c r="Q1" s="779"/>
      <c r="R1" s="779"/>
      <c r="S1" s="696"/>
      <c r="T1" s="696"/>
    </row>
    <row r="2" spans="1:21" s="325" customFormat="1" ht="17.25" customHeight="1" thickBot="1" x14ac:dyDescent="0.25">
      <c r="A2" s="781" t="s">
        <v>392</v>
      </c>
      <c r="B2" s="783" t="s">
        <v>1289</v>
      </c>
      <c r="C2" s="783" t="s">
        <v>0</v>
      </c>
      <c r="D2" s="783" t="s">
        <v>507</v>
      </c>
      <c r="E2" s="783" t="s">
        <v>1290</v>
      </c>
      <c r="F2" s="783" t="s">
        <v>1508</v>
      </c>
      <c r="G2" s="785" t="s">
        <v>1291</v>
      </c>
      <c r="H2" s="790" t="s">
        <v>1737</v>
      </c>
      <c r="I2" s="790"/>
      <c r="J2" s="791"/>
      <c r="K2" s="791"/>
      <c r="L2" s="791"/>
      <c r="M2" s="791"/>
      <c r="N2" s="791"/>
      <c r="O2" s="791"/>
      <c r="P2" s="791"/>
      <c r="Q2" s="793"/>
      <c r="R2" s="792"/>
      <c r="S2" s="774" t="s">
        <v>1715</v>
      </c>
      <c r="T2" s="774" t="s">
        <v>1714</v>
      </c>
      <c r="U2" s="326" t="s">
        <v>894</v>
      </c>
    </row>
    <row r="3" spans="1:21" s="325" customFormat="1" ht="17.25" customHeight="1" x14ac:dyDescent="0.2">
      <c r="A3" s="782"/>
      <c r="B3" s="784"/>
      <c r="C3" s="784"/>
      <c r="D3" s="784"/>
      <c r="E3" s="784"/>
      <c r="F3" s="784"/>
      <c r="G3" s="786"/>
      <c r="H3" s="627" t="s">
        <v>1292</v>
      </c>
      <c r="I3" s="697" t="s">
        <v>1736</v>
      </c>
      <c r="J3" s="628" t="s">
        <v>1293</v>
      </c>
      <c r="K3" s="628" t="s">
        <v>1736</v>
      </c>
      <c r="L3" s="628" t="s">
        <v>1294</v>
      </c>
      <c r="M3" s="628" t="s">
        <v>1736</v>
      </c>
      <c r="N3" s="628" t="s">
        <v>1295</v>
      </c>
      <c r="O3" s="628" t="s">
        <v>1736</v>
      </c>
      <c r="P3" s="628" t="s">
        <v>1296</v>
      </c>
      <c r="Q3" s="700" t="s">
        <v>1736</v>
      </c>
      <c r="R3" s="629" t="s">
        <v>1297</v>
      </c>
      <c r="S3" s="775"/>
      <c r="T3" s="775"/>
      <c r="U3" s="469"/>
    </row>
    <row r="4" spans="1:21" s="325" customFormat="1" ht="17.25" customHeight="1" x14ac:dyDescent="0.2">
      <c r="A4" s="782"/>
      <c r="B4" s="784"/>
      <c r="C4" s="784"/>
      <c r="D4" s="784"/>
      <c r="E4" s="784"/>
      <c r="F4" s="784"/>
      <c r="G4" s="786"/>
      <c r="H4" s="633" t="s">
        <v>1298</v>
      </c>
      <c r="I4" s="698"/>
      <c r="J4" s="634" t="s">
        <v>1298</v>
      </c>
      <c r="K4" s="634"/>
      <c r="L4" s="634" t="s">
        <v>1298</v>
      </c>
      <c r="M4" s="634"/>
      <c r="N4" s="634" t="s">
        <v>1298</v>
      </c>
      <c r="O4" s="634"/>
      <c r="P4" s="634" t="s">
        <v>1298</v>
      </c>
      <c r="Q4" s="701"/>
      <c r="R4" s="635" t="s">
        <v>1299</v>
      </c>
      <c r="S4" s="775"/>
      <c r="T4" s="775"/>
      <c r="U4" s="469"/>
    </row>
    <row r="5" spans="1:21" s="325" customFormat="1" ht="11.25" customHeight="1" x14ac:dyDescent="0.2">
      <c r="A5" s="328" t="s">
        <v>378</v>
      </c>
      <c r="B5" s="329" t="s">
        <v>1300</v>
      </c>
      <c r="C5" s="329" t="s">
        <v>5</v>
      </c>
      <c r="D5" s="329" t="s">
        <v>6</v>
      </c>
      <c r="E5" s="329" t="s">
        <v>4</v>
      </c>
      <c r="F5" s="330" t="s">
        <v>464</v>
      </c>
      <c r="G5" s="344"/>
      <c r="H5" s="726"/>
      <c r="I5" s="699"/>
      <c r="J5" s="338"/>
      <c r="K5" s="338"/>
      <c r="L5" s="338">
        <v>60</v>
      </c>
      <c r="M5" s="338"/>
      <c r="N5" s="338"/>
      <c r="O5" s="338"/>
      <c r="P5" s="338"/>
      <c r="Q5" s="702"/>
      <c r="R5" s="642"/>
      <c r="S5" s="346"/>
      <c r="T5" s="346"/>
      <c r="U5" s="469"/>
    </row>
    <row r="6" spans="1:21" s="325" customFormat="1" ht="11.25" customHeight="1" x14ac:dyDescent="0.2">
      <c r="A6" s="328" t="s">
        <v>378</v>
      </c>
      <c r="B6" s="329" t="s">
        <v>424</v>
      </c>
      <c r="C6" s="329" t="s">
        <v>5</v>
      </c>
      <c r="D6" s="329" t="s">
        <v>465</v>
      </c>
      <c r="E6" s="329" t="s">
        <v>375</v>
      </c>
      <c r="F6" s="330" t="s">
        <v>464</v>
      </c>
      <c r="G6" s="465"/>
      <c r="H6" s="639"/>
      <c r="I6" s="699"/>
      <c r="J6" s="338"/>
      <c r="K6" s="338"/>
      <c r="L6" s="338"/>
      <c r="M6" s="338"/>
      <c r="N6" s="338"/>
      <c r="O6" s="338"/>
      <c r="P6" s="338"/>
      <c r="Q6" s="702"/>
      <c r="R6" s="642"/>
      <c r="S6" s="346"/>
      <c r="T6" s="346"/>
      <c r="U6" s="469"/>
    </row>
    <row r="7" spans="1:21" s="325" customFormat="1" ht="11.25" customHeight="1" x14ac:dyDescent="0.2">
      <c r="A7" s="328" t="s">
        <v>378</v>
      </c>
      <c r="B7" s="329" t="s">
        <v>424</v>
      </c>
      <c r="C7" s="329" t="s">
        <v>5</v>
      </c>
      <c r="D7" s="329" t="s">
        <v>14</v>
      </c>
      <c r="E7" s="329" t="s">
        <v>13</v>
      </c>
      <c r="F7" s="330" t="s">
        <v>464</v>
      </c>
      <c r="G7" s="465" t="s">
        <v>1265</v>
      </c>
      <c r="H7" s="639"/>
      <c r="I7" s="699"/>
      <c r="J7" s="338"/>
      <c r="K7" s="338"/>
      <c r="L7" s="338"/>
      <c r="M7" s="338"/>
      <c r="N7" s="338"/>
      <c r="O7" s="338"/>
      <c r="P7" s="338"/>
      <c r="Q7" s="702"/>
      <c r="R7" s="642"/>
      <c r="S7" s="346"/>
      <c r="T7" s="346"/>
      <c r="U7" s="469" t="s">
        <v>1302</v>
      </c>
    </row>
    <row r="8" spans="1:21" s="325" customFormat="1" ht="11.25" customHeight="1" x14ac:dyDescent="0.2">
      <c r="A8" s="328" t="s">
        <v>378</v>
      </c>
      <c r="B8" s="329" t="s">
        <v>462</v>
      </c>
      <c r="C8" s="329" t="s">
        <v>5</v>
      </c>
      <c r="D8" s="339" t="s">
        <v>1303</v>
      </c>
      <c r="E8" s="339" t="s">
        <v>17</v>
      </c>
      <c r="F8" s="330" t="s">
        <v>464</v>
      </c>
      <c r="G8" s="345"/>
      <c r="H8" s="639">
        <v>5</v>
      </c>
      <c r="I8" s="699">
        <v>5</v>
      </c>
      <c r="J8" s="338">
        <v>5</v>
      </c>
      <c r="K8" s="338">
        <v>5</v>
      </c>
      <c r="L8" s="338">
        <v>5</v>
      </c>
      <c r="M8" s="338">
        <v>5</v>
      </c>
      <c r="N8" s="338">
        <v>56</v>
      </c>
      <c r="O8" s="338">
        <v>56</v>
      </c>
      <c r="P8" s="338">
        <v>0</v>
      </c>
      <c r="Q8" s="702"/>
      <c r="R8" s="642" t="s">
        <v>1598</v>
      </c>
      <c r="S8" s="346"/>
      <c r="T8" s="346"/>
      <c r="U8" s="469" t="s">
        <v>1573</v>
      </c>
    </row>
    <row r="9" spans="1:21" s="325" customFormat="1" ht="11.25" customHeight="1" x14ac:dyDescent="0.2">
      <c r="A9" s="328" t="s">
        <v>378</v>
      </c>
      <c r="B9" s="329" t="s">
        <v>462</v>
      </c>
      <c r="C9" s="329" t="s">
        <v>5</v>
      </c>
      <c r="D9" s="329" t="s">
        <v>8</v>
      </c>
      <c r="E9" s="329" t="s">
        <v>7</v>
      </c>
      <c r="F9" s="330" t="s">
        <v>464</v>
      </c>
      <c r="G9" s="465"/>
      <c r="H9" s="639">
        <v>0</v>
      </c>
      <c r="I9" s="699"/>
      <c r="J9" s="338">
        <v>5</v>
      </c>
      <c r="K9" s="338">
        <v>5</v>
      </c>
      <c r="L9" s="338"/>
      <c r="M9" s="338"/>
      <c r="N9" s="338">
        <v>14</v>
      </c>
      <c r="O9" s="338">
        <v>14</v>
      </c>
      <c r="P9" s="338">
        <v>0</v>
      </c>
      <c r="Q9" s="702"/>
      <c r="R9" s="642" t="s">
        <v>1598</v>
      </c>
      <c r="S9" s="346"/>
      <c r="T9" s="346"/>
      <c r="U9" s="469"/>
    </row>
    <row r="10" spans="1:21" s="325" customFormat="1" ht="11.25" customHeight="1" x14ac:dyDescent="0.2">
      <c r="A10" s="328" t="s">
        <v>378</v>
      </c>
      <c r="B10" s="329" t="s">
        <v>1300</v>
      </c>
      <c r="C10" s="329" t="s">
        <v>5</v>
      </c>
      <c r="D10" s="329" t="s">
        <v>20</v>
      </c>
      <c r="E10" s="329" t="s">
        <v>19</v>
      </c>
      <c r="F10" s="330" t="s">
        <v>464</v>
      </c>
      <c r="G10" s="465"/>
      <c r="H10" s="639"/>
      <c r="I10" s="699"/>
      <c r="J10" s="338"/>
      <c r="K10" s="338"/>
      <c r="L10" s="338"/>
      <c r="M10" s="338"/>
      <c r="N10" s="338"/>
      <c r="O10" s="338"/>
      <c r="P10" s="338"/>
      <c r="Q10" s="702"/>
      <c r="R10" s="642"/>
      <c r="S10" s="346"/>
      <c r="T10" s="346"/>
      <c r="U10" s="469"/>
    </row>
    <row r="11" spans="1:21" s="325" customFormat="1" ht="10.9" customHeight="1" x14ac:dyDescent="0.2">
      <c r="A11" s="328" t="s">
        <v>378</v>
      </c>
      <c r="B11" s="329" t="s">
        <v>424</v>
      </c>
      <c r="C11" s="329" t="s">
        <v>5</v>
      </c>
      <c r="D11" s="329" t="s">
        <v>364</v>
      </c>
      <c r="E11" s="329" t="s">
        <v>374</v>
      </c>
      <c r="F11" s="330" t="s">
        <v>464</v>
      </c>
      <c r="G11" s="465" t="s">
        <v>1304</v>
      </c>
      <c r="H11" s="639">
        <v>30</v>
      </c>
      <c r="I11" s="699">
        <v>30</v>
      </c>
      <c r="J11" s="338">
        <v>30</v>
      </c>
      <c r="K11" s="338">
        <v>30</v>
      </c>
      <c r="L11" s="338">
        <v>30</v>
      </c>
      <c r="M11" s="338">
        <v>18</v>
      </c>
      <c r="N11" s="338"/>
      <c r="O11" s="338"/>
      <c r="P11" s="338"/>
      <c r="Q11" s="702"/>
      <c r="R11" s="642" t="s">
        <v>1574</v>
      </c>
      <c r="S11" s="346"/>
      <c r="T11" s="346"/>
      <c r="U11" s="469" t="s">
        <v>1302</v>
      </c>
    </row>
    <row r="12" spans="1:21" s="325" customFormat="1" ht="11.25" customHeight="1" x14ac:dyDescent="0.2">
      <c r="A12" s="328" t="s">
        <v>378</v>
      </c>
      <c r="B12" s="329" t="s">
        <v>424</v>
      </c>
      <c r="C12" s="329" t="s">
        <v>5</v>
      </c>
      <c r="D12" s="329" t="s">
        <v>22</v>
      </c>
      <c r="E12" s="329" t="s">
        <v>21</v>
      </c>
      <c r="F12" s="330" t="s">
        <v>464</v>
      </c>
      <c r="G12" s="465" t="s">
        <v>1265</v>
      </c>
      <c r="H12" s="639">
        <v>85</v>
      </c>
      <c r="I12" s="699">
        <v>80</v>
      </c>
      <c r="J12" s="338">
        <v>85</v>
      </c>
      <c r="K12" s="338">
        <v>80</v>
      </c>
      <c r="L12" s="338">
        <v>21</v>
      </c>
      <c r="M12" s="338">
        <v>21</v>
      </c>
      <c r="N12" s="338"/>
      <c r="O12" s="338"/>
      <c r="P12" s="338"/>
      <c r="Q12" s="702"/>
      <c r="R12" s="642" t="s">
        <v>778</v>
      </c>
      <c r="S12" s="346"/>
      <c r="T12" s="346"/>
      <c r="U12" s="469"/>
    </row>
    <row r="13" spans="1:21" s="325" customFormat="1" ht="11.25" customHeight="1" x14ac:dyDescent="0.2">
      <c r="A13" s="328" t="s">
        <v>378</v>
      </c>
      <c r="B13" s="329" t="s">
        <v>462</v>
      </c>
      <c r="C13" s="329" t="s">
        <v>5</v>
      </c>
      <c r="D13" s="329" t="s">
        <v>26</v>
      </c>
      <c r="E13" s="329" t="s">
        <v>25</v>
      </c>
      <c r="F13" s="330" t="s">
        <v>464</v>
      </c>
      <c r="G13" s="465"/>
      <c r="H13" s="639">
        <v>0</v>
      </c>
      <c r="I13" s="699"/>
      <c r="J13" s="338">
        <v>0</v>
      </c>
      <c r="K13" s="338"/>
      <c r="L13" s="338">
        <v>0</v>
      </c>
      <c r="M13" s="338"/>
      <c r="N13" s="338">
        <v>0</v>
      </c>
      <c r="O13" s="338"/>
      <c r="P13" s="338">
        <v>0</v>
      </c>
      <c r="Q13" s="702"/>
      <c r="R13" s="642"/>
      <c r="S13" s="346"/>
      <c r="T13" s="346"/>
      <c r="U13" s="469"/>
    </row>
    <row r="14" spans="1:21" s="325" customFormat="1" ht="11.25" customHeight="1" x14ac:dyDescent="0.2">
      <c r="A14" s="331" t="s">
        <v>3</v>
      </c>
      <c r="B14" s="332"/>
      <c r="C14" s="332"/>
      <c r="D14" s="333"/>
      <c r="E14" s="334"/>
      <c r="F14" s="335"/>
      <c r="G14" s="472"/>
      <c r="H14" s="336">
        <f>SUM(H5:H13)</f>
        <v>120</v>
      </c>
      <c r="I14" s="336">
        <f t="shared" ref="I14:Q14" si="0">SUM(I5:I13)</f>
        <v>115</v>
      </c>
      <c r="J14" s="336">
        <f t="shared" si="0"/>
        <v>125</v>
      </c>
      <c r="K14" s="336">
        <f t="shared" si="0"/>
        <v>120</v>
      </c>
      <c r="L14" s="336">
        <f t="shared" si="0"/>
        <v>116</v>
      </c>
      <c r="M14" s="336">
        <f t="shared" si="0"/>
        <v>44</v>
      </c>
      <c r="N14" s="336">
        <f t="shared" si="0"/>
        <v>70</v>
      </c>
      <c r="O14" s="336">
        <f t="shared" si="0"/>
        <v>70</v>
      </c>
      <c r="P14" s="336">
        <f t="shared" si="0"/>
        <v>0</v>
      </c>
      <c r="Q14" s="336">
        <f t="shared" si="0"/>
        <v>0</v>
      </c>
      <c r="R14" s="336">
        <f>SUM(R5:R13)</f>
        <v>0</v>
      </c>
      <c r="S14" s="336">
        <f>SUM(S5:S13)</f>
        <v>0</v>
      </c>
      <c r="T14" s="336">
        <f>SUM(T5:T13)</f>
        <v>0</v>
      </c>
      <c r="U14" s="469"/>
    </row>
    <row r="15" spans="1:21" s="325" customFormat="1" ht="11.25" customHeight="1" x14ac:dyDescent="0.2">
      <c r="A15" s="328" t="s">
        <v>378</v>
      </c>
      <c r="B15" s="329" t="s">
        <v>462</v>
      </c>
      <c r="C15" s="329" t="s">
        <v>27</v>
      </c>
      <c r="D15" s="329" t="s">
        <v>28</v>
      </c>
      <c r="E15" s="329" t="s">
        <v>30</v>
      </c>
      <c r="F15" s="330" t="s">
        <v>464</v>
      </c>
      <c r="G15" s="344"/>
      <c r="H15" s="639">
        <v>50</v>
      </c>
      <c r="I15" s="699"/>
      <c r="J15" s="338">
        <v>50</v>
      </c>
      <c r="K15" s="338"/>
      <c r="L15" s="338">
        <v>18</v>
      </c>
      <c r="M15" s="338">
        <v>18</v>
      </c>
      <c r="N15" s="338">
        <v>20</v>
      </c>
      <c r="O15" s="338">
        <v>20</v>
      </c>
      <c r="P15" s="338"/>
      <c r="Q15" s="702"/>
      <c r="R15" s="642" t="s">
        <v>1598</v>
      </c>
      <c r="S15" s="346"/>
      <c r="T15" s="346"/>
      <c r="U15" s="469"/>
    </row>
    <row r="16" spans="1:21" s="325" customFormat="1" ht="11.25" customHeight="1" x14ac:dyDescent="0.2">
      <c r="A16" s="328" t="s">
        <v>378</v>
      </c>
      <c r="B16" s="329" t="s">
        <v>462</v>
      </c>
      <c r="C16" s="329" t="s">
        <v>27</v>
      </c>
      <c r="D16" s="329" t="s">
        <v>363</v>
      </c>
      <c r="E16" s="329" t="s">
        <v>376</v>
      </c>
      <c r="F16" s="330" t="s">
        <v>464</v>
      </c>
      <c r="G16" s="465"/>
      <c r="H16" s="639">
        <v>20</v>
      </c>
      <c r="I16" s="699"/>
      <c r="J16" s="338">
        <v>20</v>
      </c>
      <c r="K16" s="338"/>
      <c r="L16" s="338">
        <v>8</v>
      </c>
      <c r="M16" s="338">
        <v>8</v>
      </c>
      <c r="N16" s="338">
        <v>35</v>
      </c>
      <c r="O16" s="338">
        <v>35</v>
      </c>
      <c r="P16" s="338"/>
      <c r="Q16" s="702"/>
      <c r="R16" s="642" t="s">
        <v>1598</v>
      </c>
      <c r="S16" s="346"/>
      <c r="T16" s="346"/>
      <c r="U16" s="469"/>
    </row>
    <row r="17" spans="1:21" s="325" customFormat="1" ht="11.25" customHeight="1" x14ac:dyDescent="0.2">
      <c r="A17" s="328" t="s">
        <v>378</v>
      </c>
      <c r="B17" s="329" t="s">
        <v>1305</v>
      </c>
      <c r="C17" s="329" t="s">
        <v>27</v>
      </c>
      <c r="D17" s="329" t="s">
        <v>790</v>
      </c>
      <c r="E17" s="329" t="s">
        <v>789</v>
      </c>
      <c r="F17" s="330" t="s">
        <v>464</v>
      </c>
      <c r="G17" s="344"/>
      <c r="H17" s="639"/>
      <c r="I17" s="699"/>
      <c r="J17" s="338"/>
      <c r="K17" s="338"/>
      <c r="L17" s="338"/>
      <c r="M17" s="338"/>
      <c r="N17" s="338"/>
      <c r="O17" s="338"/>
      <c r="P17" s="338"/>
      <c r="Q17" s="702"/>
      <c r="R17" s="642"/>
      <c r="S17" s="346"/>
      <c r="T17" s="346"/>
      <c r="U17" s="469"/>
    </row>
    <row r="18" spans="1:21" s="325" customFormat="1" ht="11.25" customHeight="1" x14ac:dyDescent="0.2">
      <c r="A18" s="328" t="s">
        <v>378</v>
      </c>
      <c r="B18" s="329" t="s">
        <v>424</v>
      </c>
      <c r="C18" s="329" t="s">
        <v>27</v>
      </c>
      <c r="D18" s="329" t="s">
        <v>362</v>
      </c>
      <c r="E18" s="329" t="s">
        <v>29</v>
      </c>
      <c r="F18" s="330" t="s">
        <v>466</v>
      </c>
      <c r="G18" s="344" t="s">
        <v>1265</v>
      </c>
      <c r="H18" s="639"/>
      <c r="I18" s="699"/>
      <c r="J18" s="338"/>
      <c r="K18" s="338"/>
      <c r="L18" s="338"/>
      <c r="M18" s="338"/>
      <c r="N18" s="338"/>
      <c r="O18" s="338"/>
      <c r="P18" s="338"/>
      <c r="Q18" s="702"/>
      <c r="R18" s="642"/>
      <c r="S18" s="346"/>
      <c r="T18" s="346"/>
      <c r="U18" s="469"/>
    </row>
    <row r="19" spans="1:21" s="325" customFormat="1" ht="11.25" customHeight="1" x14ac:dyDescent="0.2">
      <c r="A19" s="328" t="s">
        <v>378</v>
      </c>
      <c r="B19" s="329" t="s">
        <v>1305</v>
      </c>
      <c r="C19" s="329" t="s">
        <v>27</v>
      </c>
      <c r="D19" s="329" t="s">
        <v>874</v>
      </c>
      <c r="E19" s="329" t="s">
        <v>875</v>
      </c>
      <c r="F19" s="330" t="s">
        <v>464</v>
      </c>
      <c r="G19" s="463"/>
      <c r="H19" s="639"/>
      <c r="I19" s="699"/>
      <c r="J19" s="338"/>
      <c r="K19" s="338"/>
      <c r="L19" s="338"/>
      <c r="M19" s="338"/>
      <c r="N19" s="338"/>
      <c r="O19" s="338"/>
      <c r="P19" s="338"/>
      <c r="Q19" s="702"/>
      <c r="R19" s="642"/>
      <c r="S19" s="346"/>
      <c r="T19" s="346"/>
      <c r="U19" s="469"/>
    </row>
    <row r="20" spans="1:21" s="325" customFormat="1" ht="11.25" customHeight="1" x14ac:dyDescent="0.2">
      <c r="A20" s="331" t="s">
        <v>3</v>
      </c>
      <c r="B20" s="332"/>
      <c r="C20" s="332"/>
      <c r="D20" s="333"/>
      <c r="E20" s="334"/>
      <c r="F20" s="335"/>
      <c r="G20" s="472"/>
      <c r="H20" s="336">
        <f>SUM(H15:H19)</f>
        <v>70</v>
      </c>
      <c r="I20" s="336">
        <f t="shared" ref="I20:Q20" si="1">SUM(I15:I19)</f>
        <v>0</v>
      </c>
      <c r="J20" s="336">
        <f t="shared" si="1"/>
        <v>70</v>
      </c>
      <c r="K20" s="336">
        <f t="shared" si="1"/>
        <v>0</v>
      </c>
      <c r="L20" s="336">
        <f t="shared" si="1"/>
        <v>26</v>
      </c>
      <c r="M20" s="336">
        <f t="shared" si="1"/>
        <v>26</v>
      </c>
      <c r="N20" s="336">
        <f t="shared" si="1"/>
        <v>55</v>
      </c>
      <c r="O20" s="336">
        <f t="shared" si="1"/>
        <v>55</v>
      </c>
      <c r="P20" s="336">
        <f t="shared" si="1"/>
        <v>0</v>
      </c>
      <c r="Q20" s="336">
        <f t="shared" si="1"/>
        <v>0</v>
      </c>
      <c r="R20" s="336">
        <f t="shared" ref="R20:T20" si="2">SUM(R15:R19)</f>
        <v>0</v>
      </c>
      <c r="S20" s="336">
        <f t="shared" si="2"/>
        <v>0</v>
      </c>
      <c r="T20" s="336">
        <f t="shared" si="2"/>
        <v>0</v>
      </c>
      <c r="U20" s="469"/>
    </row>
    <row r="21" spans="1:21" s="325" customFormat="1" ht="11.25" customHeight="1" x14ac:dyDescent="0.2">
      <c r="A21" s="328" t="s">
        <v>378</v>
      </c>
      <c r="B21" s="329" t="s">
        <v>424</v>
      </c>
      <c r="C21" s="329" t="s">
        <v>480</v>
      </c>
      <c r="D21" s="338" t="s">
        <v>1276</v>
      </c>
      <c r="E21" s="329" t="s">
        <v>1267</v>
      </c>
      <c r="F21" s="330" t="s">
        <v>464</v>
      </c>
      <c r="G21" s="344" t="s">
        <v>1304</v>
      </c>
      <c r="H21" s="639"/>
      <c r="I21" s="699"/>
      <c r="J21" s="338"/>
      <c r="K21" s="338"/>
      <c r="L21" s="338"/>
      <c r="M21" s="338"/>
      <c r="N21" s="338"/>
      <c r="O21" s="338"/>
      <c r="P21" s="338"/>
      <c r="Q21" s="702"/>
      <c r="R21" s="642"/>
      <c r="S21" s="346"/>
      <c r="T21" s="346"/>
      <c r="U21" s="469"/>
    </row>
    <row r="22" spans="1:21" s="325" customFormat="1" ht="11.25" customHeight="1" x14ac:dyDescent="0.2">
      <c r="A22" s="328" t="s">
        <v>378</v>
      </c>
      <c r="B22" s="329" t="s">
        <v>462</v>
      </c>
      <c r="C22" s="329" t="s">
        <v>480</v>
      </c>
      <c r="D22" s="338" t="s">
        <v>41</v>
      </c>
      <c r="E22" s="329" t="s">
        <v>40</v>
      </c>
      <c r="F22" s="330" t="s">
        <v>464</v>
      </c>
      <c r="G22" s="465"/>
      <c r="H22" s="639"/>
      <c r="I22" s="699"/>
      <c r="J22" s="338"/>
      <c r="K22" s="338"/>
      <c r="L22" s="338">
        <v>10</v>
      </c>
      <c r="M22" s="338">
        <v>10</v>
      </c>
      <c r="N22" s="338">
        <v>15</v>
      </c>
      <c r="O22" s="338">
        <v>15</v>
      </c>
      <c r="P22" s="338"/>
      <c r="Q22" s="702"/>
      <c r="R22" s="642" t="s">
        <v>1598</v>
      </c>
      <c r="S22" s="346"/>
      <c r="T22" s="346"/>
      <c r="U22" s="469"/>
    </row>
    <row r="23" spans="1:21" s="325" customFormat="1" ht="11.25" customHeight="1" x14ac:dyDescent="0.2">
      <c r="A23" s="328" t="s">
        <v>378</v>
      </c>
      <c r="B23" s="329" t="s">
        <v>462</v>
      </c>
      <c r="C23" s="329" t="s">
        <v>480</v>
      </c>
      <c r="D23" s="338" t="s">
        <v>72</v>
      </c>
      <c r="E23" s="329" t="s">
        <v>71</v>
      </c>
      <c r="F23" s="330" t="s">
        <v>464</v>
      </c>
      <c r="G23" s="344"/>
      <c r="H23" s="639"/>
      <c r="I23" s="699"/>
      <c r="J23" s="338"/>
      <c r="K23" s="338"/>
      <c r="L23" s="338"/>
      <c r="M23" s="338"/>
      <c r="N23" s="338">
        <v>2</v>
      </c>
      <c r="O23" s="338">
        <v>2</v>
      </c>
      <c r="P23" s="338"/>
      <c r="Q23" s="702"/>
      <c r="R23" s="642" t="s">
        <v>1598</v>
      </c>
      <c r="S23" s="346"/>
      <c r="T23" s="346"/>
      <c r="U23" s="469"/>
    </row>
    <row r="24" spans="1:21" s="325" customFormat="1" ht="11.25" customHeight="1" x14ac:dyDescent="0.2">
      <c r="A24" s="328" t="s">
        <v>378</v>
      </c>
      <c r="B24" s="329" t="s">
        <v>462</v>
      </c>
      <c r="C24" s="329" t="s">
        <v>480</v>
      </c>
      <c r="D24" s="338" t="s">
        <v>43</v>
      </c>
      <c r="E24" s="329" t="s">
        <v>42</v>
      </c>
      <c r="F24" s="330" t="s">
        <v>464</v>
      </c>
      <c r="G24" s="465"/>
      <c r="H24" s="639"/>
      <c r="I24" s="699"/>
      <c r="J24" s="338"/>
      <c r="K24" s="338"/>
      <c r="L24" s="338"/>
      <c r="M24" s="338"/>
      <c r="N24" s="338">
        <v>5</v>
      </c>
      <c r="O24" s="338">
        <v>5</v>
      </c>
      <c r="P24" s="338"/>
      <c r="Q24" s="702"/>
      <c r="R24" s="642" t="s">
        <v>1598</v>
      </c>
      <c r="S24" s="346"/>
      <c r="T24" s="346"/>
      <c r="U24" s="469"/>
    </row>
    <row r="25" spans="1:21" s="325" customFormat="1" ht="11.25" customHeight="1" x14ac:dyDescent="0.2">
      <c r="A25" s="328" t="s">
        <v>378</v>
      </c>
      <c r="B25" s="329" t="s">
        <v>462</v>
      </c>
      <c r="C25" s="339" t="s">
        <v>480</v>
      </c>
      <c r="D25" s="521" t="s">
        <v>1306</v>
      </c>
      <c r="E25" s="339" t="s">
        <v>75</v>
      </c>
      <c r="F25" s="343" t="s">
        <v>464</v>
      </c>
      <c r="G25" s="345"/>
      <c r="H25" s="639">
        <v>5</v>
      </c>
      <c r="I25" s="699">
        <v>5</v>
      </c>
      <c r="J25" s="338"/>
      <c r="K25" s="338"/>
      <c r="L25" s="338">
        <v>10</v>
      </c>
      <c r="M25" s="338"/>
      <c r="N25" s="338">
        <v>20</v>
      </c>
      <c r="O25" s="338">
        <v>10</v>
      </c>
      <c r="P25" s="338"/>
      <c r="Q25" s="702"/>
      <c r="R25" s="642" t="s">
        <v>1598</v>
      </c>
      <c r="S25" s="346"/>
      <c r="T25" s="346"/>
      <c r="U25" s="469"/>
    </row>
    <row r="26" spans="1:21" s="325" customFormat="1" ht="11.25" customHeight="1" x14ac:dyDescent="0.2">
      <c r="A26" s="328" t="s">
        <v>378</v>
      </c>
      <c r="B26" s="329" t="s">
        <v>462</v>
      </c>
      <c r="C26" s="329" t="s">
        <v>480</v>
      </c>
      <c r="D26" s="338" t="s">
        <v>44</v>
      </c>
      <c r="E26" s="329" t="s">
        <v>45</v>
      </c>
      <c r="F26" s="330" t="s">
        <v>464</v>
      </c>
      <c r="G26" s="465"/>
      <c r="H26" s="639"/>
      <c r="I26" s="699"/>
      <c r="J26" s="338"/>
      <c r="K26" s="338"/>
      <c r="L26" s="338"/>
      <c r="M26" s="338"/>
      <c r="N26" s="338"/>
      <c r="O26" s="338"/>
      <c r="P26" s="338"/>
      <c r="Q26" s="702"/>
      <c r="R26" s="642"/>
      <c r="S26" s="346"/>
      <c r="T26" s="346"/>
      <c r="U26" s="469"/>
    </row>
    <row r="27" spans="1:21" s="325" customFormat="1" ht="11.25" customHeight="1" x14ac:dyDescent="0.2">
      <c r="A27" s="328" t="s">
        <v>378</v>
      </c>
      <c r="B27" s="329" t="s">
        <v>424</v>
      </c>
      <c r="C27" s="329" t="s">
        <v>480</v>
      </c>
      <c r="D27" s="338" t="s">
        <v>52</v>
      </c>
      <c r="E27" s="338" t="s">
        <v>51</v>
      </c>
      <c r="F27" s="330" t="s">
        <v>464</v>
      </c>
      <c r="G27" s="465" t="s">
        <v>1304</v>
      </c>
      <c r="H27" s="639">
        <v>0</v>
      </c>
      <c r="I27" s="699"/>
      <c r="J27" s="338">
        <v>0</v>
      </c>
      <c r="K27" s="338"/>
      <c r="L27" s="338">
        <v>0</v>
      </c>
      <c r="M27" s="338"/>
      <c r="N27" s="338">
        <v>0</v>
      </c>
      <c r="O27" s="338"/>
      <c r="P27" s="338">
        <v>0</v>
      </c>
      <c r="Q27" s="702"/>
      <c r="R27" s="642"/>
      <c r="S27" s="346"/>
      <c r="T27" s="346"/>
      <c r="U27" s="469"/>
    </row>
    <row r="28" spans="1:21" s="325" customFormat="1" ht="11.25" customHeight="1" x14ac:dyDescent="0.2">
      <c r="A28" s="328" t="s">
        <v>378</v>
      </c>
      <c r="B28" s="329" t="s">
        <v>462</v>
      </c>
      <c r="C28" s="329" t="s">
        <v>480</v>
      </c>
      <c r="D28" s="338" t="s">
        <v>1307</v>
      </c>
      <c r="E28" s="329" t="s">
        <v>89</v>
      </c>
      <c r="F28" s="330" t="s">
        <v>464</v>
      </c>
      <c r="G28" s="465"/>
      <c r="H28" s="639"/>
      <c r="I28" s="699"/>
      <c r="J28" s="338"/>
      <c r="K28" s="338"/>
      <c r="L28" s="338">
        <v>5</v>
      </c>
      <c r="M28" s="338">
        <v>5</v>
      </c>
      <c r="N28" s="338">
        <v>5</v>
      </c>
      <c r="O28" s="338">
        <v>5</v>
      </c>
      <c r="P28" s="338"/>
      <c r="Q28" s="702"/>
      <c r="R28" s="642" t="s">
        <v>1598</v>
      </c>
      <c r="S28" s="346"/>
      <c r="T28" s="346"/>
      <c r="U28" s="469"/>
    </row>
    <row r="29" spans="1:21" s="325" customFormat="1" ht="11.25" customHeight="1" x14ac:dyDescent="0.2">
      <c r="A29" s="328" t="s">
        <v>378</v>
      </c>
      <c r="B29" s="329" t="s">
        <v>462</v>
      </c>
      <c r="C29" s="329" t="s">
        <v>480</v>
      </c>
      <c r="D29" s="338" t="s">
        <v>92</v>
      </c>
      <c r="E29" s="329" t="s">
        <v>91</v>
      </c>
      <c r="F29" s="330" t="s">
        <v>464</v>
      </c>
      <c r="G29" s="344"/>
      <c r="H29" s="639"/>
      <c r="I29" s="699"/>
      <c r="J29" s="338"/>
      <c r="K29" s="338"/>
      <c r="L29" s="338"/>
      <c r="M29" s="338"/>
      <c r="N29" s="338"/>
      <c r="O29" s="338"/>
      <c r="P29" s="338"/>
      <c r="Q29" s="702"/>
      <c r="R29" s="642"/>
      <c r="S29" s="346"/>
      <c r="T29" s="346"/>
      <c r="U29" s="469"/>
    </row>
    <row r="30" spans="1:21" s="325" customFormat="1" ht="11.25" customHeight="1" x14ac:dyDescent="0.2">
      <c r="A30" s="328" t="s">
        <v>378</v>
      </c>
      <c r="B30" s="329" t="s">
        <v>462</v>
      </c>
      <c r="C30" s="329" t="s">
        <v>480</v>
      </c>
      <c r="D30" s="338" t="s">
        <v>100</v>
      </c>
      <c r="E30" s="329" t="s">
        <v>99</v>
      </c>
      <c r="F30" s="330" t="s">
        <v>464</v>
      </c>
      <c r="G30" s="465"/>
      <c r="H30" s="639"/>
      <c r="I30" s="699"/>
      <c r="J30" s="338"/>
      <c r="K30" s="338"/>
      <c r="L30" s="338"/>
      <c r="M30" s="338"/>
      <c r="N30" s="338"/>
      <c r="O30" s="338"/>
      <c r="P30" s="338"/>
      <c r="Q30" s="702"/>
      <c r="R30" s="642"/>
      <c r="S30" s="346"/>
      <c r="T30" s="346"/>
      <c r="U30" s="469"/>
    </row>
    <row r="31" spans="1:21" s="325" customFormat="1" ht="11.25" customHeight="1" x14ac:dyDescent="0.2">
      <c r="A31" s="328" t="s">
        <v>378</v>
      </c>
      <c r="B31" s="329" t="s">
        <v>462</v>
      </c>
      <c r="C31" s="329" t="s">
        <v>480</v>
      </c>
      <c r="D31" s="338" t="s">
        <v>551</v>
      </c>
      <c r="E31" s="329" t="s">
        <v>46</v>
      </c>
      <c r="F31" s="330" t="s">
        <v>464</v>
      </c>
      <c r="G31" s="344"/>
      <c r="H31" s="639"/>
      <c r="I31" s="699"/>
      <c r="J31" s="338"/>
      <c r="K31" s="338"/>
      <c r="L31" s="338"/>
      <c r="M31" s="338"/>
      <c r="N31" s="338">
        <v>3</v>
      </c>
      <c r="O31" s="338">
        <v>3</v>
      </c>
      <c r="P31" s="338">
        <v>1</v>
      </c>
      <c r="Q31" s="702">
        <v>1</v>
      </c>
      <c r="R31" s="642" t="s">
        <v>1598</v>
      </c>
      <c r="S31" s="346"/>
      <c r="T31" s="346"/>
      <c r="U31" s="469"/>
    </row>
    <row r="32" spans="1:21" s="325" customFormat="1" ht="11.25" customHeight="1" x14ac:dyDescent="0.2">
      <c r="A32" s="328" t="s">
        <v>378</v>
      </c>
      <c r="B32" s="329" t="s">
        <v>1305</v>
      </c>
      <c r="C32" s="329" t="s">
        <v>480</v>
      </c>
      <c r="D32" s="338" t="s">
        <v>1308</v>
      </c>
      <c r="E32" s="329" t="s">
        <v>107</v>
      </c>
      <c r="F32" s="330" t="s">
        <v>464</v>
      </c>
      <c r="G32" s="345"/>
      <c r="H32" s="639"/>
      <c r="I32" s="699"/>
      <c r="J32" s="338">
        <v>53</v>
      </c>
      <c r="K32" s="338">
        <v>53</v>
      </c>
      <c r="L32" s="338">
        <v>26</v>
      </c>
      <c r="M32" s="338"/>
      <c r="N32" s="338"/>
      <c r="O32" s="338"/>
      <c r="P32" s="338"/>
      <c r="Q32" s="702"/>
      <c r="R32" s="642" t="s">
        <v>1561</v>
      </c>
      <c r="S32" s="346"/>
      <c r="T32" s="346"/>
      <c r="U32" s="469"/>
    </row>
    <row r="33" spans="1:21" s="325" customFormat="1" ht="11.25" customHeight="1" x14ac:dyDescent="0.2">
      <c r="A33" s="328" t="s">
        <v>378</v>
      </c>
      <c r="B33" s="329" t="s">
        <v>462</v>
      </c>
      <c r="C33" s="329" t="s">
        <v>480</v>
      </c>
      <c r="D33" s="338" t="s">
        <v>1309</v>
      </c>
      <c r="E33" s="329" t="s">
        <v>117</v>
      </c>
      <c r="F33" s="330" t="s">
        <v>464</v>
      </c>
      <c r="G33" s="344"/>
      <c r="H33" s="639"/>
      <c r="I33" s="699"/>
      <c r="J33" s="338"/>
      <c r="K33" s="338"/>
      <c r="L33" s="338"/>
      <c r="M33" s="338"/>
      <c r="N33" s="338">
        <v>4</v>
      </c>
      <c r="O33" s="338">
        <v>4</v>
      </c>
      <c r="P33" s="338"/>
      <c r="Q33" s="702"/>
      <c r="R33" s="642" t="s">
        <v>1598</v>
      </c>
      <c r="S33" s="346"/>
      <c r="T33" s="346"/>
      <c r="U33" s="469"/>
    </row>
    <row r="34" spans="1:21" s="341" customFormat="1" ht="11.25" customHeight="1" x14ac:dyDescent="0.2">
      <c r="A34" s="328" t="s">
        <v>378</v>
      </c>
      <c r="B34" s="329" t="s">
        <v>1327</v>
      </c>
      <c r="C34" s="338" t="s">
        <v>480</v>
      </c>
      <c r="D34" s="338" t="s">
        <v>1156</v>
      </c>
      <c r="E34" s="338" t="s">
        <v>1162</v>
      </c>
      <c r="F34" s="340" t="s">
        <v>464</v>
      </c>
      <c r="G34" s="345"/>
      <c r="H34" s="639"/>
      <c r="I34" s="699"/>
      <c r="J34" s="338"/>
      <c r="K34" s="338"/>
      <c r="L34" s="338"/>
      <c r="M34" s="338"/>
      <c r="N34" s="338"/>
      <c r="O34" s="338"/>
      <c r="P34" s="338"/>
      <c r="Q34" s="702"/>
      <c r="R34" s="642"/>
      <c r="S34" s="346"/>
      <c r="T34" s="346"/>
      <c r="U34" s="686"/>
    </row>
    <row r="35" spans="1:21" s="325" customFormat="1" ht="11.25" customHeight="1" x14ac:dyDescent="0.2">
      <c r="A35" s="328" t="s">
        <v>378</v>
      </c>
      <c r="B35" s="329" t="s">
        <v>424</v>
      </c>
      <c r="C35" s="329" t="s">
        <v>480</v>
      </c>
      <c r="D35" s="338" t="s">
        <v>1310</v>
      </c>
      <c r="E35" s="329" t="s">
        <v>125</v>
      </c>
      <c r="F35" s="330" t="s">
        <v>464</v>
      </c>
      <c r="G35" s="466" t="s">
        <v>1304</v>
      </c>
      <c r="H35" s="639"/>
      <c r="I35" s="699"/>
      <c r="J35" s="338"/>
      <c r="K35" s="338"/>
      <c r="L35" s="338"/>
      <c r="M35" s="338"/>
      <c r="N35" s="338"/>
      <c r="O35" s="338"/>
      <c r="P35" s="338"/>
      <c r="Q35" s="702"/>
      <c r="R35" s="642"/>
      <c r="S35" s="346"/>
      <c r="T35" s="346"/>
      <c r="U35" s="469"/>
    </row>
    <row r="36" spans="1:21" s="325" customFormat="1" ht="11.25" customHeight="1" x14ac:dyDescent="0.2">
      <c r="A36" s="328" t="s">
        <v>378</v>
      </c>
      <c r="B36" s="329" t="s">
        <v>424</v>
      </c>
      <c r="C36" s="329" t="s">
        <v>480</v>
      </c>
      <c r="D36" s="338" t="s">
        <v>1311</v>
      </c>
      <c r="E36" s="329" t="s">
        <v>139</v>
      </c>
      <c r="F36" s="330" t="s">
        <v>464</v>
      </c>
      <c r="G36" s="466" t="s">
        <v>1304</v>
      </c>
      <c r="H36" s="639"/>
      <c r="I36" s="699"/>
      <c r="J36" s="338"/>
      <c r="K36" s="338"/>
      <c r="L36" s="338"/>
      <c r="M36" s="338"/>
      <c r="N36" s="338"/>
      <c r="O36" s="338"/>
      <c r="P36" s="338"/>
      <c r="Q36" s="702"/>
      <c r="R36" s="642"/>
      <c r="S36" s="346"/>
      <c r="T36" s="346"/>
      <c r="U36" s="469" t="s">
        <v>1302</v>
      </c>
    </row>
    <row r="37" spans="1:21" s="325" customFormat="1" ht="11.25" customHeight="1" x14ac:dyDescent="0.2">
      <c r="A37" s="328" t="s">
        <v>378</v>
      </c>
      <c r="B37" s="329" t="s">
        <v>424</v>
      </c>
      <c r="C37" s="329" t="s">
        <v>480</v>
      </c>
      <c r="D37" s="338" t="s">
        <v>914</v>
      </c>
      <c r="E37" s="329" t="s">
        <v>915</v>
      </c>
      <c r="F37" s="330" t="s">
        <v>464</v>
      </c>
      <c r="G37" s="344" t="s">
        <v>1304</v>
      </c>
      <c r="H37" s="639"/>
      <c r="I37" s="699"/>
      <c r="J37" s="338"/>
      <c r="K37" s="338"/>
      <c r="L37" s="338"/>
      <c r="M37" s="338"/>
      <c r="N37" s="338"/>
      <c r="O37" s="338"/>
      <c r="P37" s="338"/>
      <c r="Q37" s="702"/>
      <c r="R37" s="642"/>
      <c r="S37" s="346"/>
      <c r="T37" s="346"/>
      <c r="U37" s="469"/>
    </row>
    <row r="38" spans="1:21" s="325" customFormat="1" ht="11.25" customHeight="1" x14ac:dyDescent="0.2">
      <c r="A38" s="328" t="s">
        <v>378</v>
      </c>
      <c r="B38" s="329" t="s">
        <v>1305</v>
      </c>
      <c r="C38" s="329" t="s">
        <v>480</v>
      </c>
      <c r="D38" s="338" t="s">
        <v>1312</v>
      </c>
      <c r="E38" s="329" t="s">
        <v>119</v>
      </c>
      <c r="F38" s="330" t="s">
        <v>464</v>
      </c>
      <c r="G38" s="344" t="s">
        <v>1304</v>
      </c>
      <c r="H38" s="639">
        <v>68</v>
      </c>
      <c r="I38" s="699">
        <v>18</v>
      </c>
      <c r="J38" s="338">
        <v>68</v>
      </c>
      <c r="K38" s="338">
        <v>18</v>
      </c>
      <c r="L38" s="338"/>
      <c r="M38" s="338"/>
      <c r="N38" s="338"/>
      <c r="O38" s="338"/>
      <c r="P38" s="338"/>
      <c r="Q38" s="702"/>
      <c r="R38" s="642" t="s">
        <v>1789</v>
      </c>
      <c r="S38" s="346"/>
      <c r="T38" s="346"/>
      <c r="U38" s="469"/>
    </row>
    <row r="39" spans="1:21" s="325" customFormat="1" ht="11.25" customHeight="1" x14ac:dyDescent="0.2">
      <c r="A39" s="328" t="s">
        <v>378</v>
      </c>
      <c r="B39" s="329" t="s">
        <v>1305</v>
      </c>
      <c r="C39" s="329" t="s">
        <v>480</v>
      </c>
      <c r="D39" s="521" t="s">
        <v>1155</v>
      </c>
      <c r="E39" s="329" t="s">
        <v>1163</v>
      </c>
      <c r="F39" s="330" t="s">
        <v>464</v>
      </c>
      <c r="G39" s="344"/>
      <c r="H39" s="639"/>
      <c r="I39" s="699"/>
      <c r="J39" s="338"/>
      <c r="K39" s="338"/>
      <c r="L39" s="338"/>
      <c r="M39" s="338"/>
      <c r="N39" s="338"/>
      <c r="O39" s="338"/>
      <c r="P39" s="338"/>
      <c r="Q39" s="702"/>
      <c r="R39" s="642"/>
      <c r="S39" s="346"/>
      <c r="T39" s="346"/>
      <c r="U39" s="469"/>
    </row>
    <row r="40" spans="1:21" s="325" customFormat="1" ht="11.25" customHeight="1" x14ac:dyDescent="0.2">
      <c r="A40" s="328" t="s">
        <v>378</v>
      </c>
      <c r="B40" s="329" t="s">
        <v>424</v>
      </c>
      <c r="C40" s="329" t="s">
        <v>480</v>
      </c>
      <c r="D40" s="338" t="s">
        <v>88</v>
      </c>
      <c r="E40" s="329" t="s">
        <v>87</v>
      </c>
      <c r="F40" s="330" t="s">
        <v>464</v>
      </c>
      <c r="G40" s="344" t="s">
        <v>1304</v>
      </c>
      <c r="H40" s="639">
        <v>13</v>
      </c>
      <c r="I40" s="699"/>
      <c r="J40" s="338">
        <v>13</v>
      </c>
      <c r="K40" s="338"/>
      <c r="L40" s="338"/>
      <c r="M40" s="338"/>
      <c r="N40" s="338">
        <v>20</v>
      </c>
      <c r="O40" s="338"/>
      <c r="P40" s="338"/>
      <c r="Q40" s="702"/>
      <c r="R40" s="642" t="s">
        <v>1258</v>
      </c>
      <c r="S40" s="346"/>
      <c r="T40" s="346"/>
      <c r="U40" s="469" t="s">
        <v>1302</v>
      </c>
    </row>
    <row r="41" spans="1:21" s="325" customFormat="1" ht="11.25" customHeight="1" x14ac:dyDescent="0.2">
      <c r="A41" s="328" t="s">
        <v>378</v>
      </c>
      <c r="B41" s="329" t="s">
        <v>1327</v>
      </c>
      <c r="C41" s="329" t="s">
        <v>480</v>
      </c>
      <c r="D41" s="338" t="s">
        <v>1639</v>
      </c>
      <c r="E41" s="329" t="s">
        <v>1693</v>
      </c>
      <c r="F41" s="330" t="s">
        <v>464</v>
      </c>
      <c r="G41" s="344"/>
      <c r="H41" s="639"/>
      <c r="I41" s="699"/>
      <c r="J41" s="338"/>
      <c r="K41" s="338"/>
      <c r="L41" s="338"/>
      <c r="M41" s="338"/>
      <c r="N41" s="338"/>
      <c r="O41" s="338"/>
      <c r="P41" s="338"/>
      <c r="Q41" s="702"/>
      <c r="R41" s="642"/>
      <c r="S41" s="346">
        <v>40</v>
      </c>
      <c r="T41" s="346">
        <v>40</v>
      </c>
      <c r="U41" s="469"/>
    </row>
    <row r="42" spans="1:21" s="325" customFormat="1" ht="11.25" customHeight="1" x14ac:dyDescent="0.2">
      <c r="A42" s="328" t="s">
        <v>378</v>
      </c>
      <c r="B42" s="329" t="s">
        <v>1327</v>
      </c>
      <c r="C42" s="329" t="s">
        <v>480</v>
      </c>
      <c r="D42" s="338" t="s">
        <v>1703</v>
      </c>
      <c r="E42" s="329" t="s">
        <v>1695</v>
      </c>
      <c r="F42" s="330" t="s">
        <v>464</v>
      </c>
      <c r="G42" s="344"/>
      <c r="H42" s="639">
        <v>12</v>
      </c>
      <c r="I42" s="699"/>
      <c r="J42" s="338">
        <v>12</v>
      </c>
      <c r="K42" s="338"/>
      <c r="L42" s="338"/>
      <c r="M42" s="338"/>
      <c r="N42" s="338"/>
      <c r="O42" s="338"/>
      <c r="P42" s="338"/>
      <c r="Q42" s="702"/>
      <c r="R42" s="642"/>
      <c r="S42" s="346">
        <v>40</v>
      </c>
      <c r="T42" s="346"/>
      <c r="U42" s="469"/>
    </row>
    <row r="43" spans="1:21" s="325" customFormat="1" ht="11.25" customHeight="1" x14ac:dyDescent="0.2">
      <c r="A43" s="328" t="s">
        <v>378</v>
      </c>
      <c r="B43" s="329" t="s">
        <v>424</v>
      </c>
      <c r="C43" s="329" t="s">
        <v>480</v>
      </c>
      <c r="D43" s="338" t="s">
        <v>1157</v>
      </c>
      <c r="E43" s="329" t="s">
        <v>1160</v>
      </c>
      <c r="F43" s="330" t="s">
        <v>464</v>
      </c>
      <c r="G43" s="465" t="s">
        <v>1304</v>
      </c>
      <c r="H43" s="639"/>
      <c r="I43" s="699"/>
      <c r="J43" s="338"/>
      <c r="K43" s="338"/>
      <c r="L43" s="338">
        <v>16</v>
      </c>
      <c r="M43" s="338">
        <v>16</v>
      </c>
      <c r="N43" s="338"/>
      <c r="O43" s="338"/>
      <c r="P43" s="338"/>
      <c r="Q43" s="702"/>
      <c r="R43" s="642" t="s">
        <v>1599</v>
      </c>
      <c r="S43" s="346"/>
      <c r="T43" s="346"/>
      <c r="U43" s="469"/>
    </row>
    <row r="44" spans="1:21" s="325" customFormat="1" ht="11.25" customHeight="1" x14ac:dyDescent="0.2">
      <c r="A44" s="331" t="s">
        <v>3</v>
      </c>
      <c r="B44" s="332"/>
      <c r="C44" s="332"/>
      <c r="D44" s="333"/>
      <c r="E44" s="334"/>
      <c r="F44" s="335"/>
      <c r="G44" s="472"/>
      <c r="H44" s="336">
        <f>SUM(H21:H43)</f>
        <v>98</v>
      </c>
      <c r="I44" s="336">
        <f t="shared" ref="I44:Q44" si="3">SUM(I21:I43)</f>
        <v>23</v>
      </c>
      <c r="J44" s="336">
        <f t="shared" si="3"/>
        <v>146</v>
      </c>
      <c r="K44" s="336">
        <f t="shared" si="3"/>
        <v>71</v>
      </c>
      <c r="L44" s="336">
        <f t="shared" si="3"/>
        <v>67</v>
      </c>
      <c r="M44" s="336">
        <f t="shared" si="3"/>
        <v>31</v>
      </c>
      <c r="N44" s="336">
        <f t="shared" si="3"/>
        <v>74</v>
      </c>
      <c r="O44" s="336">
        <f t="shared" si="3"/>
        <v>44</v>
      </c>
      <c r="P44" s="336">
        <f t="shared" si="3"/>
        <v>1</v>
      </c>
      <c r="Q44" s="336">
        <f t="shared" si="3"/>
        <v>1</v>
      </c>
      <c r="R44" s="336">
        <f t="shared" ref="R44:T44" si="4">SUM(R21:R43)</f>
        <v>0</v>
      </c>
      <c r="S44" s="336">
        <f t="shared" si="4"/>
        <v>80</v>
      </c>
      <c r="T44" s="336">
        <f t="shared" si="4"/>
        <v>40</v>
      </c>
      <c r="U44" s="469"/>
    </row>
    <row r="45" spans="1:21" s="341" customFormat="1" ht="11.25" customHeight="1" x14ac:dyDescent="0.2">
      <c r="A45" s="328" t="s">
        <v>1313</v>
      </c>
      <c r="B45" s="329" t="s">
        <v>424</v>
      </c>
      <c r="C45" s="329" t="s">
        <v>719</v>
      </c>
      <c r="D45" s="329" t="s">
        <v>1371</v>
      </c>
      <c r="E45" s="329" t="s">
        <v>1043</v>
      </c>
      <c r="F45" s="330" t="s">
        <v>464</v>
      </c>
      <c r="G45" s="463" t="s">
        <v>1265</v>
      </c>
      <c r="H45" s="639"/>
      <c r="I45" s="699"/>
      <c r="J45" s="338"/>
      <c r="K45" s="338"/>
      <c r="L45" s="338"/>
      <c r="M45" s="338"/>
      <c r="N45" s="338"/>
      <c r="O45" s="338"/>
      <c r="P45" s="338"/>
      <c r="Q45" s="702"/>
      <c r="R45" s="642"/>
      <c r="S45" s="346"/>
      <c r="T45" s="346"/>
      <c r="U45" s="686"/>
    </row>
    <row r="46" spans="1:21" s="341" customFormat="1" ht="11.25" customHeight="1" x14ac:dyDescent="0.2">
      <c r="A46" s="331" t="s">
        <v>3</v>
      </c>
      <c r="B46" s="332"/>
      <c r="C46" s="332"/>
      <c r="D46" s="333"/>
      <c r="E46" s="334"/>
      <c r="F46" s="335"/>
      <c r="G46" s="472"/>
      <c r="H46" s="336"/>
      <c r="I46" s="336">
        <f t="shared" ref="I46:T46" si="5">SUM(I45)</f>
        <v>0</v>
      </c>
      <c r="J46" s="336">
        <f t="shared" si="5"/>
        <v>0</v>
      </c>
      <c r="K46" s="336">
        <f t="shared" si="5"/>
        <v>0</v>
      </c>
      <c r="L46" s="336">
        <f t="shared" si="5"/>
        <v>0</v>
      </c>
      <c r="M46" s="336">
        <f t="shared" si="5"/>
        <v>0</v>
      </c>
      <c r="N46" s="336">
        <f t="shared" si="5"/>
        <v>0</v>
      </c>
      <c r="O46" s="336">
        <f t="shared" si="5"/>
        <v>0</v>
      </c>
      <c r="P46" s="336">
        <f t="shared" si="5"/>
        <v>0</v>
      </c>
      <c r="Q46" s="336">
        <f t="shared" si="5"/>
        <v>0</v>
      </c>
      <c r="R46" s="336">
        <f t="shared" si="5"/>
        <v>0</v>
      </c>
      <c r="S46" s="336">
        <f t="shared" si="5"/>
        <v>0</v>
      </c>
      <c r="T46" s="336">
        <f t="shared" si="5"/>
        <v>0</v>
      </c>
      <c r="U46" s="686"/>
    </row>
    <row r="47" spans="1:21" s="325" customFormat="1" ht="11.25" customHeight="1" x14ac:dyDescent="0.2">
      <c r="A47" s="328" t="s">
        <v>1313</v>
      </c>
      <c r="B47" s="329" t="s">
        <v>1327</v>
      </c>
      <c r="C47" s="329" t="s">
        <v>1199</v>
      </c>
      <c r="D47" s="329" t="s">
        <v>1196</v>
      </c>
      <c r="E47" s="329"/>
      <c r="F47" s="330"/>
      <c r="G47" s="344"/>
      <c r="H47" s="639"/>
      <c r="I47" s="699"/>
      <c r="J47" s="338"/>
      <c r="K47" s="338"/>
      <c r="L47" s="338"/>
      <c r="M47" s="338"/>
      <c r="N47" s="338"/>
      <c r="O47" s="338"/>
      <c r="P47" s="338"/>
      <c r="Q47" s="702"/>
      <c r="R47" s="642"/>
      <c r="S47" s="346"/>
      <c r="T47" s="346"/>
      <c r="U47" s="469"/>
    </row>
    <row r="48" spans="1:21" s="341" customFormat="1" ht="11.25" customHeight="1" x14ac:dyDescent="0.2">
      <c r="A48" s="331" t="s">
        <v>3</v>
      </c>
      <c r="B48" s="332"/>
      <c r="C48" s="332"/>
      <c r="D48" s="333"/>
      <c r="E48" s="334"/>
      <c r="F48" s="335"/>
      <c r="G48" s="472"/>
      <c r="H48" s="336">
        <f t="shared" ref="H48:R48" si="6">SUM(H47)</f>
        <v>0</v>
      </c>
      <c r="I48" s="336">
        <f t="shared" si="6"/>
        <v>0</v>
      </c>
      <c r="J48" s="336">
        <f t="shared" si="6"/>
        <v>0</v>
      </c>
      <c r="K48" s="336">
        <f t="shared" si="6"/>
        <v>0</v>
      </c>
      <c r="L48" s="336">
        <f t="shared" si="6"/>
        <v>0</v>
      </c>
      <c r="M48" s="336">
        <f t="shared" si="6"/>
        <v>0</v>
      </c>
      <c r="N48" s="336">
        <f t="shared" si="6"/>
        <v>0</v>
      </c>
      <c r="O48" s="336">
        <f t="shared" si="6"/>
        <v>0</v>
      </c>
      <c r="P48" s="336">
        <f t="shared" si="6"/>
        <v>0</v>
      </c>
      <c r="Q48" s="336">
        <f t="shared" si="6"/>
        <v>0</v>
      </c>
      <c r="R48" s="337">
        <f t="shared" si="6"/>
        <v>0</v>
      </c>
      <c r="S48" s="474">
        <f>H48-R48</f>
        <v>0</v>
      </c>
      <c r="T48" s="474" t="e">
        <f>J48-#REF!</f>
        <v>#REF!</v>
      </c>
      <c r="U48" s="686"/>
    </row>
    <row r="49" spans="1:21" s="325" customFormat="1" ht="11.25" customHeight="1" x14ac:dyDescent="0.2">
      <c r="A49" s="328" t="s">
        <v>1313</v>
      </c>
      <c r="B49" s="329" t="s">
        <v>424</v>
      </c>
      <c r="C49" s="338" t="s">
        <v>146</v>
      </c>
      <c r="D49" s="338" t="s">
        <v>367</v>
      </c>
      <c r="E49" s="329" t="s">
        <v>381</v>
      </c>
      <c r="F49" s="330" t="s">
        <v>464</v>
      </c>
      <c r="G49" s="465"/>
      <c r="H49" s="639"/>
      <c r="I49" s="699"/>
      <c r="J49" s="338"/>
      <c r="K49" s="338"/>
      <c r="L49" s="338"/>
      <c r="M49" s="338"/>
      <c r="N49" s="338"/>
      <c r="O49" s="338"/>
      <c r="P49" s="338"/>
      <c r="Q49" s="702"/>
      <c r="R49" s="642" t="s">
        <v>1599</v>
      </c>
      <c r="S49" s="346"/>
      <c r="T49" s="346"/>
      <c r="U49" s="469"/>
    </row>
    <row r="50" spans="1:21" s="325" customFormat="1" ht="11.25" customHeight="1" x14ac:dyDescent="0.2">
      <c r="A50" s="328" t="s">
        <v>1313</v>
      </c>
      <c r="B50" s="329" t="s">
        <v>424</v>
      </c>
      <c r="C50" s="338" t="s">
        <v>146</v>
      </c>
      <c r="D50" s="338" t="s">
        <v>1231</v>
      </c>
      <c r="E50" s="329" t="s">
        <v>1230</v>
      </c>
      <c r="F50" s="330" t="s">
        <v>464</v>
      </c>
      <c r="G50" s="465" t="s">
        <v>1304</v>
      </c>
      <c r="H50" s="639"/>
      <c r="I50" s="699"/>
      <c r="J50" s="338"/>
      <c r="K50" s="338"/>
      <c r="L50" s="338"/>
      <c r="M50" s="338"/>
      <c r="N50" s="338"/>
      <c r="O50" s="338"/>
      <c r="P50" s="338"/>
      <c r="Q50" s="702"/>
      <c r="R50" s="642"/>
      <c r="S50" s="346"/>
      <c r="T50" s="346"/>
      <c r="U50" s="469" t="s">
        <v>1315</v>
      </c>
    </row>
    <row r="51" spans="1:21" s="325" customFormat="1" ht="11.25" customHeight="1" x14ac:dyDescent="0.2">
      <c r="A51" s="328" t="s">
        <v>1313</v>
      </c>
      <c r="B51" s="329" t="s">
        <v>1316</v>
      </c>
      <c r="C51" s="338" t="s">
        <v>146</v>
      </c>
      <c r="D51" s="338" t="s">
        <v>1767</v>
      </c>
      <c r="E51" s="329" t="s">
        <v>382</v>
      </c>
      <c r="F51" s="330" t="s">
        <v>464</v>
      </c>
      <c r="G51" s="345"/>
      <c r="H51" s="639">
        <v>32</v>
      </c>
      <c r="I51" s="699"/>
      <c r="J51" s="338">
        <v>32</v>
      </c>
      <c r="K51" s="338"/>
      <c r="L51" s="338"/>
      <c r="M51" s="338"/>
      <c r="N51" s="338"/>
      <c r="O51" s="338"/>
      <c r="P51" s="338"/>
      <c r="Q51" s="702"/>
      <c r="R51" s="642" t="s">
        <v>1768</v>
      </c>
      <c r="S51" s="346"/>
      <c r="T51" s="346"/>
      <c r="U51" s="469"/>
    </row>
    <row r="52" spans="1:21" s="325" customFormat="1" ht="11.25" customHeight="1" x14ac:dyDescent="0.2">
      <c r="A52" s="328" t="s">
        <v>1313</v>
      </c>
      <c r="B52" s="329" t="s">
        <v>424</v>
      </c>
      <c r="C52" s="338" t="s">
        <v>146</v>
      </c>
      <c r="D52" s="329" t="s">
        <v>1614</v>
      </c>
      <c r="E52" s="329" t="s">
        <v>383</v>
      </c>
      <c r="F52" s="330" t="s">
        <v>464</v>
      </c>
      <c r="G52" s="465" t="s">
        <v>1457</v>
      </c>
      <c r="H52" s="639">
        <v>12</v>
      </c>
      <c r="I52" s="699">
        <v>12</v>
      </c>
      <c r="J52" s="338">
        <v>12</v>
      </c>
      <c r="K52" s="338">
        <v>12</v>
      </c>
      <c r="L52" s="338"/>
      <c r="M52" s="338"/>
      <c r="N52" s="338"/>
      <c r="O52" s="338"/>
      <c r="P52" s="338"/>
      <c r="Q52" s="702"/>
      <c r="R52" s="642" t="s">
        <v>1643</v>
      </c>
      <c r="S52" s="346"/>
      <c r="T52" s="346"/>
      <c r="U52" s="469"/>
    </row>
    <row r="53" spans="1:21" s="325" customFormat="1" ht="11.25" customHeight="1" x14ac:dyDescent="0.2">
      <c r="A53" s="328" t="s">
        <v>1313</v>
      </c>
      <c r="B53" s="329" t="s">
        <v>1314</v>
      </c>
      <c r="C53" s="338" t="s">
        <v>146</v>
      </c>
      <c r="D53" s="338" t="s">
        <v>1317</v>
      </c>
      <c r="E53" s="329" t="s">
        <v>1239</v>
      </c>
      <c r="F53" s="330" t="s">
        <v>464</v>
      </c>
      <c r="G53" s="465" t="s">
        <v>1304</v>
      </c>
      <c r="H53" s="639"/>
      <c r="I53" s="699"/>
      <c r="J53" s="338"/>
      <c r="K53" s="338"/>
      <c r="L53" s="338"/>
      <c r="M53" s="338"/>
      <c r="N53" s="338"/>
      <c r="O53" s="338"/>
      <c r="P53" s="338"/>
      <c r="Q53" s="702"/>
      <c r="R53" s="642"/>
      <c r="S53" s="346"/>
      <c r="T53" s="346"/>
      <c r="U53" s="469" t="s">
        <v>1315</v>
      </c>
    </row>
    <row r="54" spans="1:21" s="325" customFormat="1" ht="11.25" customHeight="1" x14ac:dyDescent="0.2">
      <c r="A54" s="328" t="s">
        <v>1313</v>
      </c>
      <c r="B54" s="329" t="s">
        <v>424</v>
      </c>
      <c r="C54" s="338" t="s">
        <v>146</v>
      </c>
      <c r="D54" s="338" t="s">
        <v>1318</v>
      </c>
      <c r="E54" s="329" t="s">
        <v>147</v>
      </c>
      <c r="F54" s="330" t="s">
        <v>464</v>
      </c>
      <c r="G54" s="465"/>
      <c r="H54" s="639"/>
      <c r="I54" s="699"/>
      <c r="J54" s="338"/>
      <c r="K54" s="338"/>
      <c r="L54" s="338"/>
      <c r="M54" s="338"/>
      <c r="N54" s="338"/>
      <c r="O54" s="338"/>
      <c r="P54" s="338"/>
      <c r="Q54" s="702"/>
      <c r="R54" s="642"/>
      <c r="S54" s="346"/>
      <c r="T54" s="346"/>
      <c r="U54" s="469"/>
    </row>
    <row r="55" spans="1:21" s="325" customFormat="1" ht="11.25" customHeight="1" x14ac:dyDescent="0.2">
      <c r="A55" s="328" t="s">
        <v>1313</v>
      </c>
      <c r="B55" s="329" t="s">
        <v>424</v>
      </c>
      <c r="C55" s="338" t="s">
        <v>146</v>
      </c>
      <c r="D55" s="338" t="s">
        <v>149</v>
      </c>
      <c r="E55" s="329" t="s">
        <v>148</v>
      </c>
      <c r="F55" s="330" t="s">
        <v>464</v>
      </c>
      <c r="G55" s="345"/>
      <c r="H55" s="639"/>
      <c r="I55" s="699"/>
      <c r="J55" s="338"/>
      <c r="K55" s="338"/>
      <c r="L55" s="338"/>
      <c r="M55" s="338"/>
      <c r="N55" s="338"/>
      <c r="O55" s="338"/>
      <c r="P55" s="338"/>
      <c r="Q55" s="702"/>
      <c r="R55" s="642"/>
      <c r="S55" s="346"/>
      <c r="T55" s="346"/>
      <c r="U55" s="469"/>
    </row>
    <row r="56" spans="1:21" s="325" customFormat="1" ht="11.25" customHeight="1" x14ac:dyDescent="0.2">
      <c r="A56" s="328" t="s">
        <v>1313</v>
      </c>
      <c r="B56" s="329" t="s">
        <v>424</v>
      </c>
      <c r="C56" s="338" t="s">
        <v>146</v>
      </c>
      <c r="D56" s="329" t="s">
        <v>1615</v>
      </c>
      <c r="E56" s="329" t="s">
        <v>1120</v>
      </c>
      <c r="F56" s="330" t="s">
        <v>464</v>
      </c>
      <c r="G56" s="345"/>
      <c r="H56" s="639"/>
      <c r="I56" s="699"/>
      <c r="J56" s="338"/>
      <c r="K56" s="338"/>
      <c r="L56" s="338"/>
      <c r="M56" s="338"/>
      <c r="N56" s="338"/>
      <c r="O56" s="338"/>
      <c r="P56" s="338"/>
      <c r="Q56" s="702"/>
      <c r="R56" s="642" t="s">
        <v>1641</v>
      </c>
      <c r="S56" s="346"/>
      <c r="T56" s="346"/>
      <c r="U56" s="469"/>
    </row>
    <row r="57" spans="1:21" s="325" customFormat="1" ht="11.25" customHeight="1" x14ac:dyDescent="0.2">
      <c r="A57" s="328" t="s">
        <v>1313</v>
      </c>
      <c r="B57" s="329" t="s">
        <v>1327</v>
      </c>
      <c r="C57" s="338" t="s">
        <v>146</v>
      </c>
      <c r="D57" s="338" t="s">
        <v>1529</v>
      </c>
      <c r="E57" s="329" t="s">
        <v>1546</v>
      </c>
      <c r="F57" s="330" t="s">
        <v>464</v>
      </c>
      <c r="G57" s="345"/>
      <c r="H57" s="639"/>
      <c r="I57" s="699"/>
      <c r="J57" s="338"/>
      <c r="K57" s="338"/>
      <c r="L57" s="338"/>
      <c r="M57" s="338"/>
      <c r="N57" s="338"/>
      <c r="O57" s="338"/>
      <c r="P57" s="338"/>
      <c r="Q57" s="702"/>
      <c r="R57" s="642"/>
      <c r="S57" s="346"/>
      <c r="T57" s="346"/>
      <c r="U57" s="469"/>
    </row>
    <row r="58" spans="1:21" s="325" customFormat="1" ht="11.25" customHeight="1" x14ac:dyDescent="0.2">
      <c r="A58" s="328" t="s">
        <v>1313</v>
      </c>
      <c r="B58" s="329" t="s">
        <v>1327</v>
      </c>
      <c r="C58" s="338" t="s">
        <v>146</v>
      </c>
      <c r="D58" s="338" t="s">
        <v>1081</v>
      </c>
      <c r="E58" s="329" t="s">
        <v>1082</v>
      </c>
      <c r="F58" s="330" t="s">
        <v>464</v>
      </c>
      <c r="G58" s="345"/>
      <c r="H58" s="639"/>
      <c r="I58" s="699"/>
      <c r="J58" s="338"/>
      <c r="K58" s="338"/>
      <c r="L58" s="338"/>
      <c r="M58" s="338"/>
      <c r="N58" s="338"/>
      <c r="O58" s="338"/>
      <c r="P58" s="338"/>
      <c r="Q58" s="702"/>
      <c r="R58" s="642"/>
      <c r="S58" s="346"/>
      <c r="T58" s="346"/>
      <c r="U58" s="469"/>
    </row>
    <row r="59" spans="1:21" s="325" customFormat="1" ht="11.25" customHeight="1" x14ac:dyDescent="0.2">
      <c r="A59" s="328" t="s">
        <v>1313</v>
      </c>
      <c r="B59" s="329" t="s">
        <v>1316</v>
      </c>
      <c r="C59" s="338" t="s">
        <v>146</v>
      </c>
      <c r="D59" s="338" t="s">
        <v>1570</v>
      </c>
      <c r="E59" s="329" t="s">
        <v>1125</v>
      </c>
      <c r="F59" s="330" t="s">
        <v>464</v>
      </c>
      <c r="G59" s="345"/>
      <c r="H59" s="639">
        <v>17</v>
      </c>
      <c r="I59" s="699">
        <v>17</v>
      </c>
      <c r="J59" s="338">
        <v>17</v>
      </c>
      <c r="K59" s="338">
        <v>17</v>
      </c>
      <c r="L59" s="338"/>
      <c r="M59" s="338"/>
      <c r="N59" s="338"/>
      <c r="O59" s="338"/>
      <c r="P59" s="338"/>
      <c r="Q59" s="702"/>
      <c r="R59" s="642" t="s">
        <v>1731</v>
      </c>
      <c r="S59" s="346"/>
      <c r="T59" s="346"/>
      <c r="U59" s="469"/>
    </row>
    <row r="60" spans="1:21" s="325" customFormat="1" ht="11.25" customHeight="1" x14ac:dyDescent="0.2">
      <c r="A60" s="328" t="s">
        <v>1313</v>
      </c>
      <c r="B60" s="329" t="s">
        <v>1327</v>
      </c>
      <c r="C60" s="338" t="s">
        <v>146</v>
      </c>
      <c r="D60" s="338" t="s">
        <v>839</v>
      </c>
      <c r="E60" s="329" t="s">
        <v>840</v>
      </c>
      <c r="F60" s="330" t="s">
        <v>464</v>
      </c>
      <c r="G60" s="345"/>
      <c r="H60" s="639"/>
      <c r="I60" s="699"/>
      <c r="J60" s="338"/>
      <c r="K60" s="338"/>
      <c r="L60" s="338"/>
      <c r="M60" s="338"/>
      <c r="N60" s="338"/>
      <c r="O60" s="338"/>
      <c r="P60" s="338"/>
      <c r="Q60" s="702"/>
      <c r="R60" s="642"/>
      <c r="S60" s="346"/>
      <c r="T60" s="346"/>
      <c r="U60" s="469"/>
    </row>
    <row r="61" spans="1:21" s="325" customFormat="1" ht="11.25" customHeight="1" x14ac:dyDescent="0.2">
      <c r="A61" s="328" t="s">
        <v>1313</v>
      </c>
      <c r="B61" s="329" t="s">
        <v>1327</v>
      </c>
      <c r="C61" s="338" t="s">
        <v>146</v>
      </c>
      <c r="D61" s="338" t="s">
        <v>1928</v>
      </c>
      <c r="E61" s="329" t="s">
        <v>1927</v>
      </c>
      <c r="F61" s="330" t="s">
        <v>464</v>
      </c>
      <c r="G61" s="345"/>
      <c r="H61" s="639"/>
      <c r="I61" s="699"/>
      <c r="J61" s="338"/>
      <c r="K61" s="338"/>
      <c r="L61" s="338"/>
      <c r="M61" s="338"/>
      <c r="N61" s="338"/>
      <c r="O61" s="338"/>
      <c r="P61" s="338"/>
      <c r="Q61" s="702"/>
      <c r="R61" s="642"/>
      <c r="S61" s="346"/>
      <c r="T61" s="346"/>
      <c r="U61" s="469"/>
    </row>
    <row r="62" spans="1:21" s="325" customFormat="1" ht="11.25" customHeight="1" x14ac:dyDescent="0.2">
      <c r="A62" s="328" t="s">
        <v>1313</v>
      </c>
      <c r="B62" s="329" t="s">
        <v>424</v>
      </c>
      <c r="C62" s="338" t="s">
        <v>146</v>
      </c>
      <c r="D62" s="338" t="s">
        <v>1319</v>
      </c>
      <c r="E62" s="329" t="s">
        <v>385</v>
      </c>
      <c r="F62" s="330" t="s">
        <v>464</v>
      </c>
      <c r="G62" s="345" t="s">
        <v>1457</v>
      </c>
      <c r="H62" s="639">
        <v>41</v>
      </c>
      <c r="I62" s="699">
        <v>9</v>
      </c>
      <c r="J62" s="338">
        <v>41</v>
      </c>
      <c r="K62" s="338">
        <v>9</v>
      </c>
      <c r="L62" s="338"/>
      <c r="M62" s="338"/>
      <c r="N62" s="338"/>
      <c r="O62" s="338"/>
      <c r="P62" s="338"/>
      <c r="Q62" s="702"/>
      <c r="R62" s="642" t="s">
        <v>1713</v>
      </c>
      <c r="S62" s="346"/>
      <c r="T62" s="346"/>
      <c r="U62" s="469"/>
    </row>
    <row r="63" spans="1:21" s="325" customFormat="1" ht="11.25" customHeight="1" x14ac:dyDescent="0.2">
      <c r="A63" s="328" t="s">
        <v>1313</v>
      </c>
      <c r="B63" s="329" t="s">
        <v>1316</v>
      </c>
      <c r="C63" s="338" t="s">
        <v>146</v>
      </c>
      <c r="D63" s="338" t="s">
        <v>942</v>
      </c>
      <c r="E63" s="329" t="s">
        <v>941</v>
      </c>
      <c r="F63" s="330" t="s">
        <v>464</v>
      </c>
      <c r="G63" s="463"/>
      <c r="H63" s="639"/>
      <c r="I63" s="699"/>
      <c r="J63" s="338"/>
      <c r="K63" s="338"/>
      <c r="L63" s="338"/>
      <c r="M63" s="338"/>
      <c r="N63" s="338">
        <v>10</v>
      </c>
      <c r="O63" s="338">
        <v>10</v>
      </c>
      <c r="P63" s="338"/>
      <c r="Q63" s="702"/>
      <c r="R63" s="642" t="s">
        <v>1590</v>
      </c>
      <c r="S63" s="346"/>
      <c r="T63" s="346"/>
      <c r="U63" s="469"/>
    </row>
    <row r="64" spans="1:21" s="325" customFormat="1" ht="11.25" customHeight="1" x14ac:dyDescent="0.2">
      <c r="A64" s="331" t="s">
        <v>3</v>
      </c>
      <c r="B64" s="332"/>
      <c r="C64" s="332"/>
      <c r="D64" s="333"/>
      <c r="E64" s="334"/>
      <c r="F64" s="335"/>
      <c r="G64" s="472"/>
      <c r="H64" s="336">
        <f>SUM(H49:H63)</f>
        <v>102</v>
      </c>
      <c r="I64" s="336">
        <f t="shared" ref="I64:Q64" si="7">SUM(I49:I63)</f>
        <v>38</v>
      </c>
      <c r="J64" s="336">
        <f t="shared" si="7"/>
        <v>102</v>
      </c>
      <c r="K64" s="336">
        <f t="shared" si="7"/>
        <v>38</v>
      </c>
      <c r="L64" s="336">
        <f t="shared" si="7"/>
        <v>0</v>
      </c>
      <c r="M64" s="336">
        <f t="shared" si="7"/>
        <v>0</v>
      </c>
      <c r="N64" s="336">
        <f t="shared" si="7"/>
        <v>10</v>
      </c>
      <c r="O64" s="336">
        <f t="shared" si="7"/>
        <v>10</v>
      </c>
      <c r="P64" s="336">
        <f t="shared" si="7"/>
        <v>0</v>
      </c>
      <c r="Q64" s="336">
        <f t="shared" si="7"/>
        <v>0</v>
      </c>
      <c r="R64" s="336">
        <f t="shared" ref="R64:T64" si="8">SUM(R49:R63)</f>
        <v>0</v>
      </c>
      <c r="S64" s="336">
        <f t="shared" si="8"/>
        <v>0</v>
      </c>
      <c r="T64" s="336">
        <f t="shared" si="8"/>
        <v>0</v>
      </c>
      <c r="U64" s="469"/>
    </row>
    <row r="65" spans="1:21" s="325" customFormat="1" ht="11.25" customHeight="1" x14ac:dyDescent="0.2">
      <c r="A65" s="328" t="s">
        <v>378</v>
      </c>
      <c r="B65" s="329" t="s">
        <v>1300</v>
      </c>
      <c r="C65" s="329" t="s">
        <v>151</v>
      </c>
      <c r="D65" s="342" t="s">
        <v>1320</v>
      </c>
      <c r="E65" s="339" t="s">
        <v>187</v>
      </c>
      <c r="F65" s="343" t="s">
        <v>466</v>
      </c>
      <c r="G65" s="466"/>
      <c r="H65" s="639"/>
      <c r="I65" s="699"/>
      <c r="J65" s="338"/>
      <c r="K65" s="338"/>
      <c r="L65" s="338"/>
      <c r="M65" s="338"/>
      <c r="N65" s="338"/>
      <c r="O65" s="338"/>
      <c r="P65" s="338"/>
      <c r="Q65" s="702"/>
      <c r="R65" s="642"/>
      <c r="S65" s="346"/>
      <c r="T65" s="346"/>
      <c r="U65" s="469" t="s">
        <v>1724</v>
      </c>
    </row>
    <row r="66" spans="1:21" s="325" customFormat="1" ht="11.25" customHeight="1" x14ac:dyDescent="0.2">
      <c r="A66" s="328" t="s">
        <v>378</v>
      </c>
      <c r="B66" s="329" t="s">
        <v>424</v>
      </c>
      <c r="C66" s="329" t="s">
        <v>151</v>
      </c>
      <c r="D66" s="338" t="s">
        <v>1321</v>
      </c>
      <c r="E66" s="329" t="s">
        <v>812</v>
      </c>
      <c r="F66" s="330" t="s">
        <v>464</v>
      </c>
      <c r="G66" s="463" t="s">
        <v>1457</v>
      </c>
      <c r="H66" s="639">
        <v>30</v>
      </c>
      <c r="I66" s="699">
        <v>30</v>
      </c>
      <c r="J66" s="338">
        <v>30</v>
      </c>
      <c r="K66" s="338">
        <v>30</v>
      </c>
      <c r="L66" s="338"/>
      <c r="M66" s="338"/>
      <c r="N66" s="338"/>
      <c r="O66" s="338"/>
      <c r="P66" s="338"/>
      <c r="Q66" s="702"/>
      <c r="R66" s="642" t="s">
        <v>1599</v>
      </c>
      <c r="S66" s="346"/>
      <c r="T66" s="346"/>
      <c r="U66" s="469"/>
    </row>
    <row r="67" spans="1:21" s="325" customFormat="1" ht="11.25" customHeight="1" x14ac:dyDescent="0.2">
      <c r="A67" s="328" t="s">
        <v>378</v>
      </c>
      <c r="B67" s="329" t="s">
        <v>1300</v>
      </c>
      <c r="C67" s="329" t="s">
        <v>151</v>
      </c>
      <c r="D67" s="338" t="s">
        <v>846</v>
      </c>
      <c r="E67" s="329" t="s">
        <v>845</v>
      </c>
      <c r="F67" s="330" t="s">
        <v>464</v>
      </c>
      <c r="G67" s="463"/>
      <c r="H67" s="639">
        <v>6</v>
      </c>
      <c r="I67" s="699"/>
      <c r="J67" s="338"/>
      <c r="K67" s="338"/>
      <c r="L67" s="338"/>
      <c r="M67" s="338"/>
      <c r="N67" s="338"/>
      <c r="O67" s="338"/>
      <c r="P67" s="338"/>
      <c r="Q67" s="702"/>
      <c r="R67" s="642" t="s">
        <v>778</v>
      </c>
      <c r="S67" s="346"/>
      <c r="T67" s="346"/>
      <c r="U67" s="469" t="s">
        <v>1322</v>
      </c>
    </row>
    <row r="68" spans="1:21" s="325" customFormat="1" ht="11.25" customHeight="1" x14ac:dyDescent="0.2">
      <c r="A68" s="328" t="s">
        <v>378</v>
      </c>
      <c r="B68" s="329" t="s">
        <v>424</v>
      </c>
      <c r="C68" s="329" t="s">
        <v>151</v>
      </c>
      <c r="D68" s="338" t="s">
        <v>160</v>
      </c>
      <c r="E68" s="329" t="s">
        <v>159</v>
      </c>
      <c r="F68" s="330" t="s">
        <v>464</v>
      </c>
      <c r="G68" s="463" t="s">
        <v>1265</v>
      </c>
      <c r="H68" s="639"/>
      <c r="I68" s="699"/>
      <c r="J68" s="338"/>
      <c r="K68" s="338"/>
      <c r="L68" s="338"/>
      <c r="M68" s="338"/>
      <c r="N68" s="338"/>
      <c r="O68" s="338"/>
      <c r="P68" s="338"/>
      <c r="Q68" s="702"/>
      <c r="R68" s="642"/>
      <c r="S68" s="346"/>
      <c r="T68" s="346"/>
      <c r="U68" s="469"/>
    </row>
    <row r="69" spans="1:21" s="325" customFormat="1" ht="11.25" customHeight="1" x14ac:dyDescent="0.2">
      <c r="A69" s="328" t="s">
        <v>378</v>
      </c>
      <c r="B69" s="329" t="s">
        <v>1300</v>
      </c>
      <c r="C69" s="329" t="s">
        <v>151</v>
      </c>
      <c r="D69" s="338" t="s">
        <v>1323</v>
      </c>
      <c r="E69" s="329" t="s">
        <v>153</v>
      </c>
      <c r="F69" s="330" t="s">
        <v>464</v>
      </c>
      <c r="G69" s="463"/>
      <c r="H69" s="639">
        <v>200</v>
      </c>
      <c r="I69" s="699">
        <v>200</v>
      </c>
      <c r="J69" s="338">
        <v>200</v>
      </c>
      <c r="K69" s="338">
        <v>200</v>
      </c>
      <c r="L69" s="338"/>
      <c r="M69" s="338"/>
      <c r="N69" s="338">
        <v>30</v>
      </c>
      <c r="O69" s="338"/>
      <c r="P69" s="338"/>
      <c r="Q69" s="702"/>
      <c r="R69" s="642" t="s">
        <v>1562</v>
      </c>
      <c r="S69" s="346"/>
      <c r="T69" s="346"/>
      <c r="U69" s="469" t="s">
        <v>1572</v>
      </c>
    </row>
    <row r="70" spans="1:21" s="325" customFormat="1" ht="11.25" customHeight="1" x14ac:dyDescent="0.2">
      <c r="A70" s="328" t="s">
        <v>378</v>
      </c>
      <c r="B70" s="329" t="s">
        <v>1300</v>
      </c>
      <c r="C70" s="329" t="s">
        <v>151</v>
      </c>
      <c r="D70" s="338" t="s">
        <v>1324</v>
      </c>
      <c r="E70" s="329" t="s">
        <v>911</v>
      </c>
      <c r="F70" s="330" t="s">
        <v>464</v>
      </c>
      <c r="G70" s="463"/>
      <c r="H70" s="639"/>
      <c r="I70" s="699"/>
      <c r="J70" s="338"/>
      <c r="K70" s="338"/>
      <c r="L70" s="338"/>
      <c r="M70" s="338"/>
      <c r="N70" s="338"/>
      <c r="O70" s="338"/>
      <c r="P70" s="338"/>
      <c r="Q70" s="702"/>
      <c r="R70" s="642"/>
      <c r="S70" s="346"/>
      <c r="T70" s="346"/>
      <c r="U70" s="469"/>
    </row>
    <row r="71" spans="1:21" s="325" customFormat="1" ht="11.25" customHeight="1" x14ac:dyDescent="0.2">
      <c r="A71" s="328" t="s">
        <v>378</v>
      </c>
      <c r="B71" s="329" t="s">
        <v>424</v>
      </c>
      <c r="C71" s="329" t="s">
        <v>151</v>
      </c>
      <c r="D71" s="342" t="s">
        <v>152</v>
      </c>
      <c r="E71" s="339" t="s">
        <v>150</v>
      </c>
      <c r="F71" s="330" t="s">
        <v>464</v>
      </c>
      <c r="G71" s="466"/>
      <c r="H71" s="639"/>
      <c r="I71" s="699"/>
      <c r="J71" s="338"/>
      <c r="K71" s="338"/>
      <c r="L71" s="338">
        <v>72</v>
      </c>
      <c r="M71" s="338">
        <v>72</v>
      </c>
      <c r="N71" s="338"/>
      <c r="O71" s="338"/>
      <c r="P71" s="338"/>
      <c r="Q71" s="702"/>
      <c r="R71" s="642" t="s">
        <v>778</v>
      </c>
      <c r="S71" s="346"/>
      <c r="T71" s="346"/>
      <c r="U71" s="469"/>
    </row>
    <row r="72" spans="1:21" s="325" customFormat="1" ht="11.25" customHeight="1" x14ac:dyDescent="0.2">
      <c r="A72" s="328" t="s">
        <v>378</v>
      </c>
      <c r="B72" s="329" t="s">
        <v>1300</v>
      </c>
      <c r="C72" s="329" t="s">
        <v>151</v>
      </c>
      <c r="D72" s="338" t="s">
        <v>1325</v>
      </c>
      <c r="E72" s="329" t="s">
        <v>197</v>
      </c>
      <c r="F72" s="330" t="s">
        <v>466</v>
      </c>
      <c r="G72" s="463"/>
      <c r="H72" s="639">
        <v>266</v>
      </c>
      <c r="I72" s="699">
        <v>266</v>
      </c>
      <c r="J72" s="338">
        <v>266</v>
      </c>
      <c r="K72" s="338">
        <v>266</v>
      </c>
      <c r="L72" s="338"/>
      <c r="M72" s="338"/>
      <c r="N72" s="338"/>
      <c r="O72" s="338"/>
      <c r="P72" s="338"/>
      <c r="Q72" s="702"/>
      <c r="R72" s="642" t="s">
        <v>1596</v>
      </c>
      <c r="S72" s="346"/>
      <c r="T72" s="346"/>
      <c r="U72" s="469" t="s">
        <v>1717</v>
      </c>
    </row>
    <row r="73" spans="1:21" s="325" customFormat="1" ht="11.25" customHeight="1" x14ac:dyDescent="0.2">
      <c r="A73" s="328" t="s">
        <v>378</v>
      </c>
      <c r="B73" s="329" t="s">
        <v>424</v>
      </c>
      <c r="C73" s="329" t="s">
        <v>151</v>
      </c>
      <c r="D73" s="342" t="s">
        <v>1326</v>
      </c>
      <c r="E73" s="329" t="s">
        <v>938</v>
      </c>
      <c r="F73" s="330" t="s">
        <v>464</v>
      </c>
      <c r="G73" s="466" t="s">
        <v>1265</v>
      </c>
      <c r="H73" s="639">
        <v>21</v>
      </c>
      <c r="I73" s="699">
        <v>21</v>
      </c>
      <c r="J73" s="338">
        <v>21</v>
      </c>
      <c r="K73" s="338">
        <v>21</v>
      </c>
      <c r="L73" s="338"/>
      <c r="M73" s="338"/>
      <c r="N73" s="338"/>
      <c r="O73" s="338"/>
      <c r="P73" s="338"/>
      <c r="Q73" s="702"/>
      <c r="R73" s="642" t="s">
        <v>1731</v>
      </c>
      <c r="S73" s="346"/>
      <c r="T73" s="346"/>
      <c r="U73" s="469"/>
    </row>
    <row r="74" spans="1:21" s="325" customFormat="1" ht="11.25" customHeight="1" x14ac:dyDescent="0.2">
      <c r="A74" s="331" t="s">
        <v>3</v>
      </c>
      <c r="B74" s="332"/>
      <c r="C74" s="332"/>
      <c r="D74" s="333"/>
      <c r="E74" s="334"/>
      <c r="F74" s="335"/>
      <c r="G74" s="472"/>
      <c r="H74" s="336">
        <f>SUM(H65:H73)</f>
        <v>523</v>
      </c>
      <c r="I74" s="336">
        <f t="shared" ref="I74:Q74" si="9">SUM(I65:I73)</f>
        <v>517</v>
      </c>
      <c r="J74" s="336">
        <f t="shared" si="9"/>
        <v>517</v>
      </c>
      <c r="K74" s="336">
        <f t="shared" si="9"/>
        <v>517</v>
      </c>
      <c r="L74" s="336">
        <f t="shared" si="9"/>
        <v>72</v>
      </c>
      <c r="M74" s="336">
        <f t="shared" si="9"/>
        <v>72</v>
      </c>
      <c r="N74" s="336">
        <f t="shared" si="9"/>
        <v>30</v>
      </c>
      <c r="O74" s="336">
        <f t="shared" si="9"/>
        <v>0</v>
      </c>
      <c r="P74" s="336">
        <f t="shared" si="9"/>
        <v>0</v>
      </c>
      <c r="Q74" s="336">
        <f t="shared" si="9"/>
        <v>0</v>
      </c>
      <c r="R74" s="336">
        <f t="shared" ref="R74:T74" si="10">SUM(R65:R73)</f>
        <v>0</v>
      </c>
      <c r="S74" s="336">
        <f t="shared" si="10"/>
        <v>0</v>
      </c>
      <c r="T74" s="336">
        <f t="shared" si="10"/>
        <v>0</v>
      </c>
      <c r="U74" s="469"/>
    </row>
    <row r="75" spans="1:21" s="325" customFormat="1" ht="11.25" customHeight="1" x14ac:dyDescent="0.2">
      <c r="A75" s="328" t="s">
        <v>1313</v>
      </c>
      <c r="B75" s="329" t="s">
        <v>424</v>
      </c>
      <c r="C75" s="329" t="s">
        <v>166</v>
      </c>
      <c r="D75" s="329" t="s">
        <v>167</v>
      </c>
      <c r="E75" s="329" t="s">
        <v>279</v>
      </c>
      <c r="F75" s="330" t="s">
        <v>464</v>
      </c>
      <c r="G75" s="463"/>
      <c r="H75" s="639"/>
      <c r="I75" s="699"/>
      <c r="J75" s="338"/>
      <c r="K75" s="338"/>
      <c r="L75" s="338"/>
      <c r="M75" s="338"/>
      <c r="N75" s="338"/>
      <c r="O75" s="338"/>
      <c r="P75" s="338"/>
      <c r="Q75" s="702"/>
      <c r="R75" s="642"/>
      <c r="S75" s="346"/>
      <c r="T75" s="346"/>
      <c r="U75" s="469"/>
    </row>
    <row r="76" spans="1:21" s="325" customFormat="1" ht="11.25" customHeight="1" x14ac:dyDescent="0.2">
      <c r="A76" s="328" t="s">
        <v>1313</v>
      </c>
      <c r="B76" s="329" t="s">
        <v>1327</v>
      </c>
      <c r="C76" s="329" t="s">
        <v>166</v>
      </c>
      <c r="D76" s="329" t="s">
        <v>1139</v>
      </c>
      <c r="E76" s="329" t="s">
        <v>1122</v>
      </c>
      <c r="F76" s="330" t="s">
        <v>464</v>
      </c>
      <c r="G76" s="463"/>
      <c r="H76" s="639"/>
      <c r="I76" s="699"/>
      <c r="J76" s="338"/>
      <c r="K76" s="338"/>
      <c r="L76" s="338"/>
      <c r="M76" s="338"/>
      <c r="N76" s="338"/>
      <c r="O76" s="338"/>
      <c r="P76" s="338"/>
      <c r="Q76" s="702"/>
      <c r="R76" s="642"/>
      <c r="S76" s="346"/>
      <c r="T76" s="346"/>
      <c r="U76" s="469"/>
    </row>
    <row r="77" spans="1:21" s="325" customFormat="1" ht="11.25" customHeight="1" x14ac:dyDescent="0.2">
      <c r="A77" s="328" t="s">
        <v>1313</v>
      </c>
      <c r="B77" s="329" t="s">
        <v>1316</v>
      </c>
      <c r="C77" s="329" t="s">
        <v>166</v>
      </c>
      <c r="D77" s="329" t="s">
        <v>1328</v>
      </c>
      <c r="E77" s="329" t="s">
        <v>761</v>
      </c>
      <c r="F77" s="330" t="s">
        <v>464</v>
      </c>
      <c r="G77" s="463"/>
      <c r="H77" s="639"/>
      <c r="I77" s="699"/>
      <c r="J77" s="338"/>
      <c r="K77" s="338"/>
      <c r="L77" s="338"/>
      <c r="M77" s="338"/>
      <c r="N77" s="338">
        <v>20</v>
      </c>
      <c r="O77" s="338">
        <v>20</v>
      </c>
      <c r="P77" s="338"/>
      <c r="Q77" s="702"/>
      <c r="R77" s="642" t="s">
        <v>1590</v>
      </c>
      <c r="S77" s="346"/>
      <c r="T77" s="346"/>
      <c r="U77" s="469"/>
    </row>
    <row r="78" spans="1:21" s="325" customFormat="1" ht="11.25" customHeight="1" x14ac:dyDescent="0.2">
      <c r="A78" s="331" t="s">
        <v>3</v>
      </c>
      <c r="B78" s="332"/>
      <c r="C78" s="332"/>
      <c r="D78" s="333"/>
      <c r="E78" s="334"/>
      <c r="F78" s="335"/>
      <c r="G78" s="472"/>
      <c r="H78" s="336">
        <f>SUM(H75:H77)</f>
        <v>0</v>
      </c>
      <c r="I78" s="336">
        <f t="shared" ref="I78:Q78" si="11">SUM(I75:I77)</f>
        <v>0</v>
      </c>
      <c r="J78" s="336">
        <f t="shared" si="11"/>
        <v>0</v>
      </c>
      <c r="K78" s="336">
        <f t="shared" si="11"/>
        <v>0</v>
      </c>
      <c r="L78" s="336">
        <f t="shared" si="11"/>
        <v>0</v>
      </c>
      <c r="M78" s="336">
        <f t="shared" si="11"/>
        <v>0</v>
      </c>
      <c r="N78" s="336">
        <f t="shared" si="11"/>
        <v>20</v>
      </c>
      <c r="O78" s="336">
        <f t="shared" si="11"/>
        <v>20</v>
      </c>
      <c r="P78" s="336">
        <f t="shared" si="11"/>
        <v>0</v>
      </c>
      <c r="Q78" s="336">
        <f t="shared" si="11"/>
        <v>0</v>
      </c>
      <c r="R78" s="336">
        <f t="shared" ref="R78:T78" si="12">SUM(R75:R77)</f>
        <v>0</v>
      </c>
      <c r="S78" s="336">
        <f t="shared" si="12"/>
        <v>0</v>
      </c>
      <c r="T78" s="336">
        <f t="shared" si="12"/>
        <v>0</v>
      </c>
      <c r="U78" s="469"/>
    </row>
    <row r="79" spans="1:21" s="325" customFormat="1" ht="11.25" customHeight="1" x14ac:dyDescent="0.2">
      <c r="A79" s="328" t="s">
        <v>378</v>
      </c>
      <c r="B79" s="329" t="s">
        <v>424</v>
      </c>
      <c r="C79" s="329" t="s">
        <v>173</v>
      </c>
      <c r="D79" s="338" t="s">
        <v>1329</v>
      </c>
      <c r="E79" s="329" t="s">
        <v>172</v>
      </c>
      <c r="F79" s="330" t="s">
        <v>464</v>
      </c>
      <c r="G79" s="463" t="s">
        <v>1304</v>
      </c>
      <c r="H79" s="639"/>
      <c r="I79" s="699"/>
      <c r="J79" s="338"/>
      <c r="K79" s="338"/>
      <c r="L79" s="338"/>
      <c r="M79" s="338"/>
      <c r="N79" s="338"/>
      <c r="O79" s="338"/>
      <c r="P79" s="338"/>
      <c r="Q79" s="702"/>
      <c r="R79" s="642"/>
      <c r="S79" s="346"/>
      <c r="T79" s="346"/>
      <c r="U79" s="469" t="s">
        <v>1330</v>
      </c>
    </row>
    <row r="80" spans="1:21" s="325" customFormat="1" ht="11.25" customHeight="1" x14ac:dyDescent="0.2">
      <c r="A80" s="328" t="s">
        <v>378</v>
      </c>
      <c r="B80" s="329" t="s">
        <v>424</v>
      </c>
      <c r="C80" s="329" t="s">
        <v>173</v>
      </c>
      <c r="D80" s="338" t="s">
        <v>176</v>
      </c>
      <c r="E80" s="338" t="s">
        <v>175</v>
      </c>
      <c r="F80" s="330" t="s">
        <v>464</v>
      </c>
      <c r="G80" s="465" t="s">
        <v>1304</v>
      </c>
      <c r="H80" s="639"/>
      <c r="I80" s="699"/>
      <c r="J80" s="338"/>
      <c r="K80" s="338"/>
      <c r="L80" s="338"/>
      <c r="M80" s="338"/>
      <c r="N80" s="338"/>
      <c r="O80" s="338"/>
      <c r="P80" s="338"/>
      <c r="Q80" s="702"/>
      <c r="R80" s="642"/>
      <c r="S80" s="346"/>
      <c r="T80" s="346"/>
      <c r="U80" s="469" t="s">
        <v>1330</v>
      </c>
    </row>
    <row r="81" spans="1:21" s="325" customFormat="1" ht="11.25" customHeight="1" x14ac:dyDescent="0.2">
      <c r="A81" s="328" t="s">
        <v>378</v>
      </c>
      <c r="B81" s="329" t="s">
        <v>1327</v>
      </c>
      <c r="C81" s="329" t="s">
        <v>173</v>
      </c>
      <c r="D81" s="338" t="s">
        <v>1661</v>
      </c>
      <c r="E81" s="338" t="s">
        <v>1649</v>
      </c>
      <c r="F81" s="330" t="s">
        <v>464</v>
      </c>
      <c r="G81" s="465" t="s">
        <v>1304</v>
      </c>
      <c r="H81" s="639"/>
      <c r="I81" s="699"/>
      <c r="J81" s="338"/>
      <c r="K81" s="338"/>
      <c r="L81" s="338"/>
      <c r="M81" s="338"/>
      <c r="N81" s="338"/>
      <c r="O81" s="338"/>
      <c r="P81" s="338"/>
      <c r="Q81" s="702"/>
      <c r="R81" s="642"/>
      <c r="S81" s="346"/>
      <c r="T81" s="346">
        <v>42</v>
      </c>
      <c r="U81" s="469"/>
    </row>
    <row r="82" spans="1:21" s="325" customFormat="1" ht="11.25" customHeight="1" x14ac:dyDescent="0.2">
      <c r="A82" s="328" t="s">
        <v>378</v>
      </c>
      <c r="B82" s="329" t="s">
        <v>1327</v>
      </c>
      <c r="C82" s="329" t="s">
        <v>173</v>
      </c>
      <c r="D82" s="338" t="s">
        <v>1662</v>
      </c>
      <c r="E82" s="338" t="s">
        <v>1650</v>
      </c>
      <c r="F82" s="330" t="s">
        <v>464</v>
      </c>
      <c r="G82" s="465" t="s">
        <v>1304</v>
      </c>
      <c r="H82" s="639"/>
      <c r="I82" s="699"/>
      <c r="J82" s="338"/>
      <c r="K82" s="338"/>
      <c r="L82" s="338"/>
      <c r="M82" s="338"/>
      <c r="N82" s="338"/>
      <c r="O82" s="338"/>
      <c r="P82" s="338"/>
      <c r="Q82" s="702"/>
      <c r="R82" s="642"/>
      <c r="S82" s="346"/>
      <c r="T82" s="346">
        <v>60</v>
      </c>
      <c r="U82" s="469"/>
    </row>
    <row r="83" spans="1:21" s="325" customFormat="1" ht="11.25" customHeight="1" x14ac:dyDescent="0.2">
      <c r="A83" s="328" t="s">
        <v>378</v>
      </c>
      <c r="B83" s="329" t="s">
        <v>1327</v>
      </c>
      <c r="C83" s="329" t="s">
        <v>173</v>
      </c>
      <c r="D83" s="338" t="s">
        <v>1663</v>
      </c>
      <c r="E83" s="338" t="s">
        <v>1651</v>
      </c>
      <c r="F83" s="330" t="s">
        <v>464</v>
      </c>
      <c r="G83" s="465" t="s">
        <v>1304</v>
      </c>
      <c r="H83" s="639"/>
      <c r="I83" s="699"/>
      <c r="J83" s="338"/>
      <c r="K83" s="338"/>
      <c r="L83" s="338"/>
      <c r="M83" s="338"/>
      <c r="N83" s="338"/>
      <c r="O83" s="338"/>
      <c r="P83" s="338"/>
      <c r="Q83" s="702"/>
      <c r="R83" s="642"/>
      <c r="S83" s="346"/>
      <c r="T83" s="346">
        <v>30</v>
      </c>
      <c r="U83" s="469"/>
    </row>
    <row r="84" spans="1:21" s="325" customFormat="1" ht="11.25" customHeight="1" x14ac:dyDescent="0.2">
      <c r="A84" s="328" t="s">
        <v>378</v>
      </c>
      <c r="B84" s="329" t="s">
        <v>1327</v>
      </c>
      <c r="C84" s="329" t="s">
        <v>173</v>
      </c>
      <c r="D84" s="338" t="s">
        <v>1665</v>
      </c>
      <c r="E84" s="338" t="s">
        <v>1652</v>
      </c>
      <c r="F84" s="330" t="s">
        <v>464</v>
      </c>
      <c r="G84" s="465" t="s">
        <v>1304</v>
      </c>
      <c r="H84" s="639"/>
      <c r="I84" s="699"/>
      <c r="J84" s="338"/>
      <c r="K84" s="338"/>
      <c r="L84" s="338"/>
      <c r="M84" s="338"/>
      <c r="N84" s="338"/>
      <c r="O84" s="338"/>
      <c r="P84" s="338"/>
      <c r="Q84" s="702"/>
      <c r="R84" s="642"/>
      <c r="S84" s="346"/>
      <c r="T84" s="346">
        <v>33</v>
      </c>
      <c r="U84" s="469"/>
    </row>
    <row r="85" spans="1:21" s="325" customFormat="1" ht="11.25" customHeight="1" x14ac:dyDescent="0.2">
      <c r="A85" s="328" t="s">
        <v>378</v>
      </c>
      <c r="B85" s="329" t="s">
        <v>424</v>
      </c>
      <c r="C85" s="329" t="s">
        <v>173</v>
      </c>
      <c r="D85" s="338" t="s">
        <v>1331</v>
      </c>
      <c r="E85" s="329" t="s">
        <v>1055</v>
      </c>
      <c r="F85" s="330" t="s">
        <v>464</v>
      </c>
      <c r="G85" s="465" t="s">
        <v>1304</v>
      </c>
      <c r="H85" s="639"/>
      <c r="I85" s="699"/>
      <c r="J85" s="338"/>
      <c r="K85" s="338"/>
      <c r="L85" s="338"/>
      <c r="M85" s="338"/>
      <c r="N85" s="338"/>
      <c r="O85" s="338"/>
      <c r="P85" s="338"/>
      <c r="Q85" s="702"/>
      <c r="R85" s="642"/>
      <c r="S85" s="346"/>
      <c r="T85" s="346"/>
      <c r="U85" s="469"/>
    </row>
    <row r="86" spans="1:21" s="325" customFormat="1" ht="11.25" customHeight="1" x14ac:dyDescent="0.2">
      <c r="A86" s="639" t="s">
        <v>378</v>
      </c>
      <c r="B86" s="338" t="s">
        <v>424</v>
      </c>
      <c r="C86" s="338" t="s">
        <v>173</v>
      </c>
      <c r="D86" s="338" t="s">
        <v>1332</v>
      </c>
      <c r="E86" s="329" t="s">
        <v>177</v>
      </c>
      <c r="F86" s="330" t="s">
        <v>464</v>
      </c>
      <c r="G86" s="463" t="s">
        <v>1304</v>
      </c>
      <c r="H86" s="639"/>
      <c r="I86" s="699"/>
      <c r="J86" s="338"/>
      <c r="K86" s="338"/>
      <c r="L86" s="338"/>
      <c r="M86" s="338"/>
      <c r="N86" s="338"/>
      <c r="O86" s="338"/>
      <c r="P86" s="338"/>
      <c r="Q86" s="702"/>
      <c r="R86" s="642"/>
      <c r="S86" s="346"/>
      <c r="T86" s="346"/>
      <c r="U86" s="469" t="s">
        <v>1330</v>
      </c>
    </row>
    <row r="87" spans="1:21" s="325" customFormat="1" ht="11.25" customHeight="1" x14ac:dyDescent="0.2">
      <c r="A87" s="331" t="s">
        <v>3</v>
      </c>
      <c r="B87" s="332"/>
      <c r="C87" s="332"/>
      <c r="D87" s="333"/>
      <c r="E87" s="334"/>
      <c r="F87" s="335"/>
      <c r="G87" s="472"/>
      <c r="H87" s="336">
        <f>SUM(H79:H86)</f>
        <v>0</v>
      </c>
      <c r="I87" s="336">
        <f t="shared" ref="I87:Q87" si="13">SUM(I79:I86)</f>
        <v>0</v>
      </c>
      <c r="J87" s="336">
        <f t="shared" si="13"/>
        <v>0</v>
      </c>
      <c r="K87" s="336">
        <f t="shared" si="13"/>
        <v>0</v>
      </c>
      <c r="L87" s="336">
        <f t="shared" si="13"/>
        <v>0</v>
      </c>
      <c r="M87" s="336">
        <f t="shared" si="13"/>
        <v>0</v>
      </c>
      <c r="N87" s="336">
        <f t="shared" si="13"/>
        <v>0</v>
      </c>
      <c r="O87" s="336">
        <f t="shared" si="13"/>
        <v>0</v>
      </c>
      <c r="P87" s="336">
        <f t="shared" si="13"/>
        <v>0</v>
      </c>
      <c r="Q87" s="336">
        <f t="shared" si="13"/>
        <v>0</v>
      </c>
      <c r="R87" s="336">
        <f t="shared" ref="R87:T87" si="14">SUM(R79:R86)</f>
        <v>0</v>
      </c>
      <c r="S87" s="336">
        <f t="shared" si="14"/>
        <v>0</v>
      </c>
      <c r="T87" s="336">
        <f t="shared" si="14"/>
        <v>165</v>
      </c>
      <c r="U87" s="469"/>
    </row>
    <row r="88" spans="1:21" s="325" customFormat="1" ht="11.25" customHeight="1" x14ac:dyDescent="0.2">
      <c r="A88" s="328" t="s">
        <v>378</v>
      </c>
      <c r="B88" s="329" t="s">
        <v>424</v>
      </c>
      <c r="C88" s="329" t="s">
        <v>180</v>
      </c>
      <c r="D88" s="329" t="s">
        <v>1333</v>
      </c>
      <c r="E88" s="329" t="s">
        <v>285</v>
      </c>
      <c r="F88" s="330" t="s">
        <v>464</v>
      </c>
      <c r="G88" s="463"/>
      <c r="H88" s="639"/>
      <c r="I88" s="699"/>
      <c r="J88" s="338"/>
      <c r="K88" s="338"/>
      <c r="L88" s="338"/>
      <c r="M88" s="338"/>
      <c r="N88" s="338"/>
      <c r="O88" s="338"/>
      <c r="P88" s="338"/>
      <c r="Q88" s="702"/>
      <c r="R88" s="642"/>
      <c r="S88" s="346"/>
      <c r="T88" s="346"/>
      <c r="U88" s="469" t="s">
        <v>1330</v>
      </c>
    </row>
    <row r="89" spans="1:21" s="325" customFormat="1" ht="11.25" customHeight="1" x14ac:dyDescent="0.2">
      <c r="A89" s="328" t="s">
        <v>378</v>
      </c>
      <c r="B89" s="329" t="s">
        <v>1305</v>
      </c>
      <c r="C89" s="329" t="s">
        <v>180</v>
      </c>
      <c r="D89" s="329" t="s">
        <v>1334</v>
      </c>
      <c r="E89" s="329" t="s">
        <v>179</v>
      </c>
      <c r="F89" s="330" t="s">
        <v>464</v>
      </c>
      <c r="G89" s="463"/>
      <c r="H89" s="639">
        <v>11</v>
      </c>
      <c r="I89" s="699">
        <v>11</v>
      </c>
      <c r="J89" s="338">
        <v>11</v>
      </c>
      <c r="K89" s="338">
        <v>11</v>
      </c>
      <c r="L89" s="338"/>
      <c r="M89" s="338"/>
      <c r="N89" s="338"/>
      <c r="O89" s="338"/>
      <c r="P89" s="338"/>
      <c r="Q89" s="702"/>
      <c r="R89" s="642" t="s">
        <v>1561</v>
      </c>
      <c r="S89" s="346"/>
      <c r="T89" s="346"/>
      <c r="U89" s="469"/>
    </row>
    <row r="90" spans="1:21" s="325" customFormat="1" ht="11.25" customHeight="1" x14ac:dyDescent="0.2">
      <c r="A90" s="331" t="s">
        <v>3</v>
      </c>
      <c r="B90" s="332"/>
      <c r="C90" s="332"/>
      <c r="D90" s="333"/>
      <c r="E90" s="334"/>
      <c r="F90" s="335"/>
      <c r="G90" s="472"/>
      <c r="H90" s="336">
        <f>SUM(H88:H89)</f>
        <v>11</v>
      </c>
      <c r="I90" s="336">
        <f t="shared" ref="I90:Q90" si="15">SUM(I88:I89)</f>
        <v>11</v>
      </c>
      <c r="J90" s="336">
        <f t="shared" si="15"/>
        <v>11</v>
      </c>
      <c r="K90" s="336">
        <f t="shared" si="15"/>
        <v>11</v>
      </c>
      <c r="L90" s="336">
        <f t="shared" si="15"/>
        <v>0</v>
      </c>
      <c r="M90" s="336">
        <f t="shared" si="15"/>
        <v>0</v>
      </c>
      <c r="N90" s="336">
        <f t="shared" si="15"/>
        <v>0</v>
      </c>
      <c r="O90" s="336">
        <f t="shared" si="15"/>
        <v>0</v>
      </c>
      <c r="P90" s="336">
        <f t="shared" si="15"/>
        <v>0</v>
      </c>
      <c r="Q90" s="336">
        <f t="shared" si="15"/>
        <v>0</v>
      </c>
      <c r="R90" s="336">
        <f t="shared" ref="R90:T90" si="16">SUM(R88:R89)</f>
        <v>0</v>
      </c>
      <c r="S90" s="336">
        <f t="shared" si="16"/>
        <v>0</v>
      </c>
      <c r="T90" s="336">
        <f t="shared" si="16"/>
        <v>0</v>
      </c>
      <c r="U90" s="469"/>
    </row>
    <row r="91" spans="1:21" s="325" customFormat="1" ht="11.25" customHeight="1" x14ac:dyDescent="0.2">
      <c r="A91" s="328" t="s">
        <v>378</v>
      </c>
      <c r="B91" s="329" t="s">
        <v>1305</v>
      </c>
      <c r="C91" s="329" t="s">
        <v>185</v>
      </c>
      <c r="D91" s="329" t="s">
        <v>523</v>
      </c>
      <c r="E91" s="329" t="s">
        <v>191</v>
      </c>
      <c r="F91" s="330" t="s">
        <v>466</v>
      </c>
      <c r="G91" s="463"/>
      <c r="H91" s="639"/>
      <c r="I91" s="699"/>
      <c r="J91" s="338"/>
      <c r="K91" s="338"/>
      <c r="L91" s="338"/>
      <c r="M91" s="338"/>
      <c r="N91" s="338"/>
      <c r="O91" s="338"/>
      <c r="P91" s="338"/>
      <c r="Q91" s="702"/>
      <c r="R91" s="642"/>
      <c r="S91" s="346"/>
      <c r="T91" s="346"/>
      <c r="U91" s="469"/>
    </row>
    <row r="92" spans="1:21" s="325" customFormat="1" ht="11.25" customHeight="1" x14ac:dyDescent="0.2">
      <c r="A92" s="328" t="s">
        <v>378</v>
      </c>
      <c r="B92" s="329" t="s">
        <v>1305</v>
      </c>
      <c r="C92" s="329" t="s">
        <v>185</v>
      </c>
      <c r="D92" s="329" t="s">
        <v>676</v>
      </c>
      <c r="E92" s="329" t="s">
        <v>193</v>
      </c>
      <c r="F92" s="330" t="s">
        <v>466</v>
      </c>
      <c r="G92" s="463" t="s">
        <v>1304</v>
      </c>
      <c r="H92" s="639">
        <v>12</v>
      </c>
      <c r="I92" s="699"/>
      <c r="J92" s="338"/>
      <c r="K92" s="338"/>
      <c r="L92" s="338">
        <v>20</v>
      </c>
      <c r="M92" s="338"/>
      <c r="N92" s="338"/>
      <c r="O92" s="338"/>
      <c r="P92" s="338"/>
      <c r="Q92" s="702"/>
      <c r="R92" s="642" t="s">
        <v>1647</v>
      </c>
      <c r="S92" s="346"/>
      <c r="T92" s="346"/>
      <c r="U92" s="469"/>
    </row>
    <row r="93" spans="1:21" s="325" customFormat="1" ht="11.25" customHeight="1" x14ac:dyDescent="0.2">
      <c r="A93" s="328" t="s">
        <v>378</v>
      </c>
      <c r="B93" s="329" t="s">
        <v>1305</v>
      </c>
      <c r="C93" s="329" t="s">
        <v>185</v>
      </c>
      <c r="D93" s="329" t="s">
        <v>1335</v>
      </c>
      <c r="E93" s="329" t="s">
        <v>195</v>
      </c>
      <c r="F93" s="330" t="s">
        <v>466</v>
      </c>
      <c r="G93" s="463"/>
      <c r="H93" s="639">
        <v>59</v>
      </c>
      <c r="I93" s="699">
        <v>29</v>
      </c>
      <c r="J93" s="338">
        <v>59</v>
      </c>
      <c r="K93" s="338">
        <v>29</v>
      </c>
      <c r="L93" s="338">
        <v>531</v>
      </c>
      <c r="M93" s="338">
        <v>92</v>
      </c>
      <c r="N93" s="338"/>
      <c r="O93" s="338"/>
      <c r="P93" s="338"/>
      <c r="Q93" s="702"/>
      <c r="R93" s="642" t="s">
        <v>1734</v>
      </c>
      <c r="S93" s="346"/>
      <c r="T93" s="346"/>
      <c r="U93" s="469" t="s">
        <v>1592</v>
      </c>
    </row>
    <row r="94" spans="1:21" s="325" customFormat="1" ht="11.25" customHeight="1" x14ac:dyDescent="0.2">
      <c r="A94" s="328" t="s">
        <v>378</v>
      </c>
      <c r="B94" s="329" t="s">
        <v>424</v>
      </c>
      <c r="C94" s="329" t="s">
        <v>185</v>
      </c>
      <c r="D94" s="329" t="s">
        <v>186</v>
      </c>
      <c r="E94" s="339" t="s">
        <v>184</v>
      </c>
      <c r="F94" s="330" t="s">
        <v>464</v>
      </c>
      <c r="G94" s="345" t="s">
        <v>1460</v>
      </c>
      <c r="H94" s="639"/>
      <c r="I94" s="699"/>
      <c r="J94" s="338"/>
      <c r="K94" s="338"/>
      <c r="L94" s="338"/>
      <c r="M94" s="338"/>
      <c r="N94" s="338"/>
      <c r="O94" s="338"/>
      <c r="P94" s="338"/>
      <c r="Q94" s="702"/>
      <c r="R94" s="642"/>
      <c r="S94" s="346"/>
      <c r="T94" s="346"/>
      <c r="U94" s="469"/>
    </row>
    <row r="95" spans="1:21" s="325" customFormat="1" ht="11.25" customHeight="1" x14ac:dyDescent="0.2">
      <c r="A95" s="328" t="s">
        <v>378</v>
      </c>
      <c r="B95" s="329" t="s">
        <v>1300</v>
      </c>
      <c r="C95" s="329" t="s">
        <v>185</v>
      </c>
      <c r="D95" s="329" t="s">
        <v>1336</v>
      </c>
      <c r="E95" s="329" t="s">
        <v>222</v>
      </c>
      <c r="F95" s="330" t="s">
        <v>464</v>
      </c>
      <c r="G95" s="463"/>
      <c r="H95" s="639">
        <v>45</v>
      </c>
      <c r="I95" s="699">
        <v>45</v>
      </c>
      <c r="J95" s="338">
        <v>45</v>
      </c>
      <c r="K95" s="338">
        <v>45</v>
      </c>
      <c r="L95" s="338"/>
      <c r="M95" s="338"/>
      <c r="N95" s="338"/>
      <c r="O95" s="338"/>
      <c r="P95" s="338">
        <v>1</v>
      </c>
      <c r="Q95" s="702">
        <v>1</v>
      </c>
      <c r="R95" s="642" t="s">
        <v>1595</v>
      </c>
      <c r="S95" s="346"/>
      <c r="T95" s="346"/>
      <c r="U95" s="469"/>
    </row>
    <row r="96" spans="1:21" s="325" customFormat="1" ht="11.25" customHeight="1" x14ac:dyDescent="0.2">
      <c r="A96" s="328" t="s">
        <v>378</v>
      </c>
      <c r="B96" s="329" t="s">
        <v>424</v>
      </c>
      <c r="C96" s="329" t="s">
        <v>185</v>
      </c>
      <c r="D96" s="339" t="s">
        <v>190</v>
      </c>
      <c r="E96" s="339" t="s">
        <v>189</v>
      </c>
      <c r="F96" s="330" t="s">
        <v>464</v>
      </c>
      <c r="G96" s="466"/>
      <c r="H96" s="639">
        <v>52</v>
      </c>
      <c r="I96" s="699">
        <v>52</v>
      </c>
      <c r="J96" s="338"/>
      <c r="K96" s="338"/>
      <c r="L96" s="338">
        <v>12</v>
      </c>
      <c r="M96" s="338">
        <v>12</v>
      </c>
      <c r="N96" s="338"/>
      <c r="O96" s="338"/>
      <c r="P96" s="338"/>
      <c r="Q96" s="702"/>
      <c r="R96" s="642" t="s">
        <v>1642</v>
      </c>
      <c r="S96" s="346"/>
      <c r="T96" s="346"/>
      <c r="U96" s="469"/>
    </row>
    <row r="97" spans="1:21" s="325" customFormat="1" ht="11.25" customHeight="1" x14ac:dyDescent="0.2">
      <c r="A97" s="328" t="s">
        <v>378</v>
      </c>
      <c r="B97" s="329" t="s">
        <v>424</v>
      </c>
      <c r="C97" s="329" t="s">
        <v>185</v>
      </c>
      <c r="D97" s="329" t="s">
        <v>1339</v>
      </c>
      <c r="E97" s="329" t="s">
        <v>228</v>
      </c>
      <c r="F97" s="330" t="s">
        <v>464</v>
      </c>
      <c r="G97" s="463" t="s">
        <v>1304</v>
      </c>
      <c r="H97" s="639"/>
      <c r="I97" s="699"/>
      <c r="J97" s="338"/>
      <c r="K97" s="338"/>
      <c r="L97" s="338">
        <v>3</v>
      </c>
      <c r="M97" s="338">
        <v>3</v>
      </c>
      <c r="N97" s="338"/>
      <c r="O97" s="338"/>
      <c r="P97" s="338"/>
      <c r="Q97" s="702"/>
      <c r="R97" s="642" t="s">
        <v>1599</v>
      </c>
      <c r="S97" s="346"/>
      <c r="T97" s="346"/>
      <c r="U97" s="469" t="s">
        <v>1330</v>
      </c>
    </row>
    <row r="98" spans="1:21" s="325" customFormat="1" ht="11.25" customHeight="1" x14ac:dyDescent="0.2">
      <c r="A98" s="328" t="s">
        <v>378</v>
      </c>
      <c r="B98" s="329" t="s">
        <v>1300</v>
      </c>
      <c r="C98" s="329" t="s">
        <v>185</v>
      </c>
      <c r="D98" s="329" t="s">
        <v>202</v>
      </c>
      <c r="E98" s="329" t="s">
        <v>201</v>
      </c>
      <c r="F98" s="330" t="s">
        <v>464</v>
      </c>
      <c r="G98" s="463"/>
      <c r="H98" s="639"/>
      <c r="I98" s="699"/>
      <c r="J98" s="338"/>
      <c r="K98" s="338"/>
      <c r="L98" s="338"/>
      <c r="M98" s="338"/>
      <c r="N98" s="338"/>
      <c r="O98" s="338"/>
      <c r="P98" s="338"/>
      <c r="Q98" s="702"/>
      <c r="R98" s="642"/>
      <c r="S98" s="346"/>
      <c r="T98" s="346"/>
      <c r="U98" s="469"/>
    </row>
    <row r="99" spans="1:21" s="325" customFormat="1" ht="11.25" customHeight="1" x14ac:dyDescent="0.2">
      <c r="A99" s="328" t="s">
        <v>378</v>
      </c>
      <c r="B99" s="329" t="s">
        <v>424</v>
      </c>
      <c r="C99" s="329" t="s">
        <v>185</v>
      </c>
      <c r="D99" s="329" t="s">
        <v>209</v>
      </c>
      <c r="E99" s="329" t="s">
        <v>208</v>
      </c>
      <c r="F99" s="330" t="s">
        <v>464</v>
      </c>
      <c r="G99" s="463" t="s">
        <v>1304</v>
      </c>
      <c r="H99" s="639">
        <v>40</v>
      </c>
      <c r="I99" s="699">
        <v>40</v>
      </c>
      <c r="J99" s="338">
        <v>40</v>
      </c>
      <c r="K99" s="338">
        <v>40</v>
      </c>
      <c r="L99" s="338">
        <v>102</v>
      </c>
      <c r="M99" s="338">
        <v>20</v>
      </c>
      <c r="N99" s="338"/>
      <c r="O99" s="338"/>
      <c r="P99" s="338"/>
      <c r="Q99" s="702"/>
      <c r="R99" s="642" t="s">
        <v>1735</v>
      </c>
      <c r="S99" s="346"/>
      <c r="T99" s="346"/>
      <c r="U99" s="469" t="s">
        <v>1330</v>
      </c>
    </row>
    <row r="100" spans="1:21" s="325" customFormat="1" ht="11.25" customHeight="1" x14ac:dyDescent="0.2">
      <c r="A100" s="328" t="s">
        <v>378</v>
      </c>
      <c r="B100" s="329" t="s">
        <v>1300</v>
      </c>
      <c r="C100" s="329" t="s">
        <v>185</v>
      </c>
      <c r="D100" s="329" t="s">
        <v>1338</v>
      </c>
      <c r="E100" s="329" t="s">
        <v>214</v>
      </c>
      <c r="F100" s="330" t="s">
        <v>466</v>
      </c>
      <c r="G100" s="463"/>
      <c r="H100" s="639">
        <v>95</v>
      </c>
      <c r="I100" s="699"/>
      <c r="J100" s="338">
        <v>95</v>
      </c>
      <c r="K100" s="338"/>
      <c r="L100" s="338"/>
      <c r="M100" s="338"/>
      <c r="N100" s="338"/>
      <c r="O100" s="338"/>
      <c r="P100" s="338"/>
      <c r="Q100" s="702"/>
      <c r="R100" s="642" t="s">
        <v>1645</v>
      </c>
      <c r="S100" s="346"/>
      <c r="T100" s="346"/>
      <c r="U100" s="469" t="s">
        <v>1594</v>
      </c>
    </row>
    <row r="101" spans="1:21" s="325" customFormat="1" ht="11.25" customHeight="1" x14ac:dyDescent="0.2">
      <c r="A101" s="328" t="s">
        <v>378</v>
      </c>
      <c r="B101" s="329" t="s">
        <v>1300</v>
      </c>
      <c r="C101" s="329" t="s">
        <v>185</v>
      </c>
      <c r="D101" s="329" t="s">
        <v>1340</v>
      </c>
      <c r="E101" s="339" t="s">
        <v>218</v>
      </c>
      <c r="F101" s="343" t="s">
        <v>466</v>
      </c>
      <c r="G101" s="345"/>
      <c r="H101" s="639">
        <v>20</v>
      </c>
      <c r="I101" s="699">
        <v>20</v>
      </c>
      <c r="J101" s="338">
        <v>20</v>
      </c>
      <c r="K101" s="338">
        <v>20</v>
      </c>
      <c r="L101" s="338"/>
      <c r="M101" s="338"/>
      <c r="N101" s="338"/>
      <c r="O101" s="338"/>
      <c r="P101" s="338"/>
      <c r="Q101" s="702"/>
      <c r="R101" s="642" t="s">
        <v>1595</v>
      </c>
      <c r="S101" s="346"/>
      <c r="T101" s="346"/>
      <c r="U101" s="469"/>
    </row>
    <row r="102" spans="1:21" s="325" customFormat="1" ht="11.25" customHeight="1" x14ac:dyDescent="0.2">
      <c r="A102" s="328" t="s">
        <v>378</v>
      </c>
      <c r="B102" s="329" t="s">
        <v>424</v>
      </c>
      <c r="C102" s="329" t="s">
        <v>185</v>
      </c>
      <c r="D102" s="329" t="s">
        <v>1341</v>
      </c>
      <c r="E102" s="329" t="s">
        <v>224</v>
      </c>
      <c r="F102" s="330" t="s">
        <v>464</v>
      </c>
      <c r="G102" s="463"/>
      <c r="H102" s="639"/>
      <c r="I102" s="699"/>
      <c r="J102" s="338"/>
      <c r="K102" s="338"/>
      <c r="L102" s="338"/>
      <c r="M102" s="338"/>
      <c r="N102" s="338"/>
      <c r="O102" s="338"/>
      <c r="P102" s="338"/>
      <c r="Q102" s="702"/>
      <c r="R102" s="642"/>
      <c r="S102" s="346"/>
      <c r="T102" s="346"/>
      <c r="U102" s="469"/>
    </row>
    <row r="103" spans="1:21" s="325" customFormat="1" ht="11.25" customHeight="1" x14ac:dyDescent="0.2">
      <c r="A103" s="331" t="s">
        <v>3</v>
      </c>
      <c r="B103" s="332"/>
      <c r="C103" s="332"/>
      <c r="D103" s="333"/>
      <c r="E103" s="334"/>
      <c r="F103" s="335"/>
      <c r="G103" s="472"/>
      <c r="H103" s="336">
        <f>SUM(H91:H102)</f>
        <v>323</v>
      </c>
      <c r="I103" s="336">
        <f t="shared" ref="I103:Q103" si="17">SUM(I91:I102)</f>
        <v>186</v>
      </c>
      <c r="J103" s="336">
        <f t="shared" si="17"/>
        <v>259</v>
      </c>
      <c r="K103" s="336">
        <f t="shared" si="17"/>
        <v>134</v>
      </c>
      <c r="L103" s="336">
        <f t="shared" si="17"/>
        <v>668</v>
      </c>
      <c r="M103" s="336">
        <f t="shared" si="17"/>
        <v>127</v>
      </c>
      <c r="N103" s="336">
        <f t="shared" si="17"/>
        <v>0</v>
      </c>
      <c r="O103" s="336">
        <f t="shared" si="17"/>
        <v>0</v>
      </c>
      <c r="P103" s="336">
        <f t="shared" si="17"/>
        <v>1</v>
      </c>
      <c r="Q103" s="336">
        <f t="shared" si="17"/>
        <v>1</v>
      </c>
      <c r="R103" s="336">
        <f t="shared" ref="R103:T103" si="18">SUM(R91:R102)</f>
        <v>0</v>
      </c>
      <c r="S103" s="685">
        <f t="shared" si="18"/>
        <v>0</v>
      </c>
      <c r="T103" s="685">
        <f t="shared" si="18"/>
        <v>0</v>
      </c>
      <c r="U103" s="469"/>
    </row>
    <row r="104" spans="1:21" s="325" customFormat="1" ht="11.25" customHeight="1" x14ac:dyDescent="0.2">
      <c r="A104" s="328" t="s">
        <v>1313</v>
      </c>
      <c r="B104" s="329" t="s">
        <v>424</v>
      </c>
      <c r="C104" s="329" t="s">
        <v>230</v>
      </c>
      <c r="D104" s="329" t="s">
        <v>902</v>
      </c>
      <c r="E104" s="329" t="s">
        <v>903</v>
      </c>
      <c r="F104" s="330" t="s">
        <v>464</v>
      </c>
      <c r="G104" s="463"/>
      <c r="H104" s="639"/>
      <c r="I104" s="699"/>
      <c r="J104" s="338"/>
      <c r="K104" s="338"/>
      <c r="L104" s="338"/>
      <c r="M104" s="338"/>
      <c r="N104" s="338"/>
      <c r="O104" s="338"/>
      <c r="P104" s="338"/>
      <c r="Q104" s="702"/>
      <c r="R104" s="642"/>
      <c r="S104" s="346"/>
      <c r="T104" s="346"/>
      <c r="U104" s="469"/>
    </row>
    <row r="105" spans="1:21" s="325" customFormat="1" ht="11.25" customHeight="1" x14ac:dyDescent="0.2">
      <c r="A105" s="328" t="s">
        <v>1313</v>
      </c>
      <c r="B105" s="329" t="s">
        <v>1316</v>
      </c>
      <c r="C105" s="329" t="s">
        <v>230</v>
      </c>
      <c r="D105" s="329" t="s">
        <v>912</v>
      </c>
      <c r="E105" s="329" t="s">
        <v>913</v>
      </c>
      <c r="F105" s="330" t="s">
        <v>464</v>
      </c>
      <c r="G105" s="344"/>
      <c r="H105" s="639"/>
      <c r="I105" s="699"/>
      <c r="J105" s="338"/>
      <c r="K105" s="338"/>
      <c r="L105" s="338"/>
      <c r="M105" s="338"/>
      <c r="N105" s="338">
        <v>10</v>
      </c>
      <c r="O105" s="338">
        <v>10</v>
      </c>
      <c r="P105" s="338"/>
      <c r="Q105" s="702"/>
      <c r="R105" s="642" t="s">
        <v>1590</v>
      </c>
      <c r="S105" s="346"/>
      <c r="T105" s="346"/>
      <c r="U105" s="469"/>
    </row>
    <row r="106" spans="1:21" s="325" customFormat="1" ht="11.25" customHeight="1" x14ac:dyDescent="0.2">
      <c r="A106" s="329" t="s">
        <v>1313</v>
      </c>
      <c r="B106" s="329" t="s">
        <v>424</v>
      </c>
      <c r="C106" s="329" t="s">
        <v>230</v>
      </c>
      <c r="D106" s="329" t="s">
        <v>716</v>
      </c>
      <c r="E106" s="329" t="s">
        <v>1242</v>
      </c>
      <c r="F106" s="330" t="s">
        <v>464</v>
      </c>
      <c r="G106" s="344" t="s">
        <v>1457</v>
      </c>
      <c r="H106" s="639">
        <v>64</v>
      </c>
      <c r="I106" s="699">
        <v>64</v>
      </c>
      <c r="J106" s="338">
        <v>64</v>
      </c>
      <c r="K106" s="338">
        <v>64</v>
      </c>
      <c r="L106" s="338"/>
      <c r="M106" s="338"/>
      <c r="N106" s="338"/>
      <c r="O106" s="338"/>
      <c r="P106" s="338"/>
      <c r="Q106" s="702"/>
      <c r="R106" s="642" t="s">
        <v>1726</v>
      </c>
      <c r="S106" s="346"/>
      <c r="T106" s="346"/>
      <c r="U106" s="469"/>
    </row>
    <row r="107" spans="1:21" s="325" customFormat="1" ht="11.25" customHeight="1" x14ac:dyDescent="0.2">
      <c r="A107" s="331" t="s">
        <v>3</v>
      </c>
      <c r="B107" s="332"/>
      <c r="C107" s="332"/>
      <c r="D107" s="333"/>
      <c r="E107" s="334"/>
      <c r="F107" s="335"/>
      <c r="G107" s="472"/>
      <c r="H107" s="336">
        <f>SUM(H104:H106)</f>
        <v>64</v>
      </c>
      <c r="I107" s="336">
        <f t="shared" ref="I107:Q107" si="19">SUM(I104:I106)</f>
        <v>64</v>
      </c>
      <c r="J107" s="336">
        <f t="shared" si="19"/>
        <v>64</v>
      </c>
      <c r="K107" s="336">
        <f t="shared" si="19"/>
        <v>64</v>
      </c>
      <c r="L107" s="336">
        <f t="shared" si="19"/>
        <v>0</v>
      </c>
      <c r="M107" s="336">
        <f t="shared" si="19"/>
        <v>0</v>
      </c>
      <c r="N107" s="336">
        <f t="shared" si="19"/>
        <v>10</v>
      </c>
      <c r="O107" s="336">
        <f t="shared" si="19"/>
        <v>10</v>
      </c>
      <c r="P107" s="336">
        <f t="shared" si="19"/>
        <v>0</v>
      </c>
      <c r="Q107" s="336">
        <f t="shared" si="19"/>
        <v>0</v>
      </c>
      <c r="R107" s="336">
        <f t="shared" ref="R107:T107" si="20">SUM(R104:R106)</f>
        <v>0</v>
      </c>
      <c r="S107" s="685">
        <f t="shared" si="20"/>
        <v>0</v>
      </c>
      <c r="T107" s="685">
        <f t="shared" si="20"/>
        <v>0</v>
      </c>
      <c r="U107" s="469"/>
    </row>
    <row r="108" spans="1:21" s="325" customFormat="1" ht="11.25" customHeight="1" x14ac:dyDescent="0.2">
      <c r="A108" s="328" t="s">
        <v>378</v>
      </c>
      <c r="B108" s="329" t="s">
        <v>424</v>
      </c>
      <c r="C108" s="329" t="s">
        <v>237</v>
      </c>
      <c r="D108" s="329" t="s">
        <v>1342</v>
      </c>
      <c r="E108" s="329" t="s">
        <v>245</v>
      </c>
      <c r="F108" s="330" t="s">
        <v>464</v>
      </c>
      <c r="G108" s="463"/>
      <c r="H108" s="639"/>
      <c r="I108" s="699"/>
      <c r="J108" s="338"/>
      <c r="K108" s="338"/>
      <c r="L108" s="338"/>
      <c r="M108" s="338"/>
      <c r="N108" s="338"/>
      <c r="O108" s="338"/>
      <c r="P108" s="338"/>
      <c r="Q108" s="702"/>
      <c r="R108" s="642"/>
      <c r="S108" s="346"/>
      <c r="T108" s="346"/>
      <c r="U108" s="469"/>
    </row>
    <row r="109" spans="1:21" s="325" customFormat="1" ht="11.25" customHeight="1" x14ac:dyDescent="0.2">
      <c r="A109" s="328" t="s">
        <v>378</v>
      </c>
      <c r="B109" s="329" t="s">
        <v>424</v>
      </c>
      <c r="C109" s="329" t="s">
        <v>237</v>
      </c>
      <c r="D109" s="329" t="s">
        <v>1343</v>
      </c>
      <c r="E109" s="329" t="s">
        <v>251</v>
      </c>
      <c r="F109" s="330" t="s">
        <v>464</v>
      </c>
      <c r="G109" s="344" t="s">
        <v>1304</v>
      </c>
      <c r="H109" s="639">
        <v>23</v>
      </c>
      <c r="I109" s="699"/>
      <c r="J109" s="338">
        <v>23</v>
      </c>
      <c r="K109" s="338"/>
      <c r="L109" s="338"/>
      <c r="M109" s="338"/>
      <c r="N109" s="338">
        <v>100</v>
      </c>
      <c r="O109" s="338"/>
      <c r="P109" s="338"/>
      <c r="Q109" s="702"/>
      <c r="R109" s="642" t="s">
        <v>1720</v>
      </c>
      <c r="S109" s="346"/>
      <c r="T109" s="346"/>
      <c r="U109" s="469"/>
    </row>
    <row r="110" spans="1:21" s="325" customFormat="1" ht="11.25" customHeight="1" x14ac:dyDescent="0.2">
      <c r="A110" s="328" t="s">
        <v>378</v>
      </c>
      <c r="B110" s="329" t="s">
        <v>1305</v>
      </c>
      <c r="C110" s="329" t="s">
        <v>237</v>
      </c>
      <c r="D110" s="329" t="s">
        <v>1344</v>
      </c>
      <c r="E110" s="329" t="s">
        <v>253</v>
      </c>
      <c r="F110" s="330" t="s">
        <v>464</v>
      </c>
      <c r="G110" s="463"/>
      <c r="H110" s="639"/>
      <c r="I110" s="699"/>
      <c r="J110" s="338"/>
      <c r="K110" s="338"/>
      <c r="L110" s="338"/>
      <c r="M110" s="338"/>
      <c r="N110" s="338"/>
      <c r="O110" s="338"/>
      <c r="P110" s="338"/>
      <c r="Q110" s="702"/>
      <c r="R110" s="642"/>
      <c r="S110" s="346"/>
      <c r="T110" s="346"/>
      <c r="U110" s="469"/>
    </row>
    <row r="111" spans="1:21" s="325" customFormat="1" ht="11.25" customHeight="1" x14ac:dyDescent="0.2">
      <c r="A111" s="328" t="s">
        <v>378</v>
      </c>
      <c r="B111" s="329" t="s">
        <v>424</v>
      </c>
      <c r="C111" s="329" t="s">
        <v>237</v>
      </c>
      <c r="D111" s="329" t="s">
        <v>256</v>
      </c>
      <c r="E111" s="329" t="s">
        <v>255</v>
      </c>
      <c r="F111" s="330" t="s">
        <v>464</v>
      </c>
      <c r="G111" s="345"/>
      <c r="H111" s="639"/>
      <c r="I111" s="699"/>
      <c r="J111" s="338"/>
      <c r="K111" s="338"/>
      <c r="L111" s="338"/>
      <c r="M111" s="338"/>
      <c r="N111" s="338"/>
      <c r="O111" s="338"/>
      <c r="P111" s="338"/>
      <c r="Q111" s="702"/>
      <c r="R111" s="642"/>
      <c r="S111" s="346"/>
      <c r="T111" s="346"/>
      <c r="U111" s="469"/>
    </row>
    <row r="112" spans="1:21" s="325" customFormat="1" ht="11.25" customHeight="1" x14ac:dyDescent="0.2">
      <c r="A112" s="328" t="s">
        <v>378</v>
      </c>
      <c r="B112" s="329" t="s">
        <v>424</v>
      </c>
      <c r="C112" s="329" t="s">
        <v>237</v>
      </c>
      <c r="D112" s="329" t="s">
        <v>240</v>
      </c>
      <c r="E112" s="329" t="s">
        <v>239</v>
      </c>
      <c r="F112" s="330" t="s">
        <v>464</v>
      </c>
      <c r="G112" s="463"/>
      <c r="H112" s="639"/>
      <c r="I112" s="699"/>
      <c r="J112" s="338"/>
      <c r="K112" s="338"/>
      <c r="L112" s="338"/>
      <c r="M112" s="338"/>
      <c r="N112" s="338"/>
      <c r="O112" s="338"/>
      <c r="P112" s="338"/>
      <c r="Q112" s="702"/>
      <c r="R112" s="642"/>
      <c r="S112" s="346"/>
      <c r="T112" s="346"/>
      <c r="U112" s="469"/>
    </row>
    <row r="113" spans="1:21" s="325" customFormat="1" ht="11.25" customHeight="1" x14ac:dyDescent="0.2">
      <c r="A113" s="328" t="s">
        <v>378</v>
      </c>
      <c r="B113" s="329" t="s">
        <v>424</v>
      </c>
      <c r="C113" s="329" t="s">
        <v>237</v>
      </c>
      <c r="D113" s="329" t="s">
        <v>1345</v>
      </c>
      <c r="E113" s="329" t="s">
        <v>283</v>
      </c>
      <c r="F113" s="330" t="s">
        <v>464</v>
      </c>
      <c r="G113" s="345" t="s">
        <v>1304</v>
      </c>
      <c r="H113" s="639"/>
      <c r="I113" s="699"/>
      <c r="J113" s="338"/>
      <c r="K113" s="338"/>
      <c r="L113" s="338"/>
      <c r="M113" s="338"/>
      <c r="N113" s="338">
        <v>60</v>
      </c>
      <c r="O113" s="338">
        <v>60</v>
      </c>
      <c r="P113" s="338"/>
      <c r="Q113" s="702"/>
      <c r="R113" s="642" t="s">
        <v>1599</v>
      </c>
      <c r="S113" s="346"/>
      <c r="T113" s="346"/>
      <c r="U113" s="469"/>
    </row>
    <row r="114" spans="1:21" s="325" customFormat="1" ht="11.25" customHeight="1" x14ac:dyDescent="0.2">
      <c r="A114" s="328" t="s">
        <v>378</v>
      </c>
      <c r="B114" s="329" t="s">
        <v>424</v>
      </c>
      <c r="C114" s="329" t="s">
        <v>237</v>
      </c>
      <c r="D114" s="329" t="s">
        <v>258</v>
      </c>
      <c r="E114" s="329" t="s">
        <v>257</v>
      </c>
      <c r="F114" s="330" t="s">
        <v>464</v>
      </c>
      <c r="G114" s="463" t="s">
        <v>1600</v>
      </c>
      <c r="H114" s="639">
        <v>6</v>
      </c>
      <c r="I114" s="699"/>
      <c r="J114" s="338">
        <v>6</v>
      </c>
      <c r="K114" s="338"/>
      <c r="L114" s="338"/>
      <c r="M114" s="338"/>
      <c r="N114" s="338"/>
      <c r="O114" s="338"/>
      <c r="P114" s="338"/>
      <c r="Q114" s="702"/>
      <c r="R114" s="642" t="s">
        <v>1719</v>
      </c>
      <c r="S114" s="346"/>
      <c r="T114" s="346"/>
      <c r="U114" s="469"/>
    </row>
    <row r="115" spans="1:21" s="325" customFormat="1" ht="11.25" customHeight="1" x14ac:dyDescent="0.2">
      <c r="A115" s="328" t="s">
        <v>378</v>
      </c>
      <c r="B115" s="329" t="s">
        <v>424</v>
      </c>
      <c r="C115" s="329" t="s">
        <v>237</v>
      </c>
      <c r="D115" s="329" t="s">
        <v>260</v>
      </c>
      <c r="E115" s="329" t="s">
        <v>259</v>
      </c>
      <c r="F115" s="330" t="s">
        <v>464</v>
      </c>
      <c r="G115" s="344" t="s">
        <v>1304</v>
      </c>
      <c r="H115" s="639"/>
      <c r="I115" s="699"/>
      <c r="J115" s="338"/>
      <c r="K115" s="338"/>
      <c r="L115" s="338"/>
      <c r="M115" s="338"/>
      <c r="N115" s="338">
        <v>46</v>
      </c>
      <c r="O115" s="338">
        <v>46</v>
      </c>
      <c r="P115" s="338"/>
      <c r="Q115" s="702"/>
      <c r="R115" s="642" t="s">
        <v>1599</v>
      </c>
      <c r="S115" s="346"/>
      <c r="T115" s="346"/>
      <c r="U115" s="469"/>
    </row>
    <row r="116" spans="1:21" s="325" customFormat="1" ht="11.25" customHeight="1" x14ac:dyDescent="0.2">
      <c r="A116" s="328" t="s">
        <v>378</v>
      </c>
      <c r="B116" s="329" t="s">
        <v>462</v>
      </c>
      <c r="C116" s="329" t="s">
        <v>237</v>
      </c>
      <c r="D116" s="329" t="s">
        <v>262</v>
      </c>
      <c r="E116" s="329" t="s">
        <v>261</v>
      </c>
      <c r="F116" s="330" t="s">
        <v>464</v>
      </c>
      <c r="G116" s="463"/>
      <c r="H116" s="639"/>
      <c r="I116" s="699"/>
      <c r="J116" s="338"/>
      <c r="K116" s="338"/>
      <c r="L116" s="338"/>
      <c r="M116" s="338"/>
      <c r="N116" s="338">
        <v>20</v>
      </c>
      <c r="O116" s="338">
        <v>20</v>
      </c>
      <c r="P116" s="338"/>
      <c r="Q116" s="702"/>
      <c r="R116" s="642" t="s">
        <v>1598</v>
      </c>
      <c r="S116" s="346"/>
      <c r="T116" s="346"/>
      <c r="U116" s="469"/>
    </row>
    <row r="117" spans="1:21" s="325" customFormat="1" ht="11.25" customHeight="1" x14ac:dyDescent="0.2">
      <c r="A117" s="328" t="s">
        <v>378</v>
      </c>
      <c r="B117" s="329" t="s">
        <v>462</v>
      </c>
      <c r="C117" s="329" t="s">
        <v>237</v>
      </c>
      <c r="D117" s="329" t="s">
        <v>264</v>
      </c>
      <c r="E117" s="329" t="s">
        <v>263</v>
      </c>
      <c r="F117" s="330" t="s">
        <v>464</v>
      </c>
      <c r="G117" s="344"/>
      <c r="H117" s="639"/>
      <c r="I117" s="699"/>
      <c r="J117" s="338"/>
      <c r="K117" s="338"/>
      <c r="L117" s="338"/>
      <c r="M117" s="338"/>
      <c r="N117" s="338"/>
      <c r="O117" s="338"/>
      <c r="P117" s="338"/>
      <c r="Q117" s="702"/>
      <c r="R117" s="642"/>
      <c r="S117" s="346"/>
      <c r="T117" s="346"/>
      <c r="U117" s="469"/>
    </row>
    <row r="118" spans="1:21" s="325" customFormat="1" ht="11.25" customHeight="1" x14ac:dyDescent="0.2">
      <c r="A118" s="328" t="s">
        <v>378</v>
      </c>
      <c r="B118" s="329" t="s">
        <v>1305</v>
      </c>
      <c r="C118" s="329" t="s">
        <v>237</v>
      </c>
      <c r="D118" s="329" t="s">
        <v>1346</v>
      </c>
      <c r="E118" s="329" t="s">
        <v>269</v>
      </c>
      <c r="F118" s="330" t="s">
        <v>464</v>
      </c>
      <c r="G118" s="463" t="s">
        <v>1304</v>
      </c>
      <c r="H118" s="639"/>
      <c r="I118" s="699"/>
      <c r="J118" s="338"/>
      <c r="K118" s="338"/>
      <c r="L118" s="338"/>
      <c r="M118" s="338"/>
      <c r="N118" s="338">
        <v>58</v>
      </c>
      <c r="O118" s="338">
        <v>58</v>
      </c>
      <c r="P118" s="338"/>
      <c r="Q118" s="702"/>
      <c r="R118" s="642" t="s">
        <v>1561</v>
      </c>
      <c r="S118" s="346"/>
      <c r="T118" s="346"/>
      <c r="U118" s="469"/>
    </row>
    <row r="119" spans="1:21" s="325" customFormat="1" ht="11.25" customHeight="1" x14ac:dyDescent="0.2">
      <c r="A119" s="328" t="s">
        <v>378</v>
      </c>
      <c r="B119" s="329" t="s">
        <v>424</v>
      </c>
      <c r="C119" s="329" t="s">
        <v>237</v>
      </c>
      <c r="D119" s="329" t="s">
        <v>1347</v>
      </c>
      <c r="E119" s="329" t="s">
        <v>267</v>
      </c>
      <c r="F119" s="330" t="s">
        <v>464</v>
      </c>
      <c r="G119" s="344"/>
      <c r="H119" s="639"/>
      <c r="I119" s="699"/>
      <c r="J119" s="338"/>
      <c r="K119" s="338"/>
      <c r="L119" s="338"/>
      <c r="M119" s="338"/>
      <c r="N119" s="338"/>
      <c r="O119" s="338"/>
      <c r="P119" s="338"/>
      <c r="Q119" s="702"/>
      <c r="R119" s="642"/>
      <c r="S119" s="346"/>
      <c r="T119" s="346"/>
      <c r="U119" s="469"/>
    </row>
    <row r="120" spans="1:21" s="325" customFormat="1" ht="11.25" customHeight="1" x14ac:dyDescent="0.2">
      <c r="A120" s="328" t="s">
        <v>378</v>
      </c>
      <c r="B120" s="329" t="s">
        <v>1305</v>
      </c>
      <c r="C120" s="329" t="s">
        <v>237</v>
      </c>
      <c r="D120" s="329" t="s">
        <v>1348</v>
      </c>
      <c r="E120" s="329" t="s">
        <v>271</v>
      </c>
      <c r="F120" s="330" t="s">
        <v>464</v>
      </c>
      <c r="G120" s="463" t="s">
        <v>1304</v>
      </c>
      <c r="H120" s="639">
        <v>65</v>
      </c>
      <c r="I120" s="699">
        <v>65</v>
      </c>
      <c r="J120" s="338">
        <v>65</v>
      </c>
      <c r="K120" s="338">
        <v>65</v>
      </c>
      <c r="L120" s="338"/>
      <c r="M120" s="338"/>
      <c r="N120" s="338">
        <v>40</v>
      </c>
      <c r="O120" s="338">
        <v>40</v>
      </c>
      <c r="P120" s="338"/>
      <c r="Q120" s="702"/>
      <c r="R120" s="642" t="s">
        <v>1733</v>
      </c>
      <c r="S120" s="346"/>
      <c r="T120" s="346"/>
      <c r="U120" s="469"/>
    </row>
    <row r="121" spans="1:21" s="325" customFormat="1" ht="11.25" customHeight="1" x14ac:dyDescent="0.2">
      <c r="A121" s="329" t="s">
        <v>378</v>
      </c>
      <c r="B121" s="329" t="s">
        <v>1305</v>
      </c>
      <c r="C121" s="329" t="s">
        <v>237</v>
      </c>
      <c r="D121" s="329" t="s">
        <v>1723</v>
      </c>
      <c r="E121" s="329" t="s">
        <v>1722</v>
      </c>
      <c r="F121" s="330" t="s">
        <v>464</v>
      </c>
      <c r="G121" s="463"/>
      <c r="H121" s="639">
        <v>150</v>
      </c>
      <c r="I121" s="699">
        <v>150</v>
      </c>
      <c r="J121" s="338">
        <v>150</v>
      </c>
      <c r="K121" s="338">
        <v>150</v>
      </c>
      <c r="L121" s="338"/>
      <c r="M121" s="338"/>
      <c r="N121" s="338"/>
      <c r="O121" s="338"/>
      <c r="P121" s="338"/>
      <c r="Q121" s="702"/>
      <c r="R121" s="642"/>
      <c r="S121" s="346"/>
      <c r="T121" s="346"/>
      <c r="U121" s="469"/>
    </row>
    <row r="122" spans="1:21" s="325" customFormat="1" ht="11.25" customHeight="1" x14ac:dyDescent="0.2">
      <c r="A122" s="328" t="s">
        <v>378</v>
      </c>
      <c r="B122" s="329" t="s">
        <v>424</v>
      </c>
      <c r="C122" s="329" t="s">
        <v>237</v>
      </c>
      <c r="D122" s="329" t="s">
        <v>276</v>
      </c>
      <c r="E122" s="329" t="s">
        <v>275</v>
      </c>
      <c r="F122" s="330" t="s">
        <v>464</v>
      </c>
      <c r="G122" s="345"/>
      <c r="H122" s="639"/>
      <c r="I122" s="699"/>
      <c r="J122" s="338"/>
      <c r="K122" s="338"/>
      <c r="L122" s="338"/>
      <c r="M122" s="338"/>
      <c r="N122" s="338">
        <v>30</v>
      </c>
      <c r="O122" s="338"/>
      <c r="P122" s="338"/>
      <c r="Q122" s="702"/>
      <c r="R122" s="642"/>
      <c r="S122" s="346"/>
      <c r="T122" s="346"/>
      <c r="U122" s="469"/>
    </row>
    <row r="123" spans="1:21" s="325" customFormat="1" ht="11.25" customHeight="1" x14ac:dyDescent="0.2">
      <c r="A123" s="328" t="s">
        <v>378</v>
      </c>
      <c r="B123" s="329" t="s">
        <v>424</v>
      </c>
      <c r="C123" s="329" t="s">
        <v>237</v>
      </c>
      <c r="D123" s="329" t="s">
        <v>280</v>
      </c>
      <c r="E123" s="329" t="s">
        <v>279</v>
      </c>
      <c r="F123" s="330" t="s">
        <v>464</v>
      </c>
      <c r="G123" s="463"/>
      <c r="H123" s="639"/>
      <c r="I123" s="699"/>
      <c r="J123" s="338"/>
      <c r="K123" s="338"/>
      <c r="L123" s="338"/>
      <c r="M123" s="338"/>
      <c r="N123" s="338">
        <v>14</v>
      </c>
      <c r="O123" s="338">
        <v>14</v>
      </c>
      <c r="P123" s="338"/>
      <c r="Q123" s="702"/>
      <c r="R123" s="642" t="s">
        <v>1599</v>
      </c>
      <c r="S123" s="346"/>
      <c r="T123" s="346"/>
      <c r="U123" s="469"/>
    </row>
    <row r="124" spans="1:21" s="325" customFormat="1" ht="11.25" customHeight="1" x14ac:dyDescent="0.2">
      <c r="A124" s="328" t="s">
        <v>378</v>
      </c>
      <c r="B124" s="329" t="s">
        <v>1327</v>
      </c>
      <c r="C124" s="329" t="s">
        <v>237</v>
      </c>
      <c r="D124" s="329" t="s">
        <v>1512</v>
      </c>
      <c r="E124" s="329" t="s">
        <v>1543</v>
      </c>
      <c r="F124" s="330" t="s">
        <v>464</v>
      </c>
      <c r="G124" s="463" t="s">
        <v>1457</v>
      </c>
      <c r="H124" s="639">
        <v>14</v>
      </c>
      <c r="I124" s="699"/>
      <c r="J124" s="338">
        <v>14</v>
      </c>
      <c r="K124" s="338"/>
      <c r="L124" s="338"/>
      <c r="M124" s="338"/>
      <c r="N124" s="338"/>
      <c r="O124" s="338"/>
      <c r="P124" s="338"/>
      <c r="Q124" s="702"/>
      <c r="R124" s="642"/>
      <c r="S124" s="346"/>
      <c r="T124" s="346"/>
      <c r="U124" s="469"/>
    </row>
    <row r="125" spans="1:21" s="325" customFormat="1" ht="11.25" customHeight="1" x14ac:dyDescent="0.2">
      <c r="A125" s="328" t="s">
        <v>378</v>
      </c>
      <c r="B125" s="329" t="s">
        <v>424</v>
      </c>
      <c r="C125" s="329" t="s">
        <v>237</v>
      </c>
      <c r="D125" s="329" t="s">
        <v>238</v>
      </c>
      <c r="E125" s="329" t="s">
        <v>236</v>
      </c>
      <c r="F125" s="330" t="s">
        <v>464</v>
      </c>
      <c r="G125" s="345"/>
      <c r="H125" s="639"/>
      <c r="I125" s="699"/>
      <c r="J125" s="338"/>
      <c r="K125" s="338"/>
      <c r="L125" s="338">
        <v>22</v>
      </c>
      <c r="M125" s="338"/>
      <c r="N125" s="338"/>
      <c r="O125" s="338"/>
      <c r="P125" s="338"/>
      <c r="Q125" s="702"/>
      <c r="R125" s="642" t="s">
        <v>1599</v>
      </c>
      <c r="S125" s="346"/>
      <c r="T125" s="346"/>
      <c r="U125" s="469"/>
    </row>
    <row r="126" spans="1:21" s="325" customFormat="1" ht="11.25" customHeight="1" x14ac:dyDescent="0.2">
      <c r="A126" s="328" t="s">
        <v>378</v>
      </c>
      <c r="B126" s="329" t="s">
        <v>462</v>
      </c>
      <c r="C126" s="329" t="s">
        <v>237</v>
      </c>
      <c r="D126" s="329" t="s">
        <v>1030</v>
      </c>
      <c r="E126" s="329" t="s">
        <v>241</v>
      </c>
      <c r="F126" s="330" t="s">
        <v>464</v>
      </c>
      <c r="G126" s="463"/>
      <c r="H126" s="639"/>
      <c r="I126" s="699"/>
      <c r="J126" s="338"/>
      <c r="K126" s="338"/>
      <c r="L126" s="338"/>
      <c r="M126" s="338"/>
      <c r="N126" s="338">
        <v>22</v>
      </c>
      <c r="O126" s="338">
        <v>22</v>
      </c>
      <c r="P126" s="338"/>
      <c r="Q126" s="702"/>
      <c r="R126" s="642" t="s">
        <v>1598</v>
      </c>
      <c r="S126" s="346"/>
      <c r="T126" s="346"/>
      <c r="U126" s="469"/>
    </row>
    <row r="127" spans="1:21" s="325" customFormat="1" ht="11.25" customHeight="1" x14ac:dyDescent="0.2">
      <c r="A127" s="328" t="s">
        <v>378</v>
      </c>
      <c r="B127" s="329" t="s">
        <v>1327</v>
      </c>
      <c r="C127" s="329" t="s">
        <v>237</v>
      </c>
      <c r="D127" s="329" t="s">
        <v>1666</v>
      </c>
      <c r="E127" s="329" t="s">
        <v>1653</v>
      </c>
      <c r="F127" s="330" t="s">
        <v>464</v>
      </c>
      <c r="G127" s="463"/>
      <c r="H127" s="639"/>
      <c r="I127" s="699"/>
      <c r="J127" s="338"/>
      <c r="K127" s="338"/>
      <c r="L127" s="338"/>
      <c r="M127" s="338"/>
      <c r="N127" s="338"/>
      <c r="O127" s="338"/>
      <c r="P127" s="338"/>
      <c r="Q127" s="702"/>
      <c r="R127" s="642"/>
      <c r="S127" s="346">
        <v>70</v>
      </c>
      <c r="T127" s="346">
        <v>120</v>
      </c>
      <c r="U127" s="469" t="s">
        <v>1716</v>
      </c>
    </row>
    <row r="128" spans="1:21" s="325" customFormat="1" ht="11.25" customHeight="1" x14ac:dyDescent="0.2">
      <c r="A128" s="328" t="s">
        <v>378</v>
      </c>
      <c r="B128" s="329" t="s">
        <v>1327</v>
      </c>
      <c r="C128" s="329" t="s">
        <v>237</v>
      </c>
      <c r="D128" s="329" t="s">
        <v>1671</v>
      </c>
      <c r="E128" s="329" t="s">
        <v>1654</v>
      </c>
      <c r="F128" s="330" t="s">
        <v>464</v>
      </c>
      <c r="G128" s="463"/>
      <c r="H128" s="639"/>
      <c r="I128" s="699"/>
      <c r="J128" s="338"/>
      <c r="K128" s="338"/>
      <c r="L128" s="338"/>
      <c r="M128" s="338"/>
      <c r="N128" s="338"/>
      <c r="O128" s="338"/>
      <c r="P128" s="338"/>
      <c r="Q128" s="702"/>
      <c r="R128" s="642"/>
      <c r="S128" s="346">
        <v>260</v>
      </c>
      <c r="T128" s="346">
        <v>100</v>
      </c>
      <c r="U128" s="469"/>
    </row>
    <row r="129" spans="1:21" s="325" customFormat="1" ht="11.25" customHeight="1" x14ac:dyDescent="0.2">
      <c r="A129" s="328" t="s">
        <v>378</v>
      </c>
      <c r="B129" s="329" t="s">
        <v>462</v>
      </c>
      <c r="C129" s="329" t="s">
        <v>237</v>
      </c>
      <c r="D129" s="329" t="s">
        <v>248</v>
      </c>
      <c r="E129" s="329" t="s">
        <v>247</v>
      </c>
      <c r="F129" s="330" t="s">
        <v>464</v>
      </c>
      <c r="G129" s="345"/>
      <c r="H129" s="639"/>
      <c r="I129" s="699"/>
      <c r="J129" s="338"/>
      <c r="K129" s="338"/>
      <c r="L129" s="338">
        <v>5</v>
      </c>
      <c r="M129" s="338">
        <v>5</v>
      </c>
      <c r="N129" s="338"/>
      <c r="O129" s="338"/>
      <c r="P129" s="338"/>
      <c r="Q129" s="702"/>
      <c r="R129" s="642" t="s">
        <v>1598</v>
      </c>
      <c r="S129" s="346"/>
      <c r="T129" s="346"/>
      <c r="U129" s="469"/>
    </row>
    <row r="130" spans="1:21" s="325" customFormat="1" ht="11.25" customHeight="1" x14ac:dyDescent="0.2">
      <c r="A130" s="328" t="s">
        <v>378</v>
      </c>
      <c r="B130" s="329" t="s">
        <v>424</v>
      </c>
      <c r="C130" s="329" t="s">
        <v>237</v>
      </c>
      <c r="D130" s="329" t="s">
        <v>250</v>
      </c>
      <c r="E130" s="329" t="s">
        <v>249</v>
      </c>
      <c r="F130" s="330" t="s">
        <v>464</v>
      </c>
      <c r="G130" s="463"/>
      <c r="H130" s="639"/>
      <c r="I130" s="699"/>
      <c r="J130" s="338"/>
      <c r="K130" s="338"/>
      <c r="L130" s="338"/>
      <c r="M130" s="338"/>
      <c r="N130" s="338">
        <v>26</v>
      </c>
      <c r="O130" s="338">
        <v>26</v>
      </c>
      <c r="P130" s="338"/>
      <c r="Q130" s="702"/>
      <c r="R130" s="642" t="s">
        <v>1599</v>
      </c>
      <c r="S130" s="346"/>
      <c r="T130" s="346"/>
      <c r="U130" s="469" t="s">
        <v>1330</v>
      </c>
    </row>
    <row r="131" spans="1:21" s="325" customFormat="1" ht="11.25" customHeight="1" x14ac:dyDescent="0.2">
      <c r="A131" s="328" t="s">
        <v>378</v>
      </c>
      <c r="B131" s="329" t="s">
        <v>424</v>
      </c>
      <c r="C131" s="329" t="s">
        <v>237</v>
      </c>
      <c r="D131" s="329" t="s">
        <v>274</v>
      </c>
      <c r="E131" s="329" t="s">
        <v>273</v>
      </c>
      <c r="F131" s="330" t="s">
        <v>464</v>
      </c>
      <c r="G131" s="345" t="s">
        <v>1460</v>
      </c>
      <c r="H131" s="639"/>
      <c r="I131" s="699"/>
      <c r="J131" s="338"/>
      <c r="K131" s="338"/>
      <c r="L131" s="338"/>
      <c r="M131" s="338"/>
      <c r="N131" s="338"/>
      <c r="O131" s="338"/>
      <c r="P131" s="338"/>
      <c r="Q131" s="702"/>
      <c r="R131" s="642"/>
      <c r="S131" s="346"/>
      <c r="T131" s="346"/>
      <c r="U131" s="469"/>
    </row>
    <row r="132" spans="1:21" s="325" customFormat="1" ht="11.25" customHeight="1" x14ac:dyDescent="0.2">
      <c r="A132" s="328" t="s">
        <v>378</v>
      </c>
      <c r="B132" s="329" t="s">
        <v>1327</v>
      </c>
      <c r="C132" s="329" t="s">
        <v>237</v>
      </c>
      <c r="D132" s="329" t="s">
        <v>1792</v>
      </c>
      <c r="E132" s="329" t="s">
        <v>1690</v>
      </c>
      <c r="F132" s="330" t="s">
        <v>464</v>
      </c>
      <c r="G132" s="345"/>
      <c r="H132" s="639">
        <v>75</v>
      </c>
      <c r="I132" s="699">
        <v>75</v>
      </c>
      <c r="J132" s="338">
        <v>75</v>
      </c>
      <c r="K132" s="338">
        <v>75</v>
      </c>
      <c r="L132" s="338"/>
      <c r="M132" s="338"/>
      <c r="N132" s="338"/>
      <c r="O132" s="338"/>
      <c r="P132" s="338"/>
      <c r="Q132" s="702"/>
      <c r="R132" s="642" t="s">
        <v>1560</v>
      </c>
      <c r="S132" s="346">
        <v>90</v>
      </c>
      <c r="T132" s="346">
        <v>115</v>
      </c>
      <c r="U132" s="469"/>
    </row>
    <row r="133" spans="1:21" s="325" customFormat="1" ht="11.25" customHeight="1" x14ac:dyDescent="0.2">
      <c r="A133" s="328" t="s">
        <v>378</v>
      </c>
      <c r="B133" s="329" t="s">
        <v>1327</v>
      </c>
      <c r="C133" s="325" t="s">
        <v>237</v>
      </c>
      <c r="D133" s="329" t="s">
        <v>1697</v>
      </c>
      <c r="E133" s="329" t="s">
        <v>1692</v>
      </c>
      <c r="F133" s="330" t="s">
        <v>464</v>
      </c>
      <c r="G133" s="345"/>
      <c r="H133" s="639"/>
      <c r="I133" s="699"/>
      <c r="J133" s="338"/>
      <c r="K133" s="338"/>
      <c r="L133" s="338"/>
      <c r="M133" s="338"/>
      <c r="N133" s="338"/>
      <c r="O133" s="338"/>
      <c r="P133" s="338"/>
      <c r="Q133" s="702"/>
      <c r="R133" s="642"/>
      <c r="S133" s="346">
        <v>20</v>
      </c>
      <c r="T133" s="346"/>
      <c r="U133" s="469"/>
    </row>
    <row r="134" spans="1:21" s="325" customFormat="1" ht="11.25" customHeight="1" x14ac:dyDescent="0.2">
      <c r="A134" s="328" t="s">
        <v>378</v>
      </c>
      <c r="B134" s="329" t="s">
        <v>462</v>
      </c>
      <c r="C134" s="329" t="s">
        <v>237</v>
      </c>
      <c r="D134" s="329" t="s">
        <v>278</v>
      </c>
      <c r="E134" s="329" t="s">
        <v>277</v>
      </c>
      <c r="F134" s="330" t="s">
        <v>464</v>
      </c>
      <c r="G134" s="463"/>
      <c r="H134" s="639"/>
      <c r="I134" s="699"/>
      <c r="J134" s="338"/>
      <c r="K134" s="338"/>
      <c r="L134" s="338">
        <v>2</v>
      </c>
      <c r="M134" s="338">
        <v>2</v>
      </c>
      <c r="N134" s="338"/>
      <c r="O134" s="338"/>
      <c r="P134" s="338"/>
      <c r="Q134" s="702"/>
      <c r="R134" s="642"/>
      <c r="S134" s="346"/>
      <c r="T134" s="346"/>
      <c r="U134" s="469"/>
    </row>
    <row r="135" spans="1:21" s="325" customFormat="1" ht="11.25" customHeight="1" x14ac:dyDescent="0.2">
      <c r="A135" s="331" t="s">
        <v>3</v>
      </c>
      <c r="B135" s="332"/>
      <c r="C135" s="332"/>
      <c r="D135" s="333"/>
      <c r="E135" s="334"/>
      <c r="F135" s="335"/>
      <c r="G135" s="472"/>
      <c r="H135" s="336">
        <f>SUM(H108:H134)</f>
        <v>333</v>
      </c>
      <c r="I135" s="336">
        <f t="shared" ref="I135:Q135" si="21">SUM(I108:I134)</f>
        <v>290</v>
      </c>
      <c r="J135" s="336">
        <f t="shared" si="21"/>
        <v>333</v>
      </c>
      <c r="K135" s="336">
        <f t="shared" si="21"/>
        <v>290</v>
      </c>
      <c r="L135" s="336">
        <f t="shared" si="21"/>
        <v>29</v>
      </c>
      <c r="M135" s="336">
        <f t="shared" si="21"/>
        <v>7</v>
      </c>
      <c r="N135" s="336">
        <f t="shared" si="21"/>
        <v>416</v>
      </c>
      <c r="O135" s="336">
        <f t="shared" si="21"/>
        <v>286</v>
      </c>
      <c r="P135" s="336">
        <f t="shared" si="21"/>
        <v>0</v>
      </c>
      <c r="Q135" s="336">
        <f t="shared" si="21"/>
        <v>0</v>
      </c>
      <c r="R135" s="336">
        <f t="shared" ref="R135:T135" si="22">SUM(R108:R134)</f>
        <v>0</v>
      </c>
      <c r="S135" s="685">
        <f t="shared" si="22"/>
        <v>440</v>
      </c>
      <c r="T135" s="685">
        <f t="shared" si="22"/>
        <v>335</v>
      </c>
      <c r="U135" s="469"/>
    </row>
    <row r="136" spans="1:21" s="325" customFormat="1" ht="11.25" customHeight="1" x14ac:dyDescent="0.2">
      <c r="A136" s="328" t="s">
        <v>1313</v>
      </c>
      <c r="B136" s="329" t="s">
        <v>424</v>
      </c>
      <c r="C136" s="329" t="s">
        <v>1349</v>
      </c>
      <c r="D136" s="329" t="s">
        <v>291</v>
      </c>
      <c r="E136" s="329" t="s">
        <v>290</v>
      </c>
      <c r="F136" s="330" t="s">
        <v>464</v>
      </c>
      <c r="G136" s="463"/>
      <c r="H136" s="639"/>
      <c r="I136" s="699"/>
      <c r="J136" s="338"/>
      <c r="K136" s="338"/>
      <c r="L136" s="338">
        <v>20</v>
      </c>
      <c r="M136" s="338">
        <v>20</v>
      </c>
      <c r="N136" s="338"/>
      <c r="O136" s="338"/>
      <c r="P136" s="338"/>
      <c r="Q136" s="702"/>
      <c r="R136" s="642" t="s">
        <v>1644</v>
      </c>
      <c r="S136" s="346"/>
      <c r="T136" s="346"/>
      <c r="U136" s="469" t="s">
        <v>1616</v>
      </c>
    </row>
    <row r="137" spans="1:21" s="325" customFormat="1" ht="11.25" customHeight="1" x14ac:dyDescent="0.2">
      <c r="A137" s="328" t="s">
        <v>1313</v>
      </c>
      <c r="B137" s="329" t="s">
        <v>424</v>
      </c>
      <c r="C137" s="329" t="s">
        <v>1349</v>
      </c>
      <c r="D137" s="329" t="s">
        <v>289</v>
      </c>
      <c r="E137" s="329" t="s">
        <v>287</v>
      </c>
      <c r="F137" s="330" t="s">
        <v>464</v>
      </c>
      <c r="G137" s="345" t="s">
        <v>1460</v>
      </c>
      <c r="H137" s="639"/>
      <c r="I137" s="699"/>
      <c r="J137" s="338"/>
      <c r="K137" s="338"/>
      <c r="L137" s="338"/>
      <c r="M137" s="338"/>
      <c r="N137" s="338"/>
      <c r="O137" s="338"/>
      <c r="P137" s="338"/>
      <c r="Q137" s="702"/>
      <c r="R137" s="642"/>
      <c r="S137" s="346"/>
      <c r="T137" s="346"/>
      <c r="U137" s="469"/>
    </row>
    <row r="138" spans="1:21" s="325" customFormat="1" ht="11.25" customHeight="1" x14ac:dyDescent="0.2">
      <c r="A138" s="328" t="s">
        <v>1313</v>
      </c>
      <c r="B138" s="329" t="s">
        <v>424</v>
      </c>
      <c r="C138" s="329" t="s">
        <v>1349</v>
      </c>
      <c r="D138" s="329" t="s">
        <v>1350</v>
      </c>
      <c r="E138" s="329" t="s">
        <v>905</v>
      </c>
      <c r="F138" s="330" t="s">
        <v>464</v>
      </c>
      <c r="G138" s="463"/>
      <c r="H138" s="639"/>
      <c r="I138" s="699"/>
      <c r="J138" s="338"/>
      <c r="K138" s="338"/>
      <c r="L138" s="338"/>
      <c r="M138" s="338"/>
      <c r="N138" s="338"/>
      <c r="O138" s="338"/>
      <c r="P138" s="338"/>
      <c r="Q138" s="702"/>
      <c r="R138" s="642"/>
      <c r="S138" s="346"/>
      <c r="T138" s="346"/>
      <c r="U138" s="469"/>
    </row>
    <row r="139" spans="1:21" s="325" customFormat="1" ht="11.25" customHeight="1" x14ac:dyDescent="0.2">
      <c r="A139" s="328" t="s">
        <v>1313</v>
      </c>
      <c r="B139" s="329" t="s">
        <v>424</v>
      </c>
      <c r="C139" s="329" t="s">
        <v>1349</v>
      </c>
      <c r="D139" s="329" t="s">
        <v>1351</v>
      </c>
      <c r="E139" s="329" t="s">
        <v>909</v>
      </c>
      <c r="F139" s="330" t="s">
        <v>464</v>
      </c>
      <c r="G139" s="465" t="s">
        <v>1457</v>
      </c>
      <c r="H139" s="639"/>
      <c r="I139" s="699"/>
      <c r="J139" s="338"/>
      <c r="K139" s="338"/>
      <c r="L139" s="338"/>
      <c r="M139" s="338"/>
      <c r="N139" s="338"/>
      <c r="O139" s="338"/>
      <c r="P139" s="338"/>
      <c r="Q139" s="702"/>
      <c r="R139" s="642"/>
      <c r="S139" s="346"/>
      <c r="T139" s="346"/>
      <c r="U139" s="469"/>
    </row>
    <row r="140" spans="1:21" s="325" customFormat="1" ht="11.25" customHeight="1" x14ac:dyDescent="0.2">
      <c r="A140" s="328" t="s">
        <v>1313</v>
      </c>
      <c r="B140" s="329" t="s">
        <v>1327</v>
      </c>
      <c r="C140" s="329" t="s">
        <v>1349</v>
      </c>
      <c r="D140" s="329" t="s">
        <v>1140</v>
      </c>
      <c r="E140" s="329" t="s">
        <v>1124</v>
      </c>
      <c r="F140" s="330" t="s">
        <v>464</v>
      </c>
      <c r="G140" s="463"/>
      <c r="H140" s="639"/>
      <c r="I140" s="699"/>
      <c r="J140" s="338"/>
      <c r="K140" s="338"/>
      <c r="L140" s="338"/>
      <c r="M140" s="338"/>
      <c r="N140" s="338"/>
      <c r="O140" s="338"/>
      <c r="P140" s="338"/>
      <c r="Q140" s="702"/>
      <c r="R140" s="642"/>
      <c r="S140" s="346"/>
      <c r="T140" s="346"/>
      <c r="U140" s="469"/>
    </row>
    <row r="141" spans="1:21" s="325" customFormat="1" ht="11.25" customHeight="1" x14ac:dyDescent="0.2">
      <c r="A141" s="328" t="s">
        <v>1313</v>
      </c>
      <c r="B141" s="329" t="s">
        <v>1316</v>
      </c>
      <c r="C141" s="329" t="s">
        <v>1349</v>
      </c>
      <c r="D141" s="329" t="s">
        <v>1352</v>
      </c>
      <c r="E141" s="329" t="s">
        <v>294</v>
      </c>
      <c r="F141" s="330" t="s">
        <v>464</v>
      </c>
      <c r="G141" s="463"/>
      <c r="H141" s="639"/>
      <c r="I141" s="699"/>
      <c r="J141" s="338"/>
      <c r="K141" s="338"/>
      <c r="L141" s="338"/>
      <c r="M141" s="338"/>
      <c r="N141" s="338">
        <v>20</v>
      </c>
      <c r="O141" s="338">
        <v>20</v>
      </c>
      <c r="P141" s="338"/>
      <c r="Q141" s="702"/>
      <c r="R141" s="642" t="s">
        <v>1590</v>
      </c>
      <c r="S141" s="346"/>
      <c r="T141" s="346"/>
      <c r="U141" s="469" t="s">
        <v>1353</v>
      </c>
    </row>
    <row r="142" spans="1:21" s="325" customFormat="1" ht="10.9" customHeight="1" x14ac:dyDescent="0.2">
      <c r="A142" s="331" t="s">
        <v>3</v>
      </c>
      <c r="B142" s="332"/>
      <c r="C142" s="332"/>
      <c r="D142" s="333"/>
      <c r="E142" s="334"/>
      <c r="F142" s="335"/>
      <c r="G142" s="472"/>
      <c r="H142" s="334">
        <f>SUM(H136:H141)</f>
        <v>0</v>
      </c>
      <c r="I142" s="334">
        <f t="shared" ref="I142:Q142" si="23">SUM(I136:I141)</f>
        <v>0</v>
      </c>
      <c r="J142" s="334">
        <f t="shared" si="23"/>
        <v>0</v>
      </c>
      <c r="K142" s="334">
        <f t="shared" si="23"/>
        <v>0</v>
      </c>
      <c r="L142" s="334">
        <f t="shared" si="23"/>
        <v>20</v>
      </c>
      <c r="M142" s="334">
        <f t="shared" si="23"/>
        <v>20</v>
      </c>
      <c r="N142" s="334">
        <f t="shared" si="23"/>
        <v>20</v>
      </c>
      <c r="O142" s="334">
        <f t="shared" si="23"/>
        <v>20</v>
      </c>
      <c r="P142" s="334">
        <f t="shared" si="23"/>
        <v>0</v>
      </c>
      <c r="Q142" s="334">
        <f t="shared" si="23"/>
        <v>0</v>
      </c>
      <c r="R142" s="334">
        <f t="shared" ref="R142:T142" si="24">SUM(R136:R141)</f>
        <v>0</v>
      </c>
      <c r="S142" s="334">
        <f t="shared" si="24"/>
        <v>0</v>
      </c>
      <c r="T142" s="334">
        <f t="shared" si="24"/>
        <v>0</v>
      </c>
      <c r="U142" s="469"/>
    </row>
    <row r="143" spans="1:21" s="325" customFormat="1" ht="11.25" customHeight="1" x14ac:dyDescent="0.2">
      <c r="A143" s="328" t="s">
        <v>1313</v>
      </c>
      <c r="B143" s="329" t="s">
        <v>1327</v>
      </c>
      <c r="C143" s="329" t="s">
        <v>297</v>
      </c>
      <c r="D143" s="329" t="s">
        <v>1136</v>
      </c>
      <c r="E143" s="329" t="s">
        <v>1121</v>
      </c>
      <c r="F143" s="330" t="s">
        <v>464</v>
      </c>
      <c r="G143" s="463" t="s">
        <v>1304</v>
      </c>
      <c r="H143" s="639">
        <v>25</v>
      </c>
      <c r="I143" s="699"/>
      <c r="J143" s="338">
        <v>25</v>
      </c>
      <c r="K143" s="338"/>
      <c r="L143" s="338"/>
      <c r="M143" s="338"/>
      <c r="N143" s="338"/>
      <c r="O143" s="338"/>
      <c r="P143" s="338"/>
      <c r="Q143" s="702"/>
      <c r="R143" s="642" t="s">
        <v>778</v>
      </c>
      <c r="S143" s="346"/>
      <c r="T143" s="346"/>
      <c r="U143" s="469" t="s">
        <v>1315</v>
      </c>
    </row>
    <row r="144" spans="1:21" s="325" customFormat="1" ht="11.25" customHeight="1" x14ac:dyDescent="0.2">
      <c r="A144" s="328" t="s">
        <v>1313</v>
      </c>
      <c r="B144" s="329" t="s">
        <v>1316</v>
      </c>
      <c r="C144" s="329" t="s">
        <v>297</v>
      </c>
      <c r="D144" s="329" t="s">
        <v>1190</v>
      </c>
      <c r="E144" s="329" t="s">
        <v>1172</v>
      </c>
      <c r="F144" s="330" t="s">
        <v>464</v>
      </c>
      <c r="G144" s="463" t="s">
        <v>1304</v>
      </c>
      <c r="H144" s="639">
        <v>20</v>
      </c>
      <c r="I144" s="727">
        <v>0</v>
      </c>
      <c r="J144" s="338">
        <v>20</v>
      </c>
      <c r="K144" s="728">
        <v>0</v>
      </c>
      <c r="L144" s="338"/>
      <c r="M144" s="338"/>
      <c r="N144" s="338">
        <v>20</v>
      </c>
      <c r="O144" s="338">
        <v>20</v>
      </c>
      <c r="P144" s="338"/>
      <c r="Q144" s="702"/>
      <c r="R144" s="642" t="s">
        <v>1770</v>
      </c>
      <c r="S144" s="346"/>
      <c r="T144" s="346"/>
      <c r="U144" s="469"/>
    </row>
    <row r="145" spans="1:26" s="325" customFormat="1" ht="11.25" customHeight="1" x14ac:dyDescent="0.2">
      <c r="A145" s="328" t="s">
        <v>1313</v>
      </c>
      <c r="B145" s="329" t="s">
        <v>424</v>
      </c>
      <c r="C145" s="329" t="s">
        <v>297</v>
      </c>
      <c r="D145" s="329" t="s">
        <v>759</v>
      </c>
      <c r="E145" s="329" t="s">
        <v>296</v>
      </c>
      <c r="F145" s="330" t="s">
        <v>464</v>
      </c>
      <c r="G145" s="463" t="s">
        <v>1460</v>
      </c>
      <c r="H145" s="639">
        <v>40</v>
      </c>
      <c r="I145" s="699"/>
      <c r="J145" s="338">
        <v>40</v>
      </c>
      <c r="K145" s="338"/>
      <c r="L145" s="338"/>
      <c r="M145" s="338"/>
      <c r="N145" s="338"/>
      <c r="O145" s="338"/>
      <c r="P145" s="338"/>
      <c r="Q145" s="702"/>
      <c r="R145" s="642" t="s">
        <v>1628</v>
      </c>
      <c r="S145" s="346"/>
      <c r="T145" s="346"/>
      <c r="U145" s="469" t="s">
        <v>1629</v>
      </c>
    </row>
    <row r="146" spans="1:26" s="325" customFormat="1" ht="11.25" customHeight="1" x14ac:dyDescent="0.2">
      <c r="A146" s="328" t="s">
        <v>1313</v>
      </c>
      <c r="B146" s="329" t="s">
        <v>1316</v>
      </c>
      <c r="C146" s="329" t="s">
        <v>297</v>
      </c>
      <c r="D146" s="329" t="s">
        <v>1507</v>
      </c>
      <c r="E146" s="329" t="s">
        <v>1274</v>
      </c>
      <c r="F146" s="330" t="s">
        <v>464</v>
      </c>
      <c r="G146" s="463" t="s">
        <v>1304</v>
      </c>
      <c r="H146" s="639"/>
      <c r="I146" s="699"/>
      <c r="J146" s="338"/>
      <c r="K146" s="338"/>
      <c r="L146" s="338">
        <v>52</v>
      </c>
      <c r="M146" s="338">
        <v>52</v>
      </c>
      <c r="N146" s="338"/>
      <c r="O146" s="338"/>
      <c r="P146" s="338"/>
      <c r="Q146" s="702"/>
      <c r="R146" s="642" t="s">
        <v>1590</v>
      </c>
      <c r="S146" s="346"/>
      <c r="T146" s="346"/>
      <c r="U146" s="469"/>
    </row>
    <row r="147" spans="1:26" s="325" customFormat="1" ht="11.25" customHeight="1" x14ac:dyDescent="0.2">
      <c r="A147" s="331" t="s">
        <v>3</v>
      </c>
      <c r="B147" s="332"/>
      <c r="C147" s="332"/>
      <c r="D147" s="333"/>
      <c r="E147" s="334"/>
      <c r="F147" s="335"/>
      <c r="G147" s="472"/>
      <c r="H147" s="334">
        <f>SUM(H143:H146)</f>
        <v>85</v>
      </c>
      <c r="I147" s="334">
        <f t="shared" ref="I147:Q147" si="25">SUM(I143:I146)</f>
        <v>0</v>
      </c>
      <c r="J147" s="334">
        <f t="shared" si="25"/>
        <v>85</v>
      </c>
      <c r="K147" s="334">
        <f t="shared" si="25"/>
        <v>0</v>
      </c>
      <c r="L147" s="334">
        <f t="shared" si="25"/>
        <v>52</v>
      </c>
      <c r="M147" s="334">
        <f t="shared" si="25"/>
        <v>52</v>
      </c>
      <c r="N147" s="334">
        <f t="shared" si="25"/>
        <v>20</v>
      </c>
      <c r="O147" s="334">
        <f t="shared" si="25"/>
        <v>20</v>
      </c>
      <c r="P147" s="334">
        <f t="shared" si="25"/>
        <v>0</v>
      </c>
      <c r="Q147" s="334">
        <f t="shared" si="25"/>
        <v>0</v>
      </c>
      <c r="R147" s="334">
        <f t="shared" ref="R147" si="26">SUM(R143:R146)</f>
        <v>0</v>
      </c>
      <c r="S147" s="334"/>
      <c r="T147" s="334"/>
      <c r="U147" s="469"/>
    </row>
    <row r="148" spans="1:26" s="325" customFormat="1" ht="11.25" customHeight="1" x14ac:dyDescent="0.2">
      <c r="A148" s="328" t="s">
        <v>378</v>
      </c>
      <c r="B148" s="352" t="s">
        <v>1327</v>
      </c>
      <c r="C148" s="329" t="s">
        <v>299</v>
      </c>
      <c r="D148" s="648" t="s">
        <v>300</v>
      </c>
      <c r="E148" s="329" t="s">
        <v>298</v>
      </c>
      <c r="F148" s="330" t="s">
        <v>464</v>
      </c>
      <c r="G148" s="463"/>
      <c r="H148" s="639"/>
      <c r="I148" s="699"/>
      <c r="J148" s="338"/>
      <c r="K148" s="338"/>
      <c r="L148" s="338"/>
      <c r="M148" s="338"/>
      <c r="N148" s="338"/>
      <c r="O148" s="338"/>
      <c r="P148" s="338"/>
      <c r="Q148" s="702"/>
      <c r="R148" s="642"/>
      <c r="S148" s="346"/>
      <c r="T148" s="346"/>
      <c r="U148" s="469"/>
    </row>
    <row r="149" spans="1:26" s="325" customFormat="1" ht="11.25" customHeight="1" x14ac:dyDescent="0.2">
      <c r="A149" s="328" t="s">
        <v>378</v>
      </c>
      <c r="B149" s="329" t="s">
        <v>424</v>
      </c>
      <c r="C149" s="329" t="s">
        <v>299</v>
      </c>
      <c r="D149" s="648" t="s">
        <v>1045</v>
      </c>
      <c r="E149" s="329" t="s">
        <v>1044</v>
      </c>
      <c r="F149" s="330" t="s">
        <v>464</v>
      </c>
      <c r="G149" s="463"/>
      <c r="H149" s="639"/>
      <c r="I149" s="699"/>
      <c r="J149" s="338"/>
      <c r="K149" s="338"/>
      <c r="L149" s="338"/>
      <c r="M149" s="338"/>
      <c r="N149" s="338"/>
      <c r="O149" s="338"/>
      <c r="P149" s="338"/>
      <c r="Q149" s="702"/>
      <c r="R149" s="642"/>
      <c r="S149" s="346"/>
      <c r="T149" s="346"/>
      <c r="U149" s="469"/>
    </row>
    <row r="150" spans="1:26" s="325" customFormat="1" ht="11.25" customHeight="1" x14ac:dyDescent="0.2">
      <c r="A150" s="331" t="s">
        <v>3</v>
      </c>
      <c r="B150" s="332"/>
      <c r="C150" s="332"/>
      <c r="D150" s="333"/>
      <c r="E150" s="334"/>
      <c r="F150" s="335"/>
      <c r="G150" s="472"/>
      <c r="H150" s="334">
        <f t="shared" ref="H150:R150" si="27">SUM(H148:H149)</f>
        <v>0</v>
      </c>
      <c r="I150" s="334">
        <f t="shared" si="27"/>
        <v>0</v>
      </c>
      <c r="J150" s="334">
        <f t="shared" si="27"/>
        <v>0</v>
      </c>
      <c r="K150" s="334">
        <f t="shared" si="27"/>
        <v>0</v>
      </c>
      <c r="L150" s="334">
        <f t="shared" si="27"/>
        <v>0</v>
      </c>
      <c r="M150" s="334">
        <f t="shared" si="27"/>
        <v>0</v>
      </c>
      <c r="N150" s="334">
        <f t="shared" si="27"/>
        <v>0</v>
      </c>
      <c r="O150" s="334">
        <f t="shared" si="27"/>
        <v>0</v>
      </c>
      <c r="P150" s="334">
        <f t="shared" si="27"/>
        <v>0</v>
      </c>
      <c r="Q150" s="334">
        <f t="shared" si="27"/>
        <v>0</v>
      </c>
      <c r="R150" s="334">
        <f t="shared" si="27"/>
        <v>0</v>
      </c>
      <c r="S150" s="334"/>
      <c r="T150" s="334"/>
      <c r="U150" s="469"/>
    </row>
    <row r="151" spans="1:26" s="325" customFormat="1" ht="11.25" customHeight="1" x14ac:dyDescent="0.2">
      <c r="A151" s="328" t="s">
        <v>378</v>
      </c>
      <c r="B151" s="329" t="s">
        <v>424</v>
      </c>
      <c r="C151" s="329" t="s">
        <v>1354</v>
      </c>
      <c r="D151" s="329" t="s">
        <v>305</v>
      </c>
      <c r="E151" s="329" t="s">
        <v>304</v>
      </c>
      <c r="F151" s="330" t="s">
        <v>464</v>
      </c>
      <c r="G151" s="463"/>
      <c r="H151" s="639"/>
      <c r="I151" s="699"/>
      <c r="J151" s="338"/>
      <c r="K151" s="338"/>
      <c r="L151" s="338"/>
      <c r="M151" s="338"/>
      <c r="N151" s="338"/>
      <c r="O151" s="338"/>
      <c r="P151" s="338"/>
      <c r="Q151" s="702"/>
      <c r="R151" s="642"/>
      <c r="S151" s="346"/>
      <c r="T151" s="346"/>
      <c r="U151" s="469"/>
    </row>
    <row r="152" spans="1:26" s="325" customFormat="1" ht="11.25" customHeight="1" x14ac:dyDescent="0.2">
      <c r="A152" s="328" t="s">
        <v>378</v>
      </c>
      <c r="B152" s="329" t="s">
        <v>1300</v>
      </c>
      <c r="C152" s="329" t="s">
        <v>1354</v>
      </c>
      <c r="D152" s="329" t="s">
        <v>307</v>
      </c>
      <c r="E152" s="329" t="s">
        <v>306</v>
      </c>
      <c r="F152" s="330" t="s">
        <v>464</v>
      </c>
      <c r="G152" s="467"/>
      <c r="H152" s="639"/>
      <c r="I152" s="699"/>
      <c r="J152" s="338"/>
      <c r="K152" s="338"/>
      <c r="L152" s="338"/>
      <c r="M152" s="338"/>
      <c r="N152" s="338"/>
      <c r="O152" s="338"/>
      <c r="P152" s="338"/>
      <c r="Q152" s="702"/>
      <c r="R152" s="642"/>
      <c r="S152" s="346"/>
      <c r="T152" s="346"/>
      <c r="U152" s="469"/>
    </row>
    <row r="153" spans="1:26" s="325" customFormat="1" ht="11.25" customHeight="1" x14ac:dyDescent="0.2">
      <c r="A153" s="331" t="s">
        <v>3</v>
      </c>
      <c r="B153" s="332"/>
      <c r="C153" s="332"/>
      <c r="D153" s="333"/>
      <c r="E153" s="334"/>
      <c r="F153" s="335"/>
      <c r="G153" s="472"/>
      <c r="H153" s="334">
        <f t="shared" ref="H153:R153" si="28">SUM(H151:H152)</f>
        <v>0</v>
      </c>
      <c r="I153" s="334">
        <f t="shared" si="28"/>
        <v>0</v>
      </c>
      <c r="J153" s="334">
        <f t="shared" si="28"/>
        <v>0</v>
      </c>
      <c r="K153" s="334">
        <f t="shared" si="28"/>
        <v>0</v>
      </c>
      <c r="L153" s="334">
        <f t="shared" si="28"/>
        <v>0</v>
      </c>
      <c r="M153" s="334">
        <f t="shared" si="28"/>
        <v>0</v>
      </c>
      <c r="N153" s="334">
        <f t="shared" si="28"/>
        <v>0</v>
      </c>
      <c r="O153" s="334">
        <f t="shared" si="28"/>
        <v>0</v>
      </c>
      <c r="P153" s="334">
        <f t="shared" si="28"/>
        <v>0</v>
      </c>
      <c r="Q153" s="334">
        <f t="shared" si="28"/>
        <v>0</v>
      </c>
      <c r="R153" s="334">
        <f t="shared" si="28"/>
        <v>0</v>
      </c>
      <c r="S153" s="334"/>
      <c r="T153" s="334"/>
      <c r="U153" s="469"/>
    </row>
    <row r="154" spans="1:26" s="325" customFormat="1" ht="11.25" customHeight="1" x14ac:dyDescent="0.2">
      <c r="A154" s="328" t="s">
        <v>378</v>
      </c>
      <c r="B154" s="329" t="s">
        <v>424</v>
      </c>
      <c r="C154" s="329" t="s">
        <v>1355</v>
      </c>
      <c r="D154" s="329" t="s">
        <v>1067</v>
      </c>
      <c r="E154" s="329" t="s">
        <v>1068</v>
      </c>
      <c r="F154" s="330" t="s">
        <v>466</v>
      </c>
      <c r="G154" s="463" t="s">
        <v>1304</v>
      </c>
      <c r="H154" s="639"/>
      <c r="I154" s="699"/>
      <c r="J154" s="338"/>
      <c r="K154" s="338"/>
      <c r="L154" s="338"/>
      <c r="M154" s="338"/>
      <c r="N154" s="338"/>
      <c r="O154" s="338"/>
      <c r="P154" s="338"/>
      <c r="Q154" s="702"/>
      <c r="R154" s="642"/>
      <c r="S154" s="346"/>
      <c r="T154" s="346"/>
      <c r="U154" s="469"/>
    </row>
    <row r="155" spans="1:26" s="325" customFormat="1" ht="11.25" customHeight="1" x14ac:dyDescent="0.2">
      <c r="A155" s="328" t="s">
        <v>378</v>
      </c>
      <c r="B155" s="329" t="s">
        <v>424</v>
      </c>
      <c r="C155" s="346" t="s">
        <v>1355</v>
      </c>
      <c r="D155" s="346" t="s">
        <v>1065</v>
      </c>
      <c r="E155" s="346" t="s">
        <v>1066</v>
      </c>
      <c r="F155" s="347" t="s">
        <v>466</v>
      </c>
      <c r="G155" s="468" t="s">
        <v>1304</v>
      </c>
      <c r="H155" s="639"/>
      <c r="I155" s="699"/>
      <c r="J155" s="338"/>
      <c r="K155" s="338"/>
      <c r="L155" s="338"/>
      <c r="M155" s="338"/>
      <c r="N155" s="338"/>
      <c r="O155" s="338"/>
      <c r="P155" s="338"/>
      <c r="Q155" s="702"/>
      <c r="R155" s="642"/>
      <c r="S155" s="346"/>
      <c r="T155" s="346"/>
      <c r="U155" s="469"/>
    </row>
    <row r="156" spans="1:26" s="325" customFormat="1" ht="11.25" customHeight="1" x14ac:dyDescent="0.2">
      <c r="A156" s="331" t="s">
        <v>3</v>
      </c>
      <c r="B156" s="332"/>
      <c r="C156" s="332"/>
      <c r="D156" s="333"/>
      <c r="E156" s="334"/>
      <c r="F156" s="335"/>
      <c r="G156" s="472"/>
      <c r="H156" s="334">
        <f t="shared" ref="H156:T156" si="29">SUM(H154:H155)</f>
        <v>0</v>
      </c>
      <c r="I156" s="334">
        <f t="shared" si="29"/>
        <v>0</v>
      </c>
      <c r="J156" s="334">
        <f t="shared" si="29"/>
        <v>0</v>
      </c>
      <c r="K156" s="334">
        <f t="shared" si="29"/>
        <v>0</v>
      </c>
      <c r="L156" s="334">
        <f t="shared" si="29"/>
        <v>0</v>
      </c>
      <c r="M156" s="334">
        <f t="shared" si="29"/>
        <v>0</v>
      </c>
      <c r="N156" s="334">
        <f t="shared" si="29"/>
        <v>0</v>
      </c>
      <c r="O156" s="334">
        <f t="shared" si="29"/>
        <v>0</v>
      </c>
      <c r="P156" s="334">
        <f t="shared" si="29"/>
        <v>0</v>
      </c>
      <c r="Q156" s="334">
        <f t="shared" si="29"/>
        <v>0</v>
      </c>
      <c r="R156" s="334">
        <f t="shared" si="29"/>
        <v>0</v>
      </c>
      <c r="S156" s="334">
        <f t="shared" si="29"/>
        <v>0</v>
      </c>
      <c r="T156" s="334">
        <f t="shared" si="29"/>
        <v>0</v>
      </c>
      <c r="U156" s="469"/>
    </row>
    <row r="157" spans="1:26" ht="11.25" customHeight="1" x14ac:dyDescent="0.2">
      <c r="A157" s="328" t="s">
        <v>378</v>
      </c>
      <c r="B157" s="463" t="s">
        <v>424</v>
      </c>
      <c r="C157" s="734" t="s">
        <v>1135</v>
      </c>
      <c r="D157" s="734" t="s">
        <v>1727</v>
      </c>
      <c r="E157" s="346" t="s">
        <v>1406</v>
      </c>
      <c r="F157" s="353" t="s">
        <v>464</v>
      </c>
      <c r="G157" s="329"/>
      <c r="H157" s="338">
        <v>20</v>
      </c>
      <c r="I157" s="338"/>
      <c r="J157" s="338">
        <v>20</v>
      </c>
      <c r="K157" s="338"/>
      <c r="L157" s="338"/>
      <c r="M157" s="329"/>
      <c r="N157" s="329"/>
      <c r="O157" s="329"/>
      <c r="P157" s="329"/>
      <c r="Q157" s="338"/>
      <c r="R157" s="338" t="s">
        <v>778</v>
      </c>
      <c r="S157" s="643"/>
      <c r="T157" s="643"/>
      <c r="U157" s="338"/>
      <c r="V157" s="338"/>
      <c r="W157" s="338"/>
      <c r="X157" s="338"/>
      <c r="Y157" s="338"/>
      <c r="Z157" s="329"/>
    </row>
    <row r="158" spans="1:26" ht="11.25" customHeight="1" x14ac:dyDescent="0.2">
      <c r="A158" s="328" t="s">
        <v>378</v>
      </c>
      <c r="B158" s="329" t="s">
        <v>1305</v>
      </c>
      <c r="C158" s="735" t="s">
        <v>1135</v>
      </c>
      <c r="D158" s="736" t="s">
        <v>1393</v>
      </c>
      <c r="E158" s="346" t="s">
        <v>1405</v>
      </c>
      <c r="F158" s="353" t="s">
        <v>464</v>
      </c>
      <c r="G158" s="736"/>
      <c r="H158" s="732"/>
      <c r="I158" s="338"/>
      <c r="J158" s="338"/>
      <c r="K158" s="338"/>
      <c r="L158" s="338"/>
      <c r="M158" s="338"/>
      <c r="N158" s="338"/>
      <c r="O158" s="338"/>
      <c r="P158" s="338"/>
      <c r="Q158" s="338"/>
      <c r="R158" s="338"/>
      <c r="S158" s="643"/>
      <c r="T158" s="643"/>
      <c r="U158" s="338"/>
      <c r="V158" s="338"/>
      <c r="W158" s="338"/>
      <c r="X158" s="338"/>
      <c r="Y158" s="338"/>
      <c r="Z158" s="329"/>
    </row>
    <row r="159" spans="1:26" ht="11.25" customHeight="1" x14ac:dyDescent="0.2">
      <c r="A159" s="737" t="s">
        <v>378</v>
      </c>
      <c r="B159" s="738" t="s">
        <v>1305</v>
      </c>
      <c r="C159" s="739" t="s">
        <v>1135</v>
      </c>
      <c r="D159" s="329" t="s">
        <v>1773</v>
      </c>
      <c r="E159" s="346" t="s">
        <v>1403</v>
      </c>
      <c r="F159" s="330" t="s">
        <v>464</v>
      </c>
      <c r="G159" s="329"/>
      <c r="H159" s="338">
        <v>60</v>
      </c>
      <c r="I159" s="338"/>
      <c r="J159" s="338">
        <v>60</v>
      </c>
      <c r="K159" s="338"/>
      <c r="L159" s="338"/>
      <c r="M159" s="338"/>
      <c r="N159" s="338"/>
      <c r="O159" s="338"/>
      <c r="P159" s="338"/>
      <c r="Q159" s="338"/>
      <c r="R159" s="338" t="s">
        <v>1787</v>
      </c>
      <c r="S159" s="733"/>
      <c r="T159" s="733"/>
      <c r="U159" s="338"/>
      <c r="V159" s="338"/>
      <c r="W159" s="338"/>
      <c r="X159" s="338"/>
      <c r="Y159" s="338"/>
    </row>
    <row r="160" spans="1:26" s="325" customFormat="1" ht="11.25" customHeight="1" x14ac:dyDescent="0.2">
      <c r="A160" s="331" t="s">
        <v>3</v>
      </c>
      <c r="B160" s="332"/>
      <c r="C160" s="332"/>
      <c r="D160" s="333"/>
      <c r="E160" s="334"/>
      <c r="F160" s="335"/>
      <c r="G160" s="472"/>
      <c r="H160" s="336">
        <f>SUM(H157:H159)</f>
        <v>80</v>
      </c>
      <c r="I160" s="336">
        <f t="shared" ref="I160:Y160" si="30">SUM(I157:I159)</f>
        <v>0</v>
      </c>
      <c r="J160" s="336">
        <f t="shared" si="30"/>
        <v>80</v>
      </c>
      <c r="K160" s="336">
        <f t="shared" si="30"/>
        <v>0</v>
      </c>
      <c r="L160" s="336">
        <f t="shared" si="30"/>
        <v>0</v>
      </c>
      <c r="M160" s="336">
        <f t="shared" si="30"/>
        <v>0</v>
      </c>
      <c r="N160" s="336">
        <f t="shared" si="30"/>
        <v>0</v>
      </c>
      <c r="O160" s="336">
        <f t="shared" si="30"/>
        <v>0</v>
      </c>
      <c r="P160" s="336">
        <f t="shared" si="30"/>
        <v>0</v>
      </c>
      <c r="Q160" s="336">
        <f t="shared" si="30"/>
        <v>0</v>
      </c>
      <c r="R160" s="336">
        <f t="shared" si="30"/>
        <v>0</v>
      </c>
      <c r="S160" s="336">
        <f>SUM(S157:S159)</f>
        <v>0</v>
      </c>
      <c r="T160" s="336">
        <f t="shared" si="30"/>
        <v>0</v>
      </c>
      <c r="U160" s="336">
        <f t="shared" si="30"/>
        <v>0</v>
      </c>
      <c r="V160" s="336">
        <f t="shared" si="30"/>
        <v>0</v>
      </c>
      <c r="W160" s="685">
        <f t="shared" si="30"/>
        <v>0</v>
      </c>
      <c r="X160" s="685">
        <f t="shared" si="30"/>
        <v>0</v>
      </c>
      <c r="Y160" s="685">
        <f t="shared" si="30"/>
        <v>0</v>
      </c>
      <c r="Z160" s="469"/>
    </row>
    <row r="161" spans="1:21" s="325" customFormat="1" ht="11.25" customHeight="1" x14ac:dyDescent="0.2">
      <c r="A161" s="328" t="s">
        <v>378</v>
      </c>
      <c r="B161" s="329" t="s">
        <v>1305</v>
      </c>
      <c r="C161" s="329" t="s">
        <v>309</v>
      </c>
      <c r="D161" s="329" t="s">
        <v>1356</v>
      </c>
      <c r="E161" s="329" t="s">
        <v>332</v>
      </c>
      <c r="F161" s="330" t="s">
        <v>466</v>
      </c>
      <c r="G161" s="463" t="s">
        <v>1304</v>
      </c>
      <c r="H161" s="639"/>
      <c r="I161" s="699"/>
      <c r="J161" s="338"/>
      <c r="K161" s="338"/>
      <c r="L161" s="338"/>
      <c r="M161" s="338"/>
      <c r="N161" s="338"/>
      <c r="O161" s="338"/>
      <c r="P161" s="338"/>
      <c r="Q161" s="702"/>
      <c r="R161" s="642"/>
      <c r="S161" s="346"/>
      <c r="T161" s="346"/>
      <c r="U161" s="469"/>
    </row>
    <row r="162" spans="1:21" s="325" customFormat="1" ht="11.25" customHeight="1" x14ac:dyDescent="0.2">
      <c r="A162" s="328" t="s">
        <v>378</v>
      </c>
      <c r="B162" s="329" t="s">
        <v>462</v>
      </c>
      <c r="C162" s="329" t="s">
        <v>309</v>
      </c>
      <c r="D162" s="329" t="s">
        <v>1357</v>
      </c>
      <c r="E162" s="329" t="s">
        <v>311</v>
      </c>
      <c r="F162" s="330" t="s">
        <v>464</v>
      </c>
      <c r="G162" s="465"/>
      <c r="H162" s="639">
        <v>0</v>
      </c>
      <c r="I162" s="699"/>
      <c r="J162" s="338">
        <v>0</v>
      </c>
      <c r="K162" s="338"/>
      <c r="L162" s="338"/>
      <c r="M162" s="338"/>
      <c r="N162" s="338">
        <v>0</v>
      </c>
      <c r="O162" s="338"/>
      <c r="P162" s="338">
        <v>0</v>
      </c>
      <c r="Q162" s="702"/>
      <c r="R162" s="642" t="s">
        <v>1598</v>
      </c>
      <c r="S162" s="346"/>
      <c r="T162" s="346"/>
      <c r="U162" s="469"/>
    </row>
    <row r="163" spans="1:21" s="325" customFormat="1" ht="11.25" customHeight="1" x14ac:dyDescent="0.2">
      <c r="A163" s="328" t="s">
        <v>378</v>
      </c>
      <c r="B163" s="329" t="s">
        <v>424</v>
      </c>
      <c r="C163" s="329" t="s">
        <v>309</v>
      </c>
      <c r="D163" s="329" t="s">
        <v>335</v>
      </c>
      <c r="E163" s="329" t="s">
        <v>334</v>
      </c>
      <c r="F163" s="330" t="s">
        <v>466</v>
      </c>
      <c r="G163" s="463" t="s">
        <v>1304</v>
      </c>
      <c r="H163" s="639"/>
      <c r="I163" s="699"/>
      <c r="J163" s="338"/>
      <c r="K163" s="338"/>
      <c r="L163" s="338"/>
      <c r="M163" s="338"/>
      <c r="N163" s="338"/>
      <c r="O163" s="338"/>
      <c r="P163" s="338"/>
      <c r="Q163" s="702"/>
      <c r="R163" s="642"/>
      <c r="S163" s="346"/>
      <c r="T163" s="346"/>
      <c r="U163" s="469" t="s">
        <v>1330</v>
      </c>
    </row>
    <row r="164" spans="1:21" s="325" customFormat="1" ht="11.25" customHeight="1" x14ac:dyDescent="0.2">
      <c r="A164" s="328" t="s">
        <v>378</v>
      </c>
      <c r="B164" s="329" t="s">
        <v>424</v>
      </c>
      <c r="C164" s="329" t="s">
        <v>309</v>
      </c>
      <c r="D164" s="329" t="s">
        <v>319</v>
      </c>
      <c r="E164" s="329" t="s">
        <v>318</v>
      </c>
      <c r="F164" s="330" t="s">
        <v>464</v>
      </c>
      <c r="G164" s="467"/>
      <c r="H164" s="639"/>
      <c r="I164" s="699"/>
      <c r="J164" s="338"/>
      <c r="K164" s="338"/>
      <c r="L164" s="338"/>
      <c r="M164" s="338"/>
      <c r="N164" s="338">
        <v>20</v>
      </c>
      <c r="O164" s="338"/>
      <c r="P164" s="338"/>
      <c r="Q164" s="702"/>
      <c r="R164" s="642"/>
      <c r="S164" s="346"/>
      <c r="T164" s="346"/>
      <c r="U164" s="469"/>
    </row>
    <row r="165" spans="1:21" s="325" customFormat="1" ht="11.25" customHeight="1" x14ac:dyDescent="0.2">
      <c r="A165" s="328" t="s">
        <v>378</v>
      </c>
      <c r="B165" s="329" t="s">
        <v>1305</v>
      </c>
      <c r="C165" s="329" t="s">
        <v>309</v>
      </c>
      <c r="D165" s="329" t="s">
        <v>1358</v>
      </c>
      <c r="E165" s="329" t="s">
        <v>320</v>
      </c>
      <c r="F165" s="330" t="s">
        <v>466</v>
      </c>
      <c r="G165" s="463" t="s">
        <v>1304</v>
      </c>
      <c r="H165" s="639"/>
      <c r="I165" s="699"/>
      <c r="J165" s="338"/>
      <c r="K165" s="338"/>
      <c r="L165" s="338"/>
      <c r="M165" s="338"/>
      <c r="N165" s="338"/>
      <c r="O165" s="338"/>
      <c r="P165" s="338"/>
      <c r="Q165" s="702"/>
      <c r="R165" s="642" t="s">
        <v>1640</v>
      </c>
      <c r="S165" s="346"/>
      <c r="T165" s="346"/>
      <c r="U165" s="469"/>
    </row>
    <row r="166" spans="1:21" s="325" customFormat="1" ht="11.25" customHeight="1" x14ac:dyDescent="0.2">
      <c r="A166" s="328" t="s">
        <v>378</v>
      </c>
      <c r="B166" s="329" t="s">
        <v>462</v>
      </c>
      <c r="C166" s="329" t="s">
        <v>309</v>
      </c>
      <c r="D166" s="329" t="s">
        <v>327</v>
      </c>
      <c r="E166" s="329" t="s">
        <v>326</v>
      </c>
      <c r="F166" s="330" t="s">
        <v>464</v>
      </c>
      <c r="G166" s="467"/>
      <c r="H166" s="639">
        <v>0</v>
      </c>
      <c r="I166" s="699"/>
      <c r="J166" s="338">
        <v>0</v>
      </c>
      <c r="K166" s="338"/>
      <c r="L166" s="338">
        <v>0</v>
      </c>
      <c r="M166" s="338"/>
      <c r="N166" s="338">
        <v>20</v>
      </c>
      <c r="O166" s="338"/>
      <c r="P166" s="338">
        <v>0</v>
      </c>
      <c r="Q166" s="702"/>
      <c r="R166" s="642" t="s">
        <v>1598</v>
      </c>
      <c r="S166" s="346"/>
      <c r="T166" s="346"/>
      <c r="U166" s="469"/>
    </row>
    <row r="167" spans="1:21" s="325" customFormat="1" ht="11.25" customHeight="1" x14ac:dyDescent="0.2">
      <c r="A167" s="328" t="s">
        <v>378</v>
      </c>
      <c r="B167" s="329" t="s">
        <v>1305</v>
      </c>
      <c r="C167" s="329" t="s">
        <v>309</v>
      </c>
      <c r="D167" s="329" t="s">
        <v>1359</v>
      </c>
      <c r="E167" s="329" t="s">
        <v>328</v>
      </c>
      <c r="F167" s="330" t="s">
        <v>464</v>
      </c>
      <c r="G167" s="463" t="s">
        <v>1304</v>
      </c>
      <c r="H167" s="639">
        <v>50</v>
      </c>
      <c r="I167" s="639">
        <v>50</v>
      </c>
      <c r="J167" s="338">
        <v>50</v>
      </c>
      <c r="K167" s="639">
        <v>50</v>
      </c>
      <c r="L167" s="338"/>
      <c r="M167" s="338"/>
      <c r="N167" s="338"/>
      <c r="O167" s="338"/>
      <c r="P167" s="338"/>
      <c r="Q167" s="702"/>
      <c r="R167" s="642" t="s">
        <v>1258</v>
      </c>
      <c r="S167" s="346"/>
      <c r="T167" s="346"/>
      <c r="U167" s="469" t="s">
        <v>1725</v>
      </c>
    </row>
    <row r="168" spans="1:21" s="325" customFormat="1" ht="11.25" customHeight="1" x14ac:dyDescent="0.2">
      <c r="A168" s="328" t="s">
        <v>378</v>
      </c>
      <c r="B168" s="329" t="s">
        <v>424</v>
      </c>
      <c r="C168" s="329" t="s">
        <v>309</v>
      </c>
      <c r="D168" s="329" t="s">
        <v>323</v>
      </c>
      <c r="E168" s="329" t="s">
        <v>322</v>
      </c>
      <c r="F168" s="330" t="s">
        <v>464</v>
      </c>
      <c r="G168" s="467" t="s">
        <v>1304</v>
      </c>
      <c r="H168" s="639">
        <v>30</v>
      </c>
      <c r="I168" s="699">
        <v>30</v>
      </c>
      <c r="J168" s="338">
        <v>90</v>
      </c>
      <c r="K168" s="338">
        <v>90</v>
      </c>
      <c r="L168" s="338"/>
      <c r="M168" s="338"/>
      <c r="N168" s="338"/>
      <c r="O168" s="338"/>
      <c r="P168" s="338"/>
      <c r="Q168" s="702"/>
      <c r="R168" s="642" t="s">
        <v>1719</v>
      </c>
      <c r="S168" s="346"/>
      <c r="T168" s="346"/>
      <c r="U168" s="469"/>
    </row>
    <row r="169" spans="1:21" s="325" customFormat="1" ht="11.25" customHeight="1" x14ac:dyDescent="0.2">
      <c r="A169" s="328" t="s">
        <v>378</v>
      </c>
      <c r="B169" s="329" t="s">
        <v>424</v>
      </c>
      <c r="C169" s="329" t="s">
        <v>309</v>
      </c>
      <c r="D169" s="329" t="s">
        <v>325</v>
      </c>
      <c r="E169" s="329" t="s">
        <v>324</v>
      </c>
      <c r="F169" s="330" t="s">
        <v>464</v>
      </c>
      <c r="G169" s="463" t="s">
        <v>1304</v>
      </c>
      <c r="H169" s="639"/>
      <c r="I169" s="699"/>
      <c r="J169" s="338"/>
      <c r="K169" s="338"/>
      <c r="L169" s="338"/>
      <c r="M169" s="338"/>
      <c r="N169" s="338"/>
      <c r="O169" s="338"/>
      <c r="P169" s="338"/>
      <c r="Q169" s="702"/>
      <c r="R169" s="642"/>
      <c r="S169" s="346"/>
      <c r="T169" s="346"/>
      <c r="U169" s="469" t="s">
        <v>1330</v>
      </c>
    </row>
    <row r="170" spans="1:21" s="325" customFormat="1" ht="11.25" customHeight="1" x14ac:dyDescent="0.2">
      <c r="A170" s="328" t="s">
        <v>378</v>
      </c>
      <c r="B170" s="329" t="s">
        <v>462</v>
      </c>
      <c r="C170" s="329" t="s">
        <v>309</v>
      </c>
      <c r="D170" s="329" t="s">
        <v>342</v>
      </c>
      <c r="E170" s="329" t="s">
        <v>341</v>
      </c>
      <c r="F170" s="330" t="s">
        <v>464</v>
      </c>
      <c r="G170" s="467"/>
      <c r="H170" s="639">
        <v>0</v>
      </c>
      <c r="I170" s="699"/>
      <c r="J170" s="338">
        <v>0</v>
      </c>
      <c r="K170" s="338"/>
      <c r="L170" s="338">
        <v>0</v>
      </c>
      <c r="M170" s="338"/>
      <c r="N170" s="338">
        <v>6</v>
      </c>
      <c r="O170" s="338">
        <v>6</v>
      </c>
      <c r="P170" s="338">
        <v>0</v>
      </c>
      <c r="Q170" s="702"/>
      <c r="R170" s="642" t="s">
        <v>1757</v>
      </c>
      <c r="S170" s="346"/>
      <c r="T170" s="346"/>
      <c r="U170" s="469"/>
    </row>
    <row r="171" spans="1:21" s="325" customFormat="1" ht="11.25" customHeight="1" x14ac:dyDescent="0.2">
      <c r="A171" s="328" t="s">
        <v>378</v>
      </c>
      <c r="B171" s="329" t="s">
        <v>424</v>
      </c>
      <c r="C171" s="329" t="s">
        <v>309</v>
      </c>
      <c r="D171" s="329" t="s">
        <v>1029</v>
      </c>
      <c r="E171" s="329" t="s">
        <v>343</v>
      </c>
      <c r="F171" s="330" t="s">
        <v>466</v>
      </c>
      <c r="G171" s="463" t="s">
        <v>1457</v>
      </c>
      <c r="H171" s="639"/>
      <c r="I171" s="699"/>
      <c r="J171" s="338"/>
      <c r="K171" s="338"/>
      <c r="L171" s="338"/>
      <c r="M171" s="338"/>
      <c r="N171" s="338"/>
      <c r="O171" s="338"/>
      <c r="P171" s="338"/>
      <c r="Q171" s="702"/>
      <c r="R171" s="642"/>
      <c r="S171" s="346"/>
      <c r="T171" s="346"/>
      <c r="U171" s="469" t="s">
        <v>1330</v>
      </c>
    </row>
    <row r="172" spans="1:21" s="325" customFormat="1" ht="11.25" customHeight="1" x14ac:dyDescent="0.2">
      <c r="A172" s="328" t="s">
        <v>378</v>
      </c>
      <c r="B172" s="329" t="s">
        <v>1305</v>
      </c>
      <c r="C172" s="329" t="s">
        <v>309</v>
      </c>
      <c r="D172" s="329" t="s">
        <v>1360</v>
      </c>
      <c r="E172" s="329" t="s">
        <v>352</v>
      </c>
      <c r="F172" s="343" t="s">
        <v>466</v>
      </c>
      <c r="G172" s="465"/>
      <c r="H172" s="639"/>
      <c r="I172" s="699"/>
      <c r="J172" s="338"/>
      <c r="K172" s="338"/>
      <c r="L172" s="338"/>
      <c r="M172" s="338"/>
      <c r="N172" s="338"/>
      <c r="O172" s="338"/>
      <c r="P172" s="338"/>
      <c r="Q172" s="702"/>
      <c r="R172" s="642"/>
      <c r="S172" s="346"/>
      <c r="T172" s="346"/>
      <c r="U172" s="469"/>
    </row>
    <row r="173" spans="1:21" s="325" customFormat="1" ht="11.25" customHeight="1" x14ac:dyDescent="0.2">
      <c r="A173" s="328" t="s">
        <v>378</v>
      </c>
      <c r="B173" s="329" t="s">
        <v>462</v>
      </c>
      <c r="C173" s="329" t="s">
        <v>309</v>
      </c>
      <c r="D173" s="329" t="s">
        <v>1361</v>
      </c>
      <c r="E173" s="329" t="s">
        <v>316</v>
      </c>
      <c r="F173" s="330" t="s">
        <v>464</v>
      </c>
      <c r="G173" s="463" t="s">
        <v>1304</v>
      </c>
      <c r="H173" s="639"/>
      <c r="I173" s="699"/>
      <c r="J173" s="338"/>
      <c r="K173" s="338"/>
      <c r="L173" s="338">
        <v>0</v>
      </c>
      <c r="M173" s="338"/>
      <c r="N173" s="338">
        <v>26</v>
      </c>
      <c r="O173" s="338">
        <v>26</v>
      </c>
      <c r="P173" s="338">
        <v>0</v>
      </c>
      <c r="Q173" s="702"/>
      <c r="R173" s="642" t="s">
        <v>1598</v>
      </c>
      <c r="S173" s="346"/>
      <c r="T173" s="346"/>
      <c r="U173" s="469"/>
    </row>
    <row r="174" spans="1:21" s="325" customFormat="1" ht="11.25" customHeight="1" x14ac:dyDescent="0.2">
      <c r="A174" s="328" t="s">
        <v>378</v>
      </c>
      <c r="B174" s="329" t="s">
        <v>424</v>
      </c>
      <c r="C174" s="329" t="s">
        <v>309</v>
      </c>
      <c r="D174" s="329" t="s">
        <v>1362</v>
      </c>
      <c r="E174" s="329" t="s">
        <v>339</v>
      </c>
      <c r="F174" s="330" t="s">
        <v>464</v>
      </c>
      <c r="G174" s="465" t="s">
        <v>1457</v>
      </c>
      <c r="H174" s="639">
        <v>10</v>
      </c>
      <c r="I174" s="699"/>
      <c r="J174" s="338">
        <v>10</v>
      </c>
      <c r="K174" s="338"/>
      <c r="L174" s="338"/>
      <c r="M174" s="338"/>
      <c r="N174" s="338">
        <v>20</v>
      </c>
      <c r="O174" s="338"/>
      <c r="P174" s="338"/>
      <c r="Q174" s="702"/>
      <c r="R174" s="642" t="s">
        <v>1599</v>
      </c>
      <c r="S174" s="346"/>
      <c r="T174" s="346"/>
      <c r="U174" s="469"/>
    </row>
    <row r="175" spans="1:21" s="325" customFormat="1" ht="11.25" customHeight="1" x14ac:dyDescent="0.2">
      <c r="A175" s="328" t="s">
        <v>378</v>
      </c>
      <c r="B175" s="329" t="s">
        <v>462</v>
      </c>
      <c r="C175" s="329" t="s">
        <v>309</v>
      </c>
      <c r="D175" s="329" t="s">
        <v>1363</v>
      </c>
      <c r="E175" s="329" t="s">
        <v>336</v>
      </c>
      <c r="F175" s="330" t="s">
        <v>464</v>
      </c>
      <c r="G175" s="463"/>
      <c r="H175" s="639">
        <v>0</v>
      </c>
      <c r="I175" s="699"/>
      <c r="J175" s="338">
        <v>0</v>
      </c>
      <c r="K175" s="338"/>
      <c r="L175" s="338"/>
      <c r="M175" s="338"/>
      <c r="N175" s="338"/>
      <c r="O175" s="338"/>
      <c r="P175" s="338">
        <v>0</v>
      </c>
      <c r="Q175" s="702"/>
      <c r="R175" s="642" t="s">
        <v>1598</v>
      </c>
      <c r="S175" s="346"/>
      <c r="T175" s="346"/>
      <c r="U175" s="469"/>
    </row>
    <row r="176" spans="1:21" s="325" customFormat="1" ht="11.25" customHeight="1" x14ac:dyDescent="0.2">
      <c r="A176" s="328" t="s">
        <v>378</v>
      </c>
      <c r="B176" s="329" t="s">
        <v>424</v>
      </c>
      <c r="C176" s="329" t="s">
        <v>309</v>
      </c>
      <c r="D176" s="329" t="s">
        <v>345</v>
      </c>
      <c r="E176" s="329" t="s">
        <v>344</v>
      </c>
      <c r="F176" s="330" t="s">
        <v>464</v>
      </c>
      <c r="G176" s="463" t="s">
        <v>1457</v>
      </c>
      <c r="H176" s="639"/>
      <c r="I176" s="699"/>
      <c r="J176" s="338"/>
      <c r="K176" s="338"/>
      <c r="L176" s="338"/>
      <c r="M176" s="338"/>
      <c r="N176" s="338"/>
      <c r="O176" s="338"/>
      <c r="P176" s="338"/>
      <c r="Q176" s="702"/>
      <c r="R176" s="642"/>
      <c r="S176" s="346"/>
      <c r="T176" s="346"/>
      <c r="U176" s="469" t="s">
        <v>1330</v>
      </c>
    </row>
    <row r="177" spans="1:21" s="325" customFormat="1" ht="11.25" customHeight="1" x14ac:dyDescent="0.2">
      <c r="A177" s="328" t="s">
        <v>378</v>
      </c>
      <c r="B177" s="329" t="s">
        <v>462</v>
      </c>
      <c r="C177" s="329" t="s">
        <v>309</v>
      </c>
      <c r="D177" s="329" t="s">
        <v>347</v>
      </c>
      <c r="E177" s="329" t="s">
        <v>346</v>
      </c>
      <c r="F177" s="330" t="s">
        <v>464</v>
      </c>
      <c r="G177" s="467"/>
      <c r="H177" s="639">
        <v>0</v>
      </c>
      <c r="I177" s="699"/>
      <c r="J177" s="338"/>
      <c r="K177" s="338"/>
      <c r="L177" s="338"/>
      <c r="M177" s="338"/>
      <c r="N177" s="338">
        <v>10</v>
      </c>
      <c r="O177" s="338">
        <v>5</v>
      </c>
      <c r="P177" s="338">
        <v>0</v>
      </c>
      <c r="Q177" s="702"/>
      <c r="R177" s="642" t="s">
        <v>1598</v>
      </c>
      <c r="S177" s="346"/>
      <c r="T177" s="346"/>
      <c r="U177" s="469"/>
    </row>
    <row r="178" spans="1:21" s="325" customFormat="1" ht="11.25" customHeight="1" x14ac:dyDescent="0.2">
      <c r="A178" s="328" t="s">
        <v>378</v>
      </c>
      <c r="B178" s="329" t="s">
        <v>462</v>
      </c>
      <c r="C178" s="329" t="s">
        <v>309</v>
      </c>
      <c r="D178" s="338" t="s">
        <v>1364</v>
      </c>
      <c r="E178" s="329" t="s">
        <v>314</v>
      </c>
      <c r="F178" s="330" t="s">
        <v>464</v>
      </c>
      <c r="G178" s="463"/>
      <c r="H178" s="639">
        <v>0</v>
      </c>
      <c r="I178" s="699"/>
      <c r="J178" s="338">
        <v>0</v>
      </c>
      <c r="K178" s="338"/>
      <c r="L178" s="338">
        <v>0</v>
      </c>
      <c r="M178" s="338"/>
      <c r="N178" s="338">
        <v>15</v>
      </c>
      <c r="O178" s="338">
        <v>15</v>
      </c>
      <c r="P178" s="338">
        <v>0</v>
      </c>
      <c r="Q178" s="702"/>
      <c r="R178" s="642" t="s">
        <v>1598</v>
      </c>
      <c r="S178" s="346"/>
      <c r="T178" s="346"/>
      <c r="U178" s="469"/>
    </row>
    <row r="179" spans="1:21" s="325" customFormat="1" ht="11.25" customHeight="1" x14ac:dyDescent="0.2">
      <c r="A179" s="328" t="s">
        <v>378</v>
      </c>
      <c r="B179" s="329" t="s">
        <v>424</v>
      </c>
      <c r="C179" s="329" t="s">
        <v>309</v>
      </c>
      <c r="D179" s="338" t="s">
        <v>1263</v>
      </c>
      <c r="E179" s="329" t="s">
        <v>1261</v>
      </c>
      <c r="F179" s="330" t="s">
        <v>466</v>
      </c>
      <c r="G179" s="463" t="s">
        <v>1304</v>
      </c>
      <c r="H179" s="639">
        <v>0</v>
      </c>
      <c r="I179" s="699"/>
      <c r="J179" s="338">
        <v>0</v>
      </c>
      <c r="K179" s="338"/>
      <c r="L179" s="338">
        <v>0</v>
      </c>
      <c r="M179" s="338"/>
      <c r="N179" s="338"/>
      <c r="O179" s="338"/>
      <c r="P179" s="338">
        <v>2</v>
      </c>
      <c r="Q179" s="702">
        <v>2</v>
      </c>
      <c r="R179" s="642" t="s">
        <v>1613</v>
      </c>
      <c r="S179" s="346"/>
      <c r="T179" s="346"/>
      <c r="U179" s="469" t="s">
        <v>1330</v>
      </c>
    </row>
    <row r="180" spans="1:21" s="325" customFormat="1" ht="11.25" customHeight="1" x14ac:dyDescent="0.2">
      <c r="A180" s="328" t="s">
        <v>378</v>
      </c>
      <c r="B180" s="329" t="s">
        <v>1327</v>
      </c>
      <c r="C180" s="329" t="s">
        <v>309</v>
      </c>
      <c r="D180" s="338" t="s">
        <v>1745</v>
      </c>
      <c r="E180" s="329" t="s">
        <v>1694</v>
      </c>
      <c r="F180" s="330" t="s">
        <v>464</v>
      </c>
      <c r="G180" s="463"/>
      <c r="H180" s="639">
        <v>35</v>
      </c>
      <c r="I180" s="699">
        <v>35</v>
      </c>
      <c r="J180" s="338">
        <v>35</v>
      </c>
      <c r="K180" s="338">
        <v>35</v>
      </c>
      <c r="L180" s="338"/>
      <c r="M180" s="338"/>
      <c r="N180" s="338"/>
      <c r="O180" s="338"/>
      <c r="P180" s="338"/>
      <c r="Q180" s="702"/>
      <c r="R180" s="642" t="s">
        <v>1793</v>
      </c>
      <c r="S180" s="346">
        <v>40</v>
      </c>
      <c r="T180" s="346"/>
      <c r="U180" s="469"/>
    </row>
    <row r="181" spans="1:21" s="325" customFormat="1" ht="11.25" customHeight="1" x14ac:dyDescent="0.2">
      <c r="A181" s="328" t="s">
        <v>378</v>
      </c>
      <c r="B181" s="329" t="s">
        <v>1305</v>
      </c>
      <c r="C181" s="329" t="s">
        <v>309</v>
      </c>
      <c r="D181" s="329" t="s">
        <v>1365</v>
      </c>
      <c r="E181" s="329" t="s">
        <v>350</v>
      </c>
      <c r="F181" s="343" t="s">
        <v>466</v>
      </c>
      <c r="G181" s="465"/>
      <c r="H181" s="639">
        <v>48</v>
      </c>
      <c r="I181" s="699"/>
      <c r="J181" s="338">
        <v>48</v>
      </c>
      <c r="K181" s="338"/>
      <c r="L181" s="338">
        <v>40</v>
      </c>
      <c r="M181" s="338"/>
      <c r="N181" s="338"/>
      <c r="O181" s="338"/>
      <c r="P181" s="338"/>
      <c r="Q181" s="702"/>
      <c r="R181" s="642" t="s">
        <v>1647</v>
      </c>
      <c r="S181" s="346"/>
      <c r="T181" s="346"/>
      <c r="U181" s="469"/>
    </row>
    <row r="182" spans="1:21" s="325" customFormat="1" ht="11.25" customHeight="1" x14ac:dyDescent="0.2">
      <c r="A182" s="331" t="s">
        <v>3</v>
      </c>
      <c r="B182" s="332"/>
      <c r="C182" s="332"/>
      <c r="D182" s="333"/>
      <c r="E182" s="334"/>
      <c r="F182" s="335"/>
      <c r="G182" s="472"/>
      <c r="H182" s="334">
        <f>SUM(H161:H181)</f>
        <v>173</v>
      </c>
      <c r="I182" s="334">
        <f t="shared" ref="I182:Q182" si="31">SUM(I161:I181)</f>
        <v>115</v>
      </c>
      <c r="J182" s="334">
        <f t="shared" si="31"/>
        <v>233</v>
      </c>
      <c r="K182" s="334">
        <f t="shared" si="31"/>
        <v>175</v>
      </c>
      <c r="L182" s="334">
        <f t="shared" si="31"/>
        <v>40</v>
      </c>
      <c r="M182" s="334">
        <f t="shared" si="31"/>
        <v>0</v>
      </c>
      <c r="N182" s="334">
        <f t="shared" si="31"/>
        <v>117</v>
      </c>
      <c r="O182" s="334">
        <f t="shared" si="31"/>
        <v>52</v>
      </c>
      <c r="P182" s="334">
        <f t="shared" si="31"/>
        <v>2</v>
      </c>
      <c r="Q182" s="334">
        <f t="shared" si="31"/>
        <v>2</v>
      </c>
      <c r="R182" s="334">
        <f t="shared" ref="R182:T182" si="32">SUM(R161:R181)</f>
        <v>0</v>
      </c>
      <c r="S182" s="334">
        <f t="shared" si="32"/>
        <v>40</v>
      </c>
      <c r="T182" s="334">
        <f t="shared" si="32"/>
        <v>0</v>
      </c>
      <c r="U182" s="327"/>
    </row>
    <row r="183" spans="1:21" s="325" customFormat="1" ht="11.25" customHeight="1" thickBot="1" x14ac:dyDescent="0.25">
      <c r="A183" s="348"/>
      <c r="B183" s="349"/>
      <c r="C183" s="349" t="s">
        <v>1366</v>
      </c>
      <c r="D183" s="349"/>
      <c r="E183" s="349"/>
      <c r="F183" s="350"/>
      <c r="G183" s="473"/>
      <c r="H183" s="650">
        <f>H182+H160+H156+H153+H150+H147+H142+H135+H107+H103+H90+H87+H78+H74+H64+H48+H46+H44+H20+H14</f>
        <v>1982</v>
      </c>
      <c r="I183" s="650">
        <f t="shared" ref="I183:O183" si="33">I182+I160+I156+I153+I150+I147+I142+I135+I107+I103+I90+I87+I78+I74+I64+I48+I46+I44+I20+I14</f>
        <v>1359</v>
      </c>
      <c r="J183" s="650">
        <f t="shared" si="33"/>
        <v>2025</v>
      </c>
      <c r="K183" s="650">
        <f t="shared" si="33"/>
        <v>1420</v>
      </c>
      <c r="L183" s="650">
        <f t="shared" si="33"/>
        <v>1090</v>
      </c>
      <c r="M183" s="650">
        <f t="shared" si="33"/>
        <v>379</v>
      </c>
      <c r="N183" s="650">
        <f t="shared" si="33"/>
        <v>842</v>
      </c>
      <c r="O183" s="650">
        <f t="shared" si="33"/>
        <v>587</v>
      </c>
      <c r="P183" s="650">
        <f t="shared" ref="P183:Q183" si="34">P14+P20+P44+P46+P48+P64+P74+P78+P87+P90+P103+P107+P135+P142+P147+P150+P153+P156+P182</f>
        <v>4</v>
      </c>
      <c r="Q183" s="650">
        <f t="shared" si="34"/>
        <v>4</v>
      </c>
      <c r="R183" s="650">
        <f t="shared" ref="R183" si="35">R14+R20+R44+R46+R48+R64+R74+R78+R87+R90+R103+R107+R135+R142+R147+R150+R153+R156+R182</f>
        <v>0</v>
      </c>
      <c r="S183" s="650">
        <f t="shared" ref="S183:T183" si="36">S14+S20+S44+S46+S48+S64+S74+S78+S87+S90+S103+S107+S135+S142+S147+S150+S153+S156+S182</f>
        <v>560</v>
      </c>
      <c r="T183" s="650" t="e">
        <f t="shared" si="36"/>
        <v>#REF!</v>
      </c>
      <c r="U183" s="351"/>
    </row>
  </sheetData>
  <autoFilter ref="A4:U183"/>
  <mergeCells count="11">
    <mergeCell ref="S2:S4"/>
    <mergeCell ref="T2:T4"/>
    <mergeCell ref="A1:R1"/>
    <mergeCell ref="A2:A4"/>
    <mergeCell ref="B2:B4"/>
    <mergeCell ref="C2:C4"/>
    <mergeCell ref="D2:D4"/>
    <mergeCell ref="E2:E4"/>
    <mergeCell ref="F2:F4"/>
    <mergeCell ref="G2:G4"/>
    <mergeCell ref="H2:R2"/>
  </mergeCells>
  <conditionalFormatting sqref="H3:R4 H1:T2 H5:T13 H183:T1048576">
    <cfRule type="cellIs" dxfId="564" priority="3" operator="greaterThan">
      <formula>0</formula>
    </cfRule>
  </conditionalFormatting>
  <conditionalFormatting sqref="R15">
    <cfRule type="cellIs" dxfId="563" priority="2" operator="greaterThan">
      <formula>0</formula>
    </cfRule>
  </conditionalFormatting>
  <conditionalFormatting sqref="H157:R159 U157:Y159">
    <cfRule type="cellIs" dxfId="562" priority="1" operator="greaterThan">
      <formula>0</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CG45"/>
  <sheetViews>
    <sheetView showGridLines="0" showZeros="0" topLeftCell="A4" zoomScale="130" zoomScaleNormal="130" zoomScaleSheetLayoutView="100" zoomScalePageLayoutView="80" workbookViewId="0">
      <selection activeCell="F30" sqref="F30"/>
    </sheetView>
  </sheetViews>
  <sheetFormatPr defaultColWidth="9.140625" defaultRowHeight="15" x14ac:dyDescent="0.25"/>
  <cols>
    <col min="1" max="1" width="2.42578125" style="177" customWidth="1"/>
    <col min="2" max="2" width="11.85546875" style="177" customWidth="1"/>
    <col min="3" max="3" width="9" style="177" customWidth="1"/>
    <col min="4" max="4" width="9.85546875" style="177" customWidth="1"/>
    <col min="5" max="5" width="8" style="177" customWidth="1"/>
    <col min="6" max="6" width="7.28515625" style="177" customWidth="1"/>
    <col min="7" max="7" width="10.140625" style="177" bestFit="1" customWidth="1"/>
    <col min="8" max="8" width="12.42578125" style="177" bestFit="1" customWidth="1"/>
    <col min="9" max="9" width="5" style="177" customWidth="1"/>
    <col min="10" max="11" width="16" style="177" customWidth="1"/>
    <col min="12" max="12" width="9.140625" style="177"/>
    <col min="13" max="13" width="8.7109375" style="177" customWidth="1"/>
    <col min="14" max="14" width="5.85546875" style="177" customWidth="1"/>
    <col min="15" max="15" width="15.7109375" style="177" customWidth="1"/>
    <col min="16" max="16" width="2.28515625" style="271" customWidth="1"/>
    <col min="17" max="17" width="7.7109375" style="271" customWidth="1"/>
    <col min="18" max="20" width="9.140625" style="271" customWidth="1"/>
    <col min="21" max="21" width="21.140625" style="271" customWidth="1"/>
    <col min="22" max="22" width="9.140625" style="271" customWidth="1"/>
    <col min="23" max="24" width="9.140625" style="177" customWidth="1"/>
    <col min="25" max="78" width="9.140625" style="177"/>
    <col min="79" max="79" width="9.140625" style="177" customWidth="1"/>
    <col min="80" max="80" width="15" style="177" customWidth="1"/>
    <col min="81" max="83" width="8" style="177" customWidth="1"/>
    <col min="84" max="16384" width="9.140625" style="177"/>
  </cols>
  <sheetData>
    <row r="1" spans="1:85" ht="12.75" customHeight="1" x14ac:dyDescent="0.25">
      <c r="A1" s="500"/>
      <c r="B1" s="425"/>
      <c r="C1" s="425"/>
      <c r="D1" s="425"/>
      <c r="E1" s="425"/>
      <c r="F1" s="425"/>
      <c r="G1" s="425"/>
      <c r="H1" s="425"/>
      <c r="I1" s="425"/>
      <c r="J1" s="425"/>
      <c r="K1" s="425"/>
      <c r="L1" s="425"/>
      <c r="M1" s="425"/>
      <c r="N1" s="425"/>
      <c r="O1" s="425"/>
      <c r="P1" s="505"/>
    </row>
    <row r="2" spans="1:85" ht="28.5" customHeight="1" x14ac:dyDescent="0.25">
      <c r="A2" s="506"/>
      <c r="B2" s="794" t="s">
        <v>533</v>
      </c>
      <c r="C2" s="795"/>
      <c r="D2" s="795"/>
      <c r="E2" s="795"/>
      <c r="F2" s="795"/>
      <c r="G2" s="795"/>
      <c r="H2" s="795"/>
      <c r="I2" s="795"/>
      <c r="J2" s="795"/>
      <c r="K2" s="795"/>
      <c r="L2" s="363"/>
      <c r="M2" s="363"/>
      <c r="N2" s="363"/>
      <c r="O2" s="176"/>
      <c r="P2" s="507"/>
      <c r="Q2" s="446" t="s">
        <v>1425</v>
      </c>
      <c r="R2" s="398"/>
      <c r="S2" s="398"/>
      <c r="T2" s="398"/>
      <c r="U2" s="398"/>
      <c r="AL2" s="315"/>
      <c r="AM2" s="315"/>
      <c r="CC2" s="177" t="s">
        <v>979</v>
      </c>
      <c r="CD2" s="359" t="e">
        <f>GETPIVOTDATA("# HH",$B$9)</f>
        <v>#REF!</v>
      </c>
    </row>
    <row r="3" spans="1:85" s="306" customFormat="1" ht="28.5" customHeight="1" x14ac:dyDescent="0.25">
      <c r="A3" s="506"/>
      <c r="B3" s="809">
        <f>Definition!B23</f>
        <v>43404</v>
      </c>
      <c r="C3" s="810"/>
      <c r="D3" s="810"/>
      <c r="E3" s="810"/>
      <c r="F3" s="810"/>
      <c r="G3" s="810"/>
      <c r="H3" s="810"/>
      <c r="I3" s="810"/>
      <c r="J3" s="810"/>
      <c r="K3" s="364"/>
      <c r="L3" s="364"/>
      <c r="M3" s="364"/>
      <c r="N3" s="364"/>
      <c r="O3" s="178"/>
      <c r="P3" s="508"/>
      <c r="Q3" s="391">
        <f>COUNTIFS(CampList[[#All],[Status]],"Open",CampList[[#All],[Type of Accomodation]],"Camp")+COUNTIFS(CampList[[#All],[Status]],"Open",CampList[[#All],[Type of Accomodation]],"Camp like setting")</f>
        <v>0</v>
      </c>
      <c r="R3" s="398"/>
      <c r="S3" s="398"/>
      <c r="T3" s="398"/>
      <c r="U3" s="398"/>
      <c r="V3" s="271"/>
      <c r="W3" s="177"/>
      <c r="X3" s="177"/>
      <c r="Y3" s="177"/>
      <c r="AA3" s="177"/>
      <c r="AB3" s="177"/>
      <c r="AL3" s="179"/>
      <c r="AM3" s="179"/>
      <c r="CC3" s="177" t="s">
        <v>1025</v>
      </c>
      <c r="CD3" s="359" t="e">
        <f>GETPIVOTDATA("# Camps",$B$9)</f>
        <v>#REF!</v>
      </c>
      <c r="CE3" s="177"/>
      <c r="CF3" s="177"/>
    </row>
    <row r="4" spans="1:85" s="306" customFormat="1" ht="8.25" customHeight="1" x14ac:dyDescent="0.25">
      <c r="A4" s="506"/>
      <c r="B4" s="464"/>
      <c r="C4" s="464"/>
      <c r="D4" s="464"/>
      <c r="E4" s="464"/>
      <c r="F4" s="464"/>
      <c r="G4" s="464"/>
      <c r="H4" s="464"/>
      <c r="I4" s="464"/>
      <c r="J4" s="464"/>
      <c r="K4" s="85"/>
      <c r="L4" s="85"/>
      <c r="M4" s="85"/>
      <c r="N4" s="85"/>
      <c r="O4" s="396"/>
      <c r="P4" s="508"/>
      <c r="Q4" s="391"/>
      <c r="R4" s="398"/>
      <c r="S4" s="398"/>
      <c r="T4" s="398"/>
      <c r="U4" s="398"/>
      <c r="V4" s="271"/>
      <c r="W4" s="177"/>
      <c r="X4" s="177"/>
      <c r="Y4" s="177"/>
      <c r="AA4" s="177"/>
      <c r="AB4" s="177"/>
      <c r="AL4" s="179"/>
      <c r="AM4" s="179"/>
      <c r="CC4" s="177"/>
      <c r="CD4" s="359"/>
      <c r="CE4" s="177"/>
      <c r="CF4" s="177"/>
    </row>
    <row r="5" spans="1:85" s="480" customFormat="1" ht="18" customHeight="1" x14ac:dyDescent="0.25">
      <c r="A5" s="509"/>
      <c r="B5" s="485" t="s">
        <v>1425</v>
      </c>
      <c r="C5" s="486"/>
      <c r="D5" s="486"/>
      <c r="E5" s="486"/>
      <c r="F5" s="486"/>
      <c r="G5" s="487"/>
      <c r="H5" s="519">
        <v>81</v>
      </c>
      <c r="I5" s="492"/>
      <c r="J5" s="476"/>
      <c r="K5" s="477"/>
      <c r="L5" s="477"/>
      <c r="M5" s="477"/>
      <c r="N5" s="477"/>
      <c r="O5" s="475"/>
      <c r="P5" s="510"/>
      <c r="Q5" s="478"/>
      <c r="R5" s="478"/>
      <c r="S5" s="478"/>
      <c r="T5" s="478"/>
      <c r="U5" s="478"/>
      <c r="V5" s="478"/>
      <c r="W5" s="479"/>
      <c r="X5" s="479"/>
      <c r="Y5" s="479"/>
      <c r="AA5" s="479"/>
      <c r="AB5" s="479"/>
      <c r="AL5" s="481"/>
      <c r="AM5" s="481"/>
      <c r="CC5" s="479"/>
      <c r="CD5" s="482"/>
      <c r="CE5" s="479"/>
      <c r="CF5" s="479"/>
    </row>
    <row r="6" spans="1:85" s="479" customFormat="1" ht="18" customHeight="1" x14ac:dyDescent="0.25">
      <c r="A6" s="509"/>
      <c r="B6" s="485" t="s">
        <v>1369</v>
      </c>
      <c r="C6" s="486"/>
      <c r="D6" s="486"/>
      <c r="E6" s="486"/>
      <c r="F6" s="486"/>
      <c r="G6" s="487"/>
      <c r="H6" s="493">
        <f>F30</f>
        <v>4188</v>
      </c>
      <c r="I6" s="492"/>
      <c r="J6" s="475"/>
      <c r="K6" s="475"/>
      <c r="L6" s="475"/>
      <c r="M6" s="475"/>
      <c r="N6" s="475"/>
      <c r="O6" s="475"/>
      <c r="P6" s="511"/>
      <c r="Q6" s="478"/>
      <c r="R6" s="655"/>
      <c r="S6" s="478"/>
      <c r="T6" s="478"/>
      <c r="U6" s="478"/>
      <c r="V6" s="478"/>
      <c r="CC6" s="479" t="s">
        <v>981</v>
      </c>
      <c r="CD6" s="483" t="e">
        <f>GETPIVOTDATA("# HH",$B$9)-GETPIVOTDATA("# Shelter Gap",$B$9)</f>
        <v>#REF!</v>
      </c>
      <c r="CE6" s="484" t="e">
        <f>CD6/CD2</f>
        <v>#REF!</v>
      </c>
    </row>
    <row r="7" spans="1:85" s="479" customFormat="1" ht="18" customHeight="1" x14ac:dyDescent="0.25">
      <c r="A7" s="509"/>
      <c r="B7" s="485" t="s">
        <v>1547</v>
      </c>
      <c r="C7" s="486"/>
      <c r="D7" s="486"/>
      <c r="E7" s="486"/>
      <c r="F7" s="486"/>
      <c r="G7" s="487"/>
      <c r="H7" s="494">
        <f>G30</f>
        <v>5418</v>
      </c>
      <c r="I7" s="492"/>
      <c r="J7" s="475"/>
      <c r="K7" s="475"/>
      <c r="L7" s="475"/>
      <c r="M7" s="475"/>
      <c r="N7" s="475"/>
      <c r="O7" s="475"/>
      <c r="P7" s="511"/>
      <c r="Q7" s="478"/>
      <c r="R7" s="478"/>
      <c r="S7" s="478"/>
      <c r="T7" s="478"/>
      <c r="U7" s="478"/>
      <c r="V7" s="478"/>
      <c r="CB7" s="480"/>
      <c r="CC7" s="479" t="s">
        <v>980</v>
      </c>
      <c r="CD7" s="482" t="e">
        <f>GETPIVOTDATA("# Shelter Gap",$B$9)</f>
        <v>#REF!</v>
      </c>
      <c r="CE7" s="484"/>
    </row>
    <row r="8" spans="1:85" ht="6" customHeight="1" x14ac:dyDescent="0.25">
      <c r="A8" s="512"/>
      <c r="B8" s="190"/>
      <c r="C8" s="190"/>
      <c r="D8" s="190"/>
      <c r="E8" s="190"/>
      <c r="F8" s="190"/>
      <c r="G8" s="190"/>
      <c r="H8" s="190"/>
      <c r="I8" s="492"/>
      <c r="J8" s="190"/>
      <c r="K8" s="190"/>
      <c r="L8" s="190"/>
      <c r="M8" s="190"/>
      <c r="N8" s="190"/>
      <c r="O8" s="190"/>
      <c r="P8" s="507"/>
      <c r="CC8" s="177" t="s">
        <v>982</v>
      </c>
      <c r="CD8" s="359" t="e">
        <f>GETPIVOTDATA("# Const. Shelter",$B$9)</f>
        <v>#REF!</v>
      </c>
      <c r="CE8" s="360" t="e">
        <f>CD8/CD2</f>
        <v>#REF!</v>
      </c>
    </row>
    <row r="9" spans="1:85" ht="42" customHeight="1" x14ac:dyDescent="0.25">
      <c r="A9" s="512"/>
      <c r="B9" s="356" t="s">
        <v>0</v>
      </c>
      <c r="C9" s="357" t="s">
        <v>1368</v>
      </c>
      <c r="D9" s="357" t="s">
        <v>1367</v>
      </c>
      <c r="E9" s="357" t="s">
        <v>1372</v>
      </c>
      <c r="F9" s="357" t="s">
        <v>1369</v>
      </c>
      <c r="G9" s="357" t="s">
        <v>1373</v>
      </c>
      <c r="H9" s="357" t="s">
        <v>1593</v>
      </c>
      <c r="I9" s="492"/>
      <c r="J9" s="190"/>
      <c r="K9" s="190"/>
      <c r="L9" s="190"/>
      <c r="M9" s="190"/>
      <c r="N9" s="190"/>
      <c r="O9" s="190"/>
      <c r="P9" s="507"/>
    </row>
    <row r="10" spans="1:85" ht="12.6" customHeight="1" x14ac:dyDescent="0.25">
      <c r="A10" s="512"/>
      <c r="B10" s="488" t="s">
        <v>5</v>
      </c>
      <c r="C10" s="489">
        <f>GETPIVOTDATA("HH",'IDP location Analysis'!$B$9,"Township","Bhamo")</f>
        <v>1442</v>
      </c>
      <c r="D10" s="490">
        <f>GETPIVOTDATA("Individuals",'IDP location Analysis'!$B$9,"Township","Bhamo")</f>
        <v>8124</v>
      </c>
      <c r="E10" s="490">
        <f>'Shelter Gap Analysis'!H14+'Shelter Gap Analysis'!J14+'Shelter Gap Analysis'!K14</f>
        <v>467</v>
      </c>
      <c r="F10" s="491">
        <f>'Shelter Gap Analysis'!M14+'Shelter Gap Analysis'!O14+'Shelter Gap Analysis'!P14</f>
        <v>337</v>
      </c>
      <c r="G10" s="489">
        <f>E10-F10</f>
        <v>130</v>
      </c>
      <c r="H10" s="492">
        <f>IF(AND(E10=0,F10=0),"",IF((IFERROR(F10/E10,0))=0,"no coverage",F10/E10))</f>
        <v>0.72162740899357602</v>
      </c>
      <c r="I10" s="492"/>
      <c r="J10" s="316"/>
      <c r="K10" s="316"/>
      <c r="L10" s="190"/>
      <c r="M10" s="190"/>
      <c r="N10" s="190"/>
      <c r="O10" s="190"/>
      <c r="P10" s="507"/>
    </row>
    <row r="11" spans="1:85" ht="12.6" customHeight="1" x14ac:dyDescent="0.25">
      <c r="A11" s="426"/>
      <c r="B11" s="488" t="s">
        <v>27</v>
      </c>
      <c r="C11" s="489">
        <f>GETPIVOTDATA("HH",'IDP location Analysis'!$B$9,"Township","Chipwi")</f>
        <v>614</v>
      </c>
      <c r="D11" s="490">
        <f>GETPIVOTDATA("Individuals",'IDP location Analysis'!$B$9,"Township","Chipwi")</f>
        <v>3051</v>
      </c>
      <c r="E11" s="490">
        <f>'Shelter Gap Analysis'!H20+'Shelter Gap Analysis'!J20+'Shelter Gap Analysis'!K20</f>
        <v>246</v>
      </c>
      <c r="F11" s="491">
        <f>'Shelter Gap Analysis'!M20+'Shelter Gap Analysis'!O20+'Shelter Gap Analysis'!P20</f>
        <v>151</v>
      </c>
      <c r="G11" s="489">
        <f t="shared" ref="G11:G27" si="0">E11-F11</f>
        <v>95</v>
      </c>
      <c r="H11" s="492">
        <f t="shared" ref="H11:H26" si="1">IF(AND(E11=0,F11=0),"",IF((IFERROR(F11/E11,0))=0,"no coverage",F11/E11))</f>
        <v>0.61382113821138207</v>
      </c>
      <c r="I11" s="492"/>
      <c r="J11" s="317"/>
      <c r="K11" s="317"/>
      <c r="L11" s="190"/>
      <c r="M11" s="190"/>
      <c r="N11" s="190"/>
      <c r="O11" s="190"/>
      <c r="P11" s="507"/>
    </row>
    <row r="12" spans="1:85" ht="12.6" customHeight="1" x14ac:dyDescent="0.25">
      <c r="A12" s="426"/>
      <c r="B12" s="488" t="s">
        <v>480</v>
      </c>
      <c r="C12" s="489">
        <f>GETPIVOTDATA("HH",'IDP location Analysis'!$B$9,"Township","Hpakant")</f>
        <v>791</v>
      </c>
      <c r="D12" s="490">
        <f>GETPIVOTDATA("Individuals",'IDP location Analysis'!$B$9,"Township","Hpakant")</f>
        <v>3978</v>
      </c>
      <c r="E12" s="490">
        <f>'Shelter Gap Analysis'!H44+'Shelter Gap Analysis'!J44+'Shelter Gap Analysis'!K44</f>
        <v>493</v>
      </c>
      <c r="F12" s="491">
        <f>'Shelter Gap Analysis'!M44+'Shelter Gap Analysis'!O44+'Shelter Gap Analysis'!P44</f>
        <v>257</v>
      </c>
      <c r="G12" s="489">
        <f t="shared" si="0"/>
        <v>236</v>
      </c>
      <c r="H12" s="492">
        <f t="shared" si="1"/>
        <v>0.52129817444219062</v>
      </c>
      <c r="I12" s="492"/>
      <c r="J12" s="317"/>
      <c r="K12" s="317"/>
      <c r="L12" s="190"/>
      <c r="M12" s="190"/>
      <c r="N12" s="190"/>
      <c r="O12" s="190"/>
      <c r="P12" s="507"/>
    </row>
    <row r="13" spans="1:85" ht="12.6" customHeight="1" x14ac:dyDescent="0.25">
      <c r="A13" s="426"/>
      <c r="B13" s="664" t="s">
        <v>719</v>
      </c>
      <c r="C13" s="489">
        <f>GETPIVOTDATA("HH",'IDP location Analysis'!$B$9,"Township","Hseni")</f>
        <v>32</v>
      </c>
      <c r="D13" s="490">
        <f>GETPIVOTDATA("Individuals",'IDP location Analysis'!$B$9,"Township","Hseni")</f>
        <v>172</v>
      </c>
      <c r="E13" s="490">
        <f>'Shelter Gap Analysis'!H46+'Shelter Gap Analysis'!J46+'Shelter Gap Analysis'!K46</f>
        <v>7</v>
      </c>
      <c r="F13" s="491">
        <f>'Shelter Gap Analysis'!M46+'Shelter Gap Analysis'!O46+'Shelter Gap Analysis'!P46</f>
        <v>0</v>
      </c>
      <c r="G13" s="489">
        <f t="shared" si="0"/>
        <v>7</v>
      </c>
      <c r="H13" s="492" t="str">
        <f>IF(AND(E13=0,F13=0),"",IF((IFERROR(F13/E13,0))=0,"no coverage",F13/E13))</f>
        <v>no coverage</v>
      </c>
      <c r="I13" s="492"/>
      <c r="J13" s="190"/>
      <c r="K13" s="317"/>
      <c r="L13" s="190"/>
      <c r="M13" s="190"/>
      <c r="N13" s="190"/>
      <c r="O13" s="190"/>
      <c r="P13" s="507"/>
    </row>
    <row r="14" spans="1:85" ht="12.6" customHeight="1" x14ac:dyDescent="0.25">
      <c r="A14" s="426"/>
      <c r="B14" s="488" t="s">
        <v>1199</v>
      </c>
      <c r="C14" s="489">
        <f>GETPIVOTDATA("HH",'IDP location Analysis'!$B$9,"Township","Hsipaw")</f>
        <v>37</v>
      </c>
      <c r="D14" s="490">
        <f>GETPIVOTDATA("Individuals",'IDP location Analysis'!$B$9,"Township","Hsipaw")</f>
        <v>120</v>
      </c>
      <c r="E14" s="490">
        <f>'Shelter Gap Analysis'!H48+'Shelter Gap Analysis'!J48+'Shelter Gap Analysis'!K48</f>
        <v>0</v>
      </c>
      <c r="F14" s="491">
        <f>'Shelter Gap Analysis'!M48+'Shelter Gap Analysis'!O48+'Shelter Gap Analysis'!P48</f>
        <v>0</v>
      </c>
      <c r="G14" s="489">
        <f t="shared" si="0"/>
        <v>0</v>
      </c>
      <c r="H14" s="492" t="str">
        <f>IF(AND(E14=0,F14=0),"",IF((IFERROR(F14/E14,0))=0,"no coverage",F14/E14))</f>
        <v/>
      </c>
      <c r="I14" s="492"/>
      <c r="J14" s="190"/>
      <c r="K14" s="317"/>
      <c r="L14" s="190"/>
      <c r="M14" s="190"/>
      <c r="N14" s="190"/>
      <c r="O14" s="190"/>
      <c r="P14" s="507"/>
    </row>
    <row r="15" spans="1:85" ht="12.6" customHeight="1" x14ac:dyDescent="0.25">
      <c r="A15" s="426"/>
      <c r="B15" s="488" t="s">
        <v>146</v>
      </c>
      <c r="C15" s="489">
        <f>GETPIVOTDATA("HH",'IDP location Analysis'!$B$9,"Township","Kutkai")</f>
        <v>949</v>
      </c>
      <c r="D15" s="490">
        <f>GETPIVOTDATA("Individuals",'IDP location Analysis'!$B$9,"Township","Kutkai")</f>
        <v>4793</v>
      </c>
      <c r="E15" s="490">
        <f>'Shelter Gap Analysis'!H65+'Shelter Gap Analysis'!J65+'Shelter Gap Analysis'!K65</f>
        <v>319</v>
      </c>
      <c r="F15" s="491">
        <f>'Shelter Gap Analysis'!M65+'Shelter Gap Analysis'!O65+'Shelter Gap Analysis'!P65</f>
        <v>112</v>
      </c>
      <c r="G15" s="489">
        <f t="shared" si="0"/>
        <v>207</v>
      </c>
      <c r="H15" s="492">
        <f t="shared" si="1"/>
        <v>0.35109717868338558</v>
      </c>
      <c r="I15" s="492"/>
      <c r="J15" s="190"/>
      <c r="K15" s="317"/>
      <c r="L15" s="190"/>
      <c r="M15" s="190"/>
      <c r="N15" s="190"/>
      <c r="O15" s="190"/>
      <c r="P15" s="507"/>
    </row>
    <row r="16" spans="1:85" ht="15" customHeight="1" x14ac:dyDescent="0.25">
      <c r="A16" s="512"/>
      <c r="B16" s="488" t="s">
        <v>151</v>
      </c>
      <c r="C16" s="489">
        <f>GETPIVOTDATA("HH",'IDP location Analysis'!$B$9,"Township","Mansi")</f>
        <v>2812</v>
      </c>
      <c r="D16" s="490">
        <f>GETPIVOTDATA("Individuals",'IDP location Analysis'!$B$9,"Township","Mansi")</f>
        <v>13435</v>
      </c>
      <c r="E16" s="490">
        <f>'Shelter Gap Analysis'!H75+'Shelter Gap Analysis'!J75+'Shelter Gap Analysis'!K75</f>
        <v>1068</v>
      </c>
      <c r="F16" s="491">
        <f>'Shelter Gap Analysis'!M75+'Shelter Gap Analysis'!O75+'Shelter Gap Analysis'!P75</f>
        <v>590</v>
      </c>
      <c r="G16" s="489">
        <f t="shared" si="0"/>
        <v>478</v>
      </c>
      <c r="H16" s="492">
        <f>IF(AND(E16=0,F16=0),"",IF((IFERROR(F16/E16,0))=0,"no coverage",F16/E16))</f>
        <v>0.55243445692883897</v>
      </c>
      <c r="I16" s="492"/>
      <c r="J16" s="190"/>
      <c r="K16" s="190"/>
      <c r="L16" s="317"/>
      <c r="M16" s="190"/>
      <c r="N16" s="190"/>
      <c r="O16" s="190"/>
      <c r="P16" s="427"/>
      <c r="W16" s="271"/>
      <c r="CD16" s="177" t="s">
        <v>0</v>
      </c>
      <c r="CE16" s="177" t="s">
        <v>989</v>
      </c>
      <c r="CF16" s="177" t="s">
        <v>990</v>
      </c>
      <c r="CG16" s="177" t="s">
        <v>991</v>
      </c>
    </row>
    <row r="17" spans="1:85" s="355" customFormat="1" ht="12.75" customHeight="1" x14ac:dyDescent="0.25">
      <c r="A17" s="513"/>
      <c r="B17" s="488" t="s">
        <v>166</v>
      </c>
      <c r="C17" s="489">
        <f>GETPIVOTDATA("HH",'IDP location Analysis'!$B$9,"Township","Manton")</f>
        <v>62</v>
      </c>
      <c r="D17" s="490">
        <f>GETPIVOTDATA("Individuals",'IDP location Analysis'!$B$9,"Township","Manton")</f>
        <v>348</v>
      </c>
      <c r="E17" s="490">
        <f>'Shelter Gap Analysis'!H79+'Shelter Gap Analysis'!J79+'Shelter Gap Analysis'!K79</f>
        <v>28</v>
      </c>
      <c r="F17" s="491">
        <f>'Shelter Gap Analysis'!M79+'Shelter Gap Analysis'!O79+'Shelter Gap Analysis'!P79</f>
        <v>20</v>
      </c>
      <c r="G17" s="489">
        <f t="shared" si="0"/>
        <v>8</v>
      </c>
      <c r="H17" s="492">
        <f>IF(AND(E17=0,F17=0),"",IF((IFERROR(F17/E17,0))=0,"no coverage",F17/E17))</f>
        <v>0.7142857142857143</v>
      </c>
      <c r="I17" s="492"/>
      <c r="J17" s="319"/>
      <c r="K17" s="319"/>
      <c r="L17" s="320"/>
      <c r="M17" s="319"/>
      <c r="N17" s="319"/>
      <c r="O17" s="319"/>
      <c r="P17" s="514"/>
      <c r="Q17" s="271"/>
      <c r="R17" s="271"/>
      <c r="S17" s="271"/>
      <c r="T17" s="271"/>
      <c r="U17" s="271"/>
      <c r="V17" s="271"/>
      <c r="W17" s="271"/>
      <c r="CD17" s="355" t="str">
        <f>B10</f>
        <v>Bhamo</v>
      </c>
      <c r="CE17" s="318">
        <f>C10-Shelter_Draw[[#This Row],[V2]]-Shelter_Draw[[#This Row],[V3]]</f>
        <v>1441.2783725910065</v>
      </c>
      <c r="CF17" s="318">
        <f>J17</f>
        <v>0</v>
      </c>
      <c r="CG17" s="318">
        <f>H10-J17</f>
        <v>0.72162740899357602</v>
      </c>
    </row>
    <row r="18" spans="1:85" s="355" customFormat="1" ht="12.75" customHeight="1" x14ac:dyDescent="0.25">
      <c r="A18" s="513"/>
      <c r="B18" s="488" t="s">
        <v>173</v>
      </c>
      <c r="C18" s="489">
        <f>GETPIVOTDATA("HH",'IDP location Analysis'!$B$9,"Township","Mogaung")</f>
        <v>307</v>
      </c>
      <c r="D18" s="490">
        <f>GETPIVOTDATA("Individuals",'IDP location Analysis'!$B$9,"Township","Mogaung")</f>
        <v>1481</v>
      </c>
      <c r="E18" s="490">
        <f>'Shelter Gap Analysis'!H88+'Shelter Gap Analysis'!J88+'Shelter Gap Analysis'!K88</f>
        <v>271</v>
      </c>
      <c r="F18" s="491">
        <f>'Shelter Gap Analysis'!M88+'Shelter Gap Analysis'!O88+'Shelter Gap Analysis'!P88</f>
        <v>135</v>
      </c>
      <c r="G18" s="489">
        <f>E18-F18</f>
        <v>136</v>
      </c>
      <c r="H18" s="492">
        <f t="shared" si="1"/>
        <v>0.49815498154981552</v>
      </c>
      <c r="I18" s="492"/>
      <c r="J18" s="319"/>
      <c r="K18" s="319"/>
      <c r="L18" s="320"/>
      <c r="M18" s="319"/>
      <c r="N18" s="319"/>
      <c r="O18" s="319"/>
      <c r="P18" s="514"/>
      <c r="Q18" s="271"/>
      <c r="R18" s="271"/>
      <c r="S18" s="271"/>
      <c r="T18" s="271"/>
      <c r="U18" s="271"/>
      <c r="V18" s="271"/>
      <c r="W18" s="271"/>
      <c r="CD18" s="355" t="str">
        <f>B11</f>
        <v>Chipwi</v>
      </c>
      <c r="CE18" s="318">
        <f>C11-Shelter_Draw[[#This Row],[V2]]-Shelter_Draw[[#This Row],[V3]]</f>
        <v>613.38617886178861</v>
      </c>
      <c r="CF18" s="318">
        <f>J18</f>
        <v>0</v>
      </c>
      <c r="CG18" s="318">
        <f>H11-J18</f>
        <v>0.61382113821138207</v>
      </c>
    </row>
    <row r="19" spans="1:85" s="355" customFormat="1" ht="12.75" customHeight="1" x14ac:dyDescent="0.25">
      <c r="A19" s="513"/>
      <c r="B19" s="488" t="s">
        <v>180</v>
      </c>
      <c r="C19" s="489">
        <f>GETPIVOTDATA("HH",'IDP location Analysis'!$B$9,"Township","Mohnyin")</f>
        <v>77</v>
      </c>
      <c r="D19" s="490">
        <f>GETPIVOTDATA("Individuals",'IDP location Analysis'!$B$9,"Township","Mohnyin")</f>
        <v>339</v>
      </c>
      <c r="E19" s="490">
        <f>'Shelter Gap Analysis'!H91+'Shelter Gap Analysis'!J91+'Shelter Gap Analysis'!K91</f>
        <v>11</v>
      </c>
      <c r="F19" s="491">
        <f>'Shelter Gap Analysis'!M91+'Shelter Gap Analysis'!O91+'Shelter Gap Analysis'!P91</f>
        <v>11</v>
      </c>
      <c r="G19" s="489">
        <f t="shared" si="0"/>
        <v>0</v>
      </c>
      <c r="H19" s="492">
        <f t="shared" si="1"/>
        <v>1</v>
      </c>
      <c r="I19" s="492"/>
      <c r="J19" s="319"/>
      <c r="K19" s="319"/>
      <c r="L19" s="321"/>
      <c r="M19" s="319"/>
      <c r="N19" s="319"/>
      <c r="O19" s="319"/>
      <c r="P19" s="514"/>
      <c r="Q19" s="271"/>
      <c r="R19" s="271"/>
      <c r="S19" s="271"/>
      <c r="T19" s="271"/>
      <c r="U19" s="271"/>
      <c r="V19" s="271"/>
      <c r="W19" s="271"/>
      <c r="CD19" s="355" t="str">
        <f>B12</f>
        <v>Hpakant</v>
      </c>
      <c r="CE19" s="318">
        <f>C12-Shelter_Draw[[#This Row],[V2]]-Shelter_Draw[[#This Row],[V3]]</f>
        <v>790.47870182555778</v>
      </c>
      <c r="CF19" s="318">
        <f>J19</f>
        <v>0</v>
      </c>
      <c r="CG19" s="318">
        <f>H12-J19</f>
        <v>0.52129817444219062</v>
      </c>
    </row>
    <row r="20" spans="1:85" s="355" customFormat="1" ht="12.75" customHeight="1" x14ac:dyDescent="0.25">
      <c r="A20" s="513"/>
      <c r="B20" s="488" t="s">
        <v>185</v>
      </c>
      <c r="C20" s="489">
        <f>GETPIVOTDATA("HH",'IDP location Analysis'!$B$9,"Township","Momauk")</f>
        <v>4754</v>
      </c>
      <c r="D20" s="490">
        <f>GETPIVOTDATA("Individuals",'IDP location Analysis'!$B$9,"Township","Momauk")</f>
        <v>24865</v>
      </c>
      <c r="E20" s="490">
        <f>'Shelter Gap Analysis'!H104+'Shelter Gap Analysis'!J104+'Shelter Gap Analysis'!K104</f>
        <v>2529</v>
      </c>
      <c r="F20" s="491">
        <f>'Shelter Gap Analysis'!M104+'Shelter Gap Analysis'!O104+'Shelter Gap Analysis'!P104</f>
        <v>991</v>
      </c>
      <c r="G20" s="489">
        <f t="shared" si="0"/>
        <v>1538</v>
      </c>
      <c r="H20" s="492">
        <f t="shared" si="1"/>
        <v>0.39185448793989719</v>
      </c>
      <c r="I20" s="492"/>
      <c r="J20" s="319"/>
      <c r="K20" s="319"/>
      <c r="L20" s="319"/>
      <c r="M20" s="319"/>
      <c r="N20" s="319"/>
      <c r="O20" s="319"/>
      <c r="P20" s="514"/>
      <c r="Q20" s="271"/>
      <c r="R20" s="271"/>
      <c r="S20" s="271"/>
      <c r="T20" s="271"/>
      <c r="U20" s="271"/>
      <c r="V20" s="271"/>
      <c r="W20" s="271"/>
      <c r="CD20" s="355" t="str">
        <f t="shared" ref="CD20:CD29" si="2">B15</f>
        <v>Kutkai</v>
      </c>
      <c r="CE20" s="318">
        <f>C15-Shelter_Draw[[#This Row],[V2]]-Shelter_Draw[[#This Row],[V3]]</f>
        <v>742</v>
      </c>
      <c r="CF20" s="318">
        <f t="shared" ref="CF20:CF26" si="3">H15</f>
        <v>0.35109717868338558</v>
      </c>
      <c r="CG20" s="318">
        <f t="shared" ref="CG20:CG26" si="4">G15-H15</f>
        <v>206.64890282131663</v>
      </c>
    </row>
    <row r="21" spans="1:85" s="355" customFormat="1" ht="12.6" customHeight="1" x14ac:dyDescent="0.25">
      <c r="A21" s="513"/>
      <c r="B21" s="488" t="s">
        <v>230</v>
      </c>
      <c r="C21" s="489">
        <f>GETPIVOTDATA("HH ",'IDP location Analysis'!$B$9,"Township","Muse")</f>
        <v>212</v>
      </c>
      <c r="D21" s="490">
        <f>GETPIVOTDATA("Individuals",'IDP location Analysis'!$B$9,"Township","Muse")</f>
        <v>1052</v>
      </c>
      <c r="E21" s="490">
        <f>'Shelter Gap Analysis'!H108+'Shelter Gap Analysis'!J108+'Shelter Gap Analysis'!K108</f>
        <v>88</v>
      </c>
      <c r="F21" s="491">
        <f>'Shelter Gap Analysis'!M108+'Shelter Gap Analysis'!O108+'Shelter Gap Analysis'!P108</f>
        <v>74</v>
      </c>
      <c r="G21" s="489">
        <f t="shared" si="0"/>
        <v>14</v>
      </c>
      <c r="H21" s="492">
        <f>IF(AND(E21=0,F21=0),"",IF((IFERROR(F21/E21,0))=0,"no coverage",F21/E21))</f>
        <v>0.84090909090909094</v>
      </c>
      <c r="I21" s="492"/>
      <c r="J21" s="319"/>
      <c r="K21" s="319"/>
      <c r="L21" s="319"/>
      <c r="M21" s="319"/>
      <c r="N21" s="319"/>
      <c r="O21" s="319"/>
      <c r="P21" s="514"/>
      <c r="Q21" s="271"/>
      <c r="R21" s="271"/>
      <c r="S21" s="271"/>
      <c r="T21" s="271"/>
      <c r="U21" s="271"/>
      <c r="V21" s="271"/>
      <c r="W21" s="271"/>
      <c r="CD21" s="355" t="str">
        <f t="shared" si="2"/>
        <v>Mansi</v>
      </c>
      <c r="CE21" s="318">
        <f>C16-Shelter_Draw[[#This Row],[V2]]-Shelter_Draw[[#This Row],[V3]]</f>
        <v>2334</v>
      </c>
      <c r="CF21" s="318">
        <f t="shared" si="3"/>
        <v>0.55243445692883897</v>
      </c>
      <c r="CG21" s="318">
        <f t="shared" si="4"/>
        <v>477.44756554307116</v>
      </c>
    </row>
    <row r="22" spans="1:85" s="355" customFormat="1" ht="12.6" customHeight="1" x14ac:dyDescent="0.25">
      <c r="A22" s="513"/>
      <c r="B22" s="488" t="s">
        <v>237</v>
      </c>
      <c r="C22" s="489">
        <f>GETPIVOTDATA("HH",'IDP location Analysis'!$B$9,"Township","Myitkyina")</f>
        <v>2558</v>
      </c>
      <c r="D22" s="490">
        <f>GETPIVOTDATA("Individuals",'IDP location Analysis'!$B$9,"Township","Myitkyina")</f>
        <v>12884</v>
      </c>
      <c r="E22" s="490">
        <f>'Shelter Gap Analysis'!H136+'Shelter Gap Analysis'!J136+'Shelter Gap Analysis'!K136</f>
        <v>1276</v>
      </c>
      <c r="F22" s="491">
        <f>'Shelter Gap Analysis'!M136+'Shelter Gap Analysis'!O136+'Shelter Gap Analysis'!P136</f>
        <v>784</v>
      </c>
      <c r="G22" s="489">
        <f>E22-F22</f>
        <v>492</v>
      </c>
      <c r="H22" s="492">
        <f>IF(AND(E22=0,F22=0),"",IF((IFERROR(F22/E22,0))=0,"no coverage",F22/E22))</f>
        <v>0.61442006269592475</v>
      </c>
      <c r="I22" s="492"/>
      <c r="J22" s="319"/>
      <c r="K22" s="319"/>
      <c r="L22" s="319"/>
      <c r="M22" s="319"/>
      <c r="N22" s="319"/>
      <c r="O22" s="319"/>
      <c r="P22" s="514"/>
      <c r="Q22" s="271"/>
      <c r="R22" s="271"/>
      <c r="S22" s="271"/>
      <c r="T22" s="271"/>
      <c r="U22" s="271"/>
      <c r="V22" s="271"/>
      <c r="W22" s="271"/>
      <c r="CD22" s="355" t="str">
        <f t="shared" si="2"/>
        <v>Manton</v>
      </c>
      <c r="CE22" s="318">
        <f>C17-Shelter_Draw[[#This Row],[V2]]-Shelter_Draw[[#This Row],[V3]]</f>
        <v>54</v>
      </c>
      <c r="CF22" s="318">
        <f t="shared" si="3"/>
        <v>0.7142857142857143</v>
      </c>
      <c r="CG22" s="318">
        <f t="shared" si="4"/>
        <v>7.2857142857142856</v>
      </c>
    </row>
    <row r="23" spans="1:85" s="355" customFormat="1" ht="14.25" customHeight="1" x14ac:dyDescent="0.25">
      <c r="A23" s="513"/>
      <c r="B23" s="488" t="s">
        <v>1370</v>
      </c>
      <c r="C23" s="489">
        <f>GETPIVOTDATA("HH",'IDP location Analysis'!$B$9,"Township","Namhkan")</f>
        <v>401</v>
      </c>
      <c r="D23" s="490">
        <f>GETPIVOTDATA("Individuals",'IDP location Analysis'!$B$9,"Township","Namhkan")</f>
        <v>2009</v>
      </c>
      <c r="E23" s="490">
        <f>'Shelter Gap Analysis'!H143+'Shelter Gap Analysis'!J143+'Shelter Gap Analysis'!K143</f>
        <v>261</v>
      </c>
      <c r="F23" s="491">
        <f>'Shelter Gap Analysis'!M143+'Shelter Gap Analysis'!O143+'Shelter Gap Analysis'!P143</f>
        <v>40</v>
      </c>
      <c r="G23" s="489">
        <f t="shared" si="0"/>
        <v>221</v>
      </c>
      <c r="H23" s="492">
        <f t="shared" si="1"/>
        <v>0.1532567049808429</v>
      </c>
      <c r="I23" s="492"/>
      <c r="J23" s="319"/>
      <c r="K23" s="319"/>
      <c r="L23" s="319"/>
      <c r="M23" s="319"/>
      <c r="N23" s="319"/>
      <c r="O23" s="319"/>
      <c r="P23" s="514"/>
      <c r="Q23" s="271"/>
      <c r="R23" s="271"/>
      <c r="S23" s="271"/>
      <c r="T23" s="271"/>
      <c r="U23" s="271"/>
      <c r="V23" s="271"/>
      <c r="W23" s="271"/>
      <c r="CD23" s="355" t="str">
        <f t="shared" si="2"/>
        <v>Mogaung</v>
      </c>
      <c r="CE23" s="318">
        <f>C18-Shelter_Draw[[#This Row],[V2]]-Shelter_Draw[[#This Row],[V3]]</f>
        <v>171</v>
      </c>
      <c r="CF23" s="318">
        <f t="shared" si="3"/>
        <v>0.49815498154981552</v>
      </c>
      <c r="CG23" s="318">
        <f t="shared" si="4"/>
        <v>135.50184501845018</v>
      </c>
    </row>
    <row r="24" spans="1:85" s="355" customFormat="1" ht="15.75" customHeight="1" x14ac:dyDescent="0.25">
      <c r="A24" s="513"/>
      <c r="B24" s="488" t="s">
        <v>297</v>
      </c>
      <c r="C24" s="489">
        <f>GETPIVOTDATA("HH",'IDP location Analysis'!$B$9,"Township","Namtu")</f>
        <v>159</v>
      </c>
      <c r="D24" s="490">
        <f>GETPIVOTDATA("Individuals",'IDP location Analysis'!$B$9,"Township","Namtu")</f>
        <v>753</v>
      </c>
      <c r="E24" s="490">
        <f>'Shelter Gap Analysis'!H148+'Shelter Gap Analysis'!J148+'Shelter Gap Analysis'!K148</f>
        <v>279</v>
      </c>
      <c r="F24" s="491">
        <f>'Shelter Gap Analysis'!M148+'Shelter Gap Analysis'!O148+'Shelter Gap Analysis'!P148</f>
        <v>200</v>
      </c>
      <c r="G24" s="489">
        <f t="shared" si="0"/>
        <v>79</v>
      </c>
      <c r="H24" s="492">
        <f t="shared" si="1"/>
        <v>0.71684587813620071</v>
      </c>
      <c r="I24" s="492"/>
      <c r="J24" s="319"/>
      <c r="K24" s="319"/>
      <c r="L24" s="319"/>
      <c r="M24" s="319"/>
      <c r="N24" s="319"/>
      <c r="O24" s="319"/>
      <c r="P24" s="514"/>
      <c r="R24" s="271"/>
      <c r="S24" s="271"/>
      <c r="T24" s="271"/>
      <c r="U24" s="271"/>
      <c r="V24" s="271"/>
      <c r="W24" s="271"/>
      <c r="CD24" s="355" t="str">
        <f t="shared" si="2"/>
        <v>Mohnyin</v>
      </c>
      <c r="CE24" s="318">
        <f>C19-Shelter_Draw[[#This Row],[V2]]-Shelter_Draw[[#This Row],[V3]]</f>
        <v>77</v>
      </c>
      <c r="CF24" s="318">
        <f t="shared" si="3"/>
        <v>1</v>
      </c>
      <c r="CG24" s="318">
        <f t="shared" si="4"/>
        <v>-1</v>
      </c>
    </row>
    <row r="25" spans="1:85" s="355" customFormat="1" ht="12.6" customHeight="1" x14ac:dyDescent="0.25">
      <c r="A25" s="513"/>
      <c r="B25" s="664" t="s">
        <v>299</v>
      </c>
      <c r="C25" s="489">
        <f>GETPIVOTDATA("HH",'IDP location Analysis'!$B$9,"Township","Puta-O")</f>
        <v>85</v>
      </c>
      <c r="D25" s="490">
        <f>GETPIVOTDATA("Individuals",'IDP location Analysis'!$B$9,"Township","Puta-O")</f>
        <v>412</v>
      </c>
      <c r="E25" s="490">
        <f>'Shelter Gap Analysis'!H151+'Shelter Gap Analysis'!J151+'Shelter Gap Analysis'!K151</f>
        <v>30</v>
      </c>
      <c r="F25" s="491">
        <f>'Shelter Gap Analysis'!M151+'Shelter Gap Analysis'!O151+'Shelter Gap Analysis'!P151</f>
        <v>0</v>
      </c>
      <c r="G25" s="489">
        <f t="shared" si="0"/>
        <v>30</v>
      </c>
      <c r="H25" s="492" t="str">
        <f t="shared" si="1"/>
        <v>no coverage</v>
      </c>
      <c r="I25" s="492"/>
      <c r="J25" s="319"/>
      <c r="K25" s="319"/>
      <c r="L25" s="319"/>
      <c r="M25" s="319"/>
      <c r="N25" s="319"/>
      <c r="O25" s="319"/>
      <c r="P25" s="514"/>
      <c r="R25" s="271"/>
      <c r="S25" s="271"/>
      <c r="T25" s="271"/>
      <c r="U25" s="271"/>
      <c r="V25" s="271"/>
      <c r="W25" s="271"/>
      <c r="CD25" s="355" t="str">
        <f t="shared" si="2"/>
        <v>Momauk</v>
      </c>
      <c r="CE25" s="318">
        <f>C20-Shelter_Draw[[#This Row],[V2]]-Shelter_Draw[[#This Row],[V3]]</f>
        <v>3216</v>
      </c>
      <c r="CF25" s="318">
        <f t="shared" si="3"/>
        <v>0.39185448793989719</v>
      </c>
      <c r="CG25" s="318">
        <f t="shared" si="4"/>
        <v>1537.60814551206</v>
      </c>
    </row>
    <row r="26" spans="1:85" s="355" customFormat="1" ht="12.75" customHeight="1" x14ac:dyDescent="0.25">
      <c r="A26" s="513"/>
      <c r="B26" s="664" t="s">
        <v>1354</v>
      </c>
      <c r="C26" s="489">
        <f>GETPIVOTDATA("HH",'IDP location Analysis'!$B$9,"Township","Shwegu")</f>
        <v>94</v>
      </c>
      <c r="D26" s="490">
        <f>GETPIVOTDATA("Individuals",'IDP location Analysis'!$B$9,"Township","Shwegu")</f>
        <v>542</v>
      </c>
      <c r="E26" s="490">
        <f>'Shelter Gap Analysis'!H154+'Shelter Gap Analysis'!J154+'Shelter Gap Analysis'!K154</f>
        <v>50</v>
      </c>
      <c r="F26" s="491">
        <f>'Shelter Gap Analysis'!M154+'Shelter Gap Analysis'!O154+'Shelter Gap Analysis'!P154</f>
        <v>10</v>
      </c>
      <c r="G26" s="489">
        <f t="shared" si="0"/>
        <v>40</v>
      </c>
      <c r="H26" s="492">
        <f t="shared" si="1"/>
        <v>0.2</v>
      </c>
      <c r="I26" s="492"/>
      <c r="J26" s="319"/>
      <c r="K26" s="319"/>
      <c r="L26" s="319"/>
      <c r="M26" s="319"/>
      <c r="N26" s="319"/>
      <c r="O26" s="319"/>
      <c r="P26" s="514"/>
      <c r="Q26" s="271"/>
      <c r="R26" s="271"/>
      <c r="S26" s="271"/>
      <c r="T26" s="271"/>
      <c r="U26" s="271"/>
      <c r="V26" s="271"/>
      <c r="W26" s="271"/>
      <c r="CD26" s="355" t="str">
        <f t="shared" si="2"/>
        <v>Muse</v>
      </c>
      <c r="CE26" s="318">
        <f>C21-Shelter_Draw[[#This Row],[V2]]-Shelter_Draw[[#This Row],[V3]]</f>
        <v>198</v>
      </c>
      <c r="CF26" s="318">
        <f t="shared" si="3"/>
        <v>0.84090909090909094</v>
      </c>
      <c r="CG26" s="318">
        <f t="shared" si="4"/>
        <v>13.159090909090908</v>
      </c>
    </row>
    <row r="27" spans="1:85" s="355" customFormat="1" ht="12.75" customHeight="1" x14ac:dyDescent="0.25">
      <c r="A27" s="513"/>
      <c r="B27" s="664" t="s">
        <v>1355</v>
      </c>
      <c r="C27" s="489">
        <f>GETPIVOTDATA("HH",'IDP location Analysis'!$B$9,"Township","Sumprabum")</f>
        <v>180</v>
      </c>
      <c r="D27" s="490">
        <f>GETPIVOTDATA("Individuals",'IDP location Analysis'!$B$9,"Township","Sumprabum")</f>
        <v>977</v>
      </c>
      <c r="E27" s="490">
        <f>'Shelter Gap Analysis'!H157+'Shelter Gap Analysis'!J157+'Shelter Gap Analysis'!K157</f>
        <v>159</v>
      </c>
      <c r="F27" s="491">
        <f>'Shelter Gap Analysis'!M157+'Shelter Gap Analysis'!O157+'Shelter Gap Analysis'!P157</f>
        <v>0</v>
      </c>
      <c r="G27" s="489">
        <f t="shared" si="0"/>
        <v>159</v>
      </c>
      <c r="H27" s="492" t="str">
        <f>IF(AND(E27=0,F27=0),"",IF((IFERROR(F27/E27,0))=0,"no coverage",F27/E27))</f>
        <v>no coverage</v>
      </c>
      <c r="I27" s="492"/>
      <c r="J27" s="319"/>
      <c r="K27" s="319"/>
      <c r="L27" s="319"/>
      <c r="M27" s="319"/>
      <c r="N27" s="319"/>
      <c r="O27" s="319"/>
      <c r="P27" s="514"/>
      <c r="Q27" s="271"/>
      <c r="R27" s="520"/>
      <c r="S27" s="271"/>
      <c r="T27" s="271"/>
      <c r="U27" s="271"/>
      <c r="V27" s="271"/>
      <c r="W27" s="271"/>
      <c r="CD27" s="355" t="str">
        <f t="shared" si="2"/>
        <v>Myitkyina</v>
      </c>
      <c r="CE27" s="318">
        <f>C22-Shelter_Draw[[#This Row],[V2]]-Shelter_Draw[[#This Row],[V3]]</f>
        <v>2557.3855799373041</v>
      </c>
      <c r="CF27" s="318">
        <f t="shared" ref="CF27:CF32" si="5">J29</f>
        <v>0</v>
      </c>
      <c r="CG27" s="318">
        <f>H22-J29</f>
        <v>0.61442006269592475</v>
      </c>
    </row>
    <row r="28" spans="1:85" s="355" customFormat="1" ht="12.75" customHeight="1" x14ac:dyDescent="0.25">
      <c r="A28" s="513"/>
      <c r="B28" s="664" t="s">
        <v>1135</v>
      </c>
      <c r="C28" s="489">
        <f>GETPIVOTDATA("HH",'IDP location Analysis'!$B$9,"Township","Tanai")</f>
        <v>274</v>
      </c>
      <c r="D28" s="490">
        <f>GETPIVOTDATA("Individuals",'IDP location Analysis'!$B$9,"Township","Tanai")</f>
        <v>1110</v>
      </c>
      <c r="E28" s="490">
        <f>'Shelter Gap Analysis'!H161+'Shelter Gap Analysis'!J161+'Shelter Gap Analysis'!K161</f>
        <v>235</v>
      </c>
      <c r="F28" s="491">
        <f>'Shelter Gap Analysis'!M161+'Shelter Gap Analysis'!O161+'Shelter Gap Analysis'!P161</f>
        <v>113</v>
      </c>
      <c r="G28" s="489">
        <f>E28-F28</f>
        <v>122</v>
      </c>
      <c r="H28" s="492">
        <f>IF(AND(E28=0,F28=0),"",IF((IFERROR(F28/E28,0))=0,"no coverage",F28/E28))</f>
        <v>0.48085106382978721</v>
      </c>
      <c r="I28" s="492"/>
      <c r="J28" s="319"/>
      <c r="K28" s="319"/>
      <c r="L28" s="319"/>
      <c r="M28" s="319"/>
      <c r="N28" s="319"/>
      <c r="O28" s="319"/>
      <c r="P28" s="514"/>
      <c r="Q28" s="271"/>
      <c r="R28" s="271"/>
      <c r="S28" s="520"/>
      <c r="T28" s="271"/>
      <c r="U28" s="271"/>
      <c r="V28" s="271"/>
      <c r="W28" s="271"/>
      <c r="CD28" s="355" t="str">
        <f t="shared" si="2"/>
        <v>Nam Kham</v>
      </c>
      <c r="CE28" s="318" t="e">
        <f>C23-Shelter_Draw[[#This Row],[V2]]-Shelter_Draw[[#This Row],[V3]]</f>
        <v>#REF!</v>
      </c>
      <c r="CF28" s="318" t="e">
        <f>#REF!</f>
        <v>#REF!</v>
      </c>
      <c r="CG28" s="318" t="e">
        <f>H23-#REF!</f>
        <v>#REF!</v>
      </c>
    </row>
    <row r="29" spans="1:85" s="355" customFormat="1" ht="12.75" customHeight="1" x14ac:dyDescent="0.25">
      <c r="A29" s="513"/>
      <c r="B29" s="488" t="s">
        <v>309</v>
      </c>
      <c r="C29" s="489">
        <f>GETPIVOTDATA("HH",'IDP location Analysis'!$B$9,"Township","Waingmaw")</f>
        <v>4867</v>
      </c>
      <c r="D29" s="490">
        <f>GETPIVOTDATA("Individuals",'IDP location Analysis'!$B$9,"Township","Waingmaw")</f>
        <v>25409</v>
      </c>
      <c r="E29" s="490">
        <f>'Shelter Gap Analysis'!H183+'Shelter Gap Analysis'!J183+'Shelter Gap Analysis'!K183</f>
        <v>1789</v>
      </c>
      <c r="F29" s="491">
        <f>'Shelter Gap Analysis'!M183+'Shelter Gap Analysis'!O183+'Shelter Gap Analysis'!P183</f>
        <v>363</v>
      </c>
      <c r="G29" s="489">
        <f>E29-F29</f>
        <v>1426</v>
      </c>
      <c r="H29" s="492">
        <f>IF(AND(E29=0,F29=0),"",IF((IFERROR(F29/E29,0))=0,"no coverage",F29/E29))</f>
        <v>0.2029066517607602</v>
      </c>
      <c r="I29" s="492"/>
      <c r="J29" s="319"/>
      <c r="K29" s="319"/>
      <c r="L29" s="319"/>
      <c r="M29" s="319"/>
      <c r="N29" s="319"/>
      <c r="O29" s="319"/>
      <c r="P29" s="514"/>
      <c r="Q29" s="271"/>
      <c r="R29" s="271"/>
      <c r="S29" s="271"/>
      <c r="T29" s="271"/>
      <c r="U29" s="271"/>
      <c r="V29" s="271"/>
      <c r="W29" s="271"/>
      <c r="CD29" s="355" t="str">
        <f t="shared" si="2"/>
        <v>Namtu</v>
      </c>
      <c r="CE29" s="318">
        <f>C24-Shelter_Draw[[#This Row],[V2]]-Shelter_Draw[[#This Row],[V3]]</f>
        <v>158.28315412186379</v>
      </c>
      <c r="CF29" s="318">
        <f>J31</f>
        <v>0</v>
      </c>
      <c r="CG29" s="318">
        <f>H24-J31</f>
        <v>0.71684587813620071</v>
      </c>
    </row>
    <row r="30" spans="1:85" s="355" customFormat="1" ht="12.75" customHeight="1" x14ac:dyDescent="0.25">
      <c r="A30" s="513"/>
      <c r="B30" s="495" t="s">
        <v>3</v>
      </c>
      <c r="C30" s="496">
        <f>SUM(C10:C29)</f>
        <v>20707</v>
      </c>
      <c r="D30" s="497">
        <f>SUM(D10:D29)</f>
        <v>105854</v>
      </c>
      <c r="E30" s="497">
        <f>SUM(E10:E29)</f>
        <v>9606</v>
      </c>
      <c r="F30" s="498">
        <f>SUM(F10:F29)</f>
        <v>4188</v>
      </c>
      <c r="G30" s="496">
        <f>SUM(G10:G29)</f>
        <v>5418</v>
      </c>
      <c r="H30" s="499">
        <f>IF(AND(E30=0,F30=0),"",IF((IFERROR(F30/E30,0))=0,"no coverage",F30/E30))</f>
        <v>0.43597751405371643</v>
      </c>
      <c r="I30" s="499"/>
      <c r="J30" s="319"/>
      <c r="K30" s="319"/>
      <c r="L30" s="319"/>
      <c r="M30" s="319"/>
      <c r="N30" s="319"/>
      <c r="O30" s="319"/>
      <c r="P30" s="514"/>
      <c r="Q30" s="271"/>
      <c r="R30" s="271"/>
      <c r="S30" s="271"/>
      <c r="T30" s="271"/>
      <c r="U30" s="271"/>
      <c r="V30" s="271"/>
      <c r="W30" s="271"/>
      <c r="CD30" s="355" t="str">
        <f>B23</f>
        <v>Nam Kham</v>
      </c>
      <c r="CE30" s="318">
        <f>C23-Shelter_Draw[[#This Row],[V2]]-Shelter_Draw[[#This Row],[V3]]</f>
        <v>180</v>
      </c>
      <c r="CF30" s="318">
        <f>H23</f>
        <v>0.1532567049808429</v>
      </c>
      <c r="CG30" s="318">
        <f>G23-H23</f>
        <v>220.84674329501917</v>
      </c>
    </row>
    <row r="31" spans="1:85" s="355" customFormat="1" ht="15" customHeight="1" thickBot="1" x14ac:dyDescent="0.3">
      <c r="A31" s="513"/>
      <c r="B31" s="358" t="s">
        <v>1374</v>
      </c>
      <c r="C31" s="177"/>
      <c r="D31" s="177"/>
      <c r="E31" s="177"/>
      <c r="F31" s="177"/>
      <c r="G31" s="177"/>
      <c r="H31" s="190"/>
      <c r="I31" s="190"/>
      <c r="J31" s="319"/>
      <c r="K31" s="319"/>
      <c r="L31" s="319"/>
      <c r="M31" s="319"/>
      <c r="N31" s="319"/>
      <c r="O31" s="319"/>
      <c r="P31" s="514"/>
      <c r="Q31" s="271"/>
      <c r="R31" s="271"/>
      <c r="S31" s="271"/>
      <c r="T31" s="271"/>
      <c r="U31" s="271"/>
      <c r="V31" s="271"/>
      <c r="W31" s="271"/>
      <c r="CD31" s="355" t="str">
        <f>B26</f>
        <v>Shwe Gu</v>
      </c>
      <c r="CE31" s="318">
        <f>C26-Shelter_Draw[[#This Row],[V2]]-Shelter_Draw[[#This Row],[V3]]</f>
        <v>93.8</v>
      </c>
      <c r="CF31" s="318">
        <f t="shared" si="5"/>
        <v>0</v>
      </c>
      <c r="CG31" s="318">
        <f>H26-J33</f>
        <v>0.2</v>
      </c>
    </row>
    <row r="32" spans="1:85" s="355" customFormat="1" ht="12.6" customHeight="1" x14ac:dyDescent="0.25">
      <c r="A32" s="513"/>
      <c r="B32" s="811" t="s">
        <v>1648</v>
      </c>
      <c r="C32" s="812"/>
      <c r="D32" s="812"/>
      <c r="E32" s="812"/>
      <c r="F32" s="812"/>
      <c r="G32" s="812"/>
      <c r="H32" s="813"/>
      <c r="I32" s="503"/>
      <c r="J32" s="319"/>
      <c r="K32" s="319"/>
      <c r="L32" s="319"/>
      <c r="M32" s="319"/>
      <c r="N32" s="319"/>
      <c r="O32" s="319"/>
      <c r="P32" s="514"/>
      <c r="Q32" s="271"/>
      <c r="R32" s="271"/>
      <c r="S32" s="271"/>
      <c r="T32" s="271"/>
      <c r="U32" s="271"/>
      <c r="V32" s="271"/>
      <c r="W32" s="271"/>
      <c r="CD32" s="355" t="str">
        <f>B27</f>
        <v>Sumbrabum</v>
      </c>
      <c r="CE32" s="318" t="e">
        <f>C27-Shelter_Draw[[#This Row],[V2]]-Shelter_Draw[[#This Row],[V3]]</f>
        <v>#VALUE!</v>
      </c>
      <c r="CF32" s="318">
        <f t="shared" si="5"/>
        <v>0</v>
      </c>
      <c r="CG32" s="318" t="e">
        <f>H27-J34</f>
        <v>#VALUE!</v>
      </c>
    </row>
    <row r="33" spans="1:23" s="355" customFormat="1" ht="12.75" customHeight="1" thickBot="1" x14ac:dyDescent="0.3">
      <c r="A33" s="513"/>
      <c r="B33" s="814"/>
      <c r="C33" s="815"/>
      <c r="D33" s="815"/>
      <c r="E33" s="815"/>
      <c r="F33" s="815"/>
      <c r="G33" s="815"/>
      <c r="H33" s="816"/>
      <c r="I33" s="503"/>
      <c r="J33" s="319"/>
      <c r="K33" s="319"/>
      <c r="L33" s="319"/>
      <c r="M33" s="319"/>
      <c r="N33" s="319"/>
      <c r="O33" s="319"/>
      <c r="P33" s="514"/>
      <c r="Q33" s="271"/>
      <c r="R33" s="271"/>
      <c r="S33" s="271"/>
      <c r="T33" s="271"/>
      <c r="U33" s="271"/>
      <c r="V33" s="271"/>
      <c r="W33" s="271"/>
    </row>
    <row r="34" spans="1:23" s="355" customFormat="1" ht="12.75" customHeight="1" x14ac:dyDescent="0.25">
      <c r="A34" s="513"/>
      <c r="B34" s="797" t="s">
        <v>1297</v>
      </c>
      <c r="C34" s="798"/>
      <c r="D34" s="798"/>
      <c r="E34" s="798"/>
      <c r="F34" s="798"/>
      <c r="G34" s="798"/>
      <c r="H34" s="799"/>
      <c r="I34" s="504"/>
      <c r="J34" s="319"/>
      <c r="K34" s="319"/>
      <c r="L34" s="319"/>
      <c r="M34" s="319"/>
      <c r="N34" s="319"/>
      <c r="O34" s="319"/>
      <c r="P34" s="514"/>
      <c r="Q34" s="271"/>
      <c r="R34" s="271"/>
      <c r="S34" s="271"/>
      <c r="T34" s="271"/>
      <c r="U34" s="271"/>
      <c r="V34" s="271"/>
      <c r="W34" s="271"/>
    </row>
    <row r="35" spans="1:23" s="355" customFormat="1" ht="12" customHeight="1" x14ac:dyDescent="0.25">
      <c r="A35" s="513"/>
      <c r="B35" s="800" t="s">
        <v>420</v>
      </c>
      <c r="C35" s="801"/>
      <c r="D35" s="801" t="s">
        <v>1258</v>
      </c>
      <c r="E35" s="801"/>
      <c r="F35" s="801"/>
      <c r="G35" s="801" t="s">
        <v>1646</v>
      </c>
      <c r="H35" s="807"/>
      <c r="I35" s="445"/>
      <c r="J35" s="319"/>
      <c r="K35" s="319"/>
      <c r="L35" s="319"/>
      <c r="M35" s="319"/>
      <c r="N35" s="319"/>
      <c r="O35" s="319"/>
      <c r="P35" s="514"/>
      <c r="Q35" s="271"/>
      <c r="R35" s="271"/>
      <c r="S35" s="271"/>
      <c r="T35" s="271"/>
      <c r="U35" s="271"/>
      <c r="V35" s="271"/>
      <c r="W35" s="271"/>
    </row>
    <row r="36" spans="1:23" ht="12" customHeight="1" x14ac:dyDescent="0.25">
      <c r="A36" s="512"/>
      <c r="B36" s="800" t="s">
        <v>1560</v>
      </c>
      <c r="C36" s="801"/>
      <c r="D36" s="801" t="s">
        <v>778</v>
      </c>
      <c r="E36" s="801"/>
      <c r="F36" s="801"/>
      <c r="G36" s="801" t="s">
        <v>1305</v>
      </c>
      <c r="H36" s="807"/>
      <c r="J36" s="190"/>
      <c r="K36" s="190"/>
      <c r="L36" s="190"/>
      <c r="M36" s="190"/>
      <c r="N36" s="190"/>
      <c r="O36" s="190"/>
      <c r="P36" s="427"/>
      <c r="W36" s="271"/>
    </row>
    <row r="37" spans="1:23" ht="12" customHeight="1" x14ac:dyDescent="0.25">
      <c r="A37" s="512"/>
      <c r="B37" s="800" t="s">
        <v>424</v>
      </c>
      <c r="C37" s="801"/>
      <c r="D37" s="801" t="s">
        <v>1458</v>
      </c>
      <c r="E37" s="801"/>
      <c r="F37" s="801"/>
      <c r="G37" s="801" t="s">
        <v>462</v>
      </c>
      <c r="H37" s="807"/>
      <c r="I37" s="445"/>
      <c r="J37" s="190"/>
      <c r="K37" s="190"/>
      <c r="L37" s="190"/>
      <c r="M37" s="190"/>
      <c r="N37" s="190"/>
      <c r="O37" s="190"/>
      <c r="P37" s="507"/>
    </row>
    <row r="38" spans="1:23" ht="12" customHeight="1" thickBot="1" x14ac:dyDescent="0.3">
      <c r="A38" s="512"/>
      <c r="B38" s="802" t="s">
        <v>1300</v>
      </c>
      <c r="C38" s="803"/>
      <c r="D38" s="804" t="s">
        <v>1316</v>
      </c>
      <c r="E38" s="805"/>
      <c r="F38" s="806"/>
      <c r="G38" s="804" t="s">
        <v>1794</v>
      </c>
      <c r="H38" s="808"/>
      <c r="J38" s="190"/>
      <c r="K38" s="190"/>
      <c r="L38" s="190"/>
      <c r="M38" s="190"/>
      <c r="N38" s="190"/>
      <c r="O38" s="190"/>
      <c r="P38" s="507"/>
    </row>
    <row r="39" spans="1:23" ht="12.75" customHeight="1" x14ac:dyDescent="0.25">
      <c r="A39" s="512"/>
      <c r="B39" s="796"/>
      <c r="C39" s="796"/>
      <c r="D39" s="796"/>
      <c r="E39" s="796"/>
      <c r="F39" s="796"/>
      <c r="G39" s="796"/>
      <c r="H39" s="796"/>
      <c r="J39" s="190"/>
      <c r="K39" s="190"/>
      <c r="L39" s="190"/>
      <c r="M39" s="190"/>
      <c r="N39" s="190"/>
      <c r="O39" s="190"/>
      <c r="P39" s="507"/>
    </row>
    <row r="40" spans="1:23" ht="12.75" customHeight="1" x14ac:dyDescent="0.25">
      <c r="A40" s="512"/>
      <c r="B40" s="796"/>
      <c r="C40" s="796"/>
      <c r="D40" s="796"/>
      <c r="E40" s="796"/>
      <c r="F40" s="796"/>
      <c r="G40" s="796"/>
      <c r="H40" s="796"/>
      <c r="J40" s="190"/>
      <c r="K40" s="190"/>
      <c r="L40" s="190"/>
      <c r="M40" s="190"/>
      <c r="N40" s="190"/>
      <c r="O40" s="190"/>
      <c r="P40" s="507"/>
    </row>
    <row r="41" spans="1:23" ht="12.75" customHeight="1" x14ac:dyDescent="0.25">
      <c r="A41" s="512"/>
      <c r="J41" s="190"/>
      <c r="K41" s="190"/>
      <c r="L41" s="190"/>
      <c r="M41" s="190"/>
      <c r="N41" s="190"/>
      <c r="O41" s="190"/>
      <c r="P41" s="507"/>
    </row>
    <row r="42" spans="1:23" ht="46.5" customHeight="1" x14ac:dyDescent="0.25">
      <c r="B42" s="516"/>
      <c r="C42" s="517"/>
      <c r="D42" s="517"/>
      <c r="E42" s="517"/>
      <c r="F42" s="517"/>
      <c r="G42" s="517"/>
      <c r="H42" s="517"/>
      <c r="I42" s="517"/>
      <c r="J42" s="517"/>
      <c r="K42" s="517"/>
      <c r="L42" s="517"/>
      <c r="M42" s="517"/>
      <c r="N42" s="517"/>
      <c r="O42" s="518"/>
      <c r="P42" s="507"/>
    </row>
    <row r="43" spans="1:23" ht="10.5" customHeight="1" thickBot="1" x14ac:dyDescent="0.3">
      <c r="A43" s="501"/>
      <c r="B43" s="502"/>
      <c r="C43" s="502"/>
      <c r="D43" s="502"/>
      <c r="E43" s="502"/>
      <c r="F43" s="502"/>
      <c r="G43" s="502"/>
      <c r="H43" s="502"/>
      <c r="I43" s="502"/>
      <c r="J43" s="502"/>
      <c r="K43" s="502"/>
      <c r="L43" s="502"/>
      <c r="M43" s="502"/>
      <c r="N43" s="502"/>
      <c r="O43" s="502"/>
      <c r="P43" s="515"/>
    </row>
    <row r="44" spans="1:23" ht="18" customHeight="1" x14ac:dyDescent="0.25"/>
    <row r="45" spans="1:23" ht="30.75" customHeight="1" x14ac:dyDescent="0.25"/>
  </sheetData>
  <dataConsolidate link="1"/>
  <mergeCells count="20">
    <mergeCell ref="G37:H37"/>
    <mergeCell ref="G38:H38"/>
    <mergeCell ref="B3:J3"/>
    <mergeCell ref="B32:H33"/>
    <mergeCell ref="B2:K2"/>
    <mergeCell ref="B40:E40"/>
    <mergeCell ref="B39:E39"/>
    <mergeCell ref="B34:H34"/>
    <mergeCell ref="F39:H39"/>
    <mergeCell ref="F40:H40"/>
    <mergeCell ref="B35:C35"/>
    <mergeCell ref="B36:C36"/>
    <mergeCell ref="B37:C37"/>
    <mergeCell ref="B38:C38"/>
    <mergeCell ref="D35:F35"/>
    <mergeCell ref="D36:F36"/>
    <mergeCell ref="D37:F37"/>
    <mergeCell ref="D38:F38"/>
    <mergeCell ref="G35:H35"/>
    <mergeCell ref="G36:H36"/>
  </mergeCells>
  <conditionalFormatting sqref="H29:I30 H13:I27 H28 H10:H12 I5:I12">
    <cfRule type="containsText" dxfId="561" priority="2" operator="containsText" text="no coverage">
      <formula>NOT(ISERROR(SEARCH("no coverage",H5)))</formula>
    </cfRule>
  </conditionalFormatting>
  <conditionalFormatting sqref="I28">
    <cfRule type="containsText" dxfId="560" priority="1" operator="containsText" text="no coverage">
      <formula>NOT(ISERROR(SEARCH("no coverage",I28)))</formula>
    </cfRule>
  </conditionalFormatting>
  <printOptions horizontalCentered="1" verticalCentered="1"/>
  <pageMargins left="0" right="0" top="0" bottom="0" header="0" footer="0"/>
  <pageSetup paperSize="9" scale="87" orientation="landscape" horizontalDpi="1200" verticalDpi="1200" r:id="rId1"/>
  <rowBreaks count="1" manualBreakCount="1">
    <brk id="49" max="16383" man="1"/>
  </rowBreaks>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39"/>
  <sheetViews>
    <sheetView showGridLines="0" workbookViewId="0">
      <pane ySplit="3" topLeftCell="A4" activePane="bottomLeft" state="frozen"/>
      <selection pane="bottomLeft" activeCell="O16" sqref="O16"/>
    </sheetView>
  </sheetViews>
  <sheetFormatPr defaultColWidth="5" defaultRowHeight="51.75" customHeight="1" x14ac:dyDescent="0.25"/>
  <cols>
    <col min="1" max="1" width="1.7109375" style="172" customWidth="1"/>
    <col min="2" max="6" width="12.28515625" style="172" customWidth="1"/>
    <col min="7" max="49" width="5.42578125" style="172" customWidth="1"/>
    <col min="50" max="50" width="8.5703125" style="172" bestFit="1" customWidth="1"/>
    <col min="51" max="54" width="5.42578125" style="172" customWidth="1"/>
    <col min="55" max="55" width="6" style="172" bestFit="1" customWidth="1"/>
    <col min="56" max="66" width="5.42578125" style="172" customWidth="1"/>
    <col min="67" max="67" width="17.42578125" style="172" customWidth="1"/>
    <col min="68" max="16384" width="5" style="172"/>
  </cols>
  <sheetData>
    <row r="1" spans="2:69" ht="41.45" customHeight="1" thickBot="1" x14ac:dyDescent="0.3">
      <c r="B1" s="817" t="s">
        <v>1445</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7"/>
      <c r="AZ1" s="817"/>
      <c r="BA1" s="817"/>
      <c r="BB1" s="817"/>
      <c r="BC1" s="817"/>
      <c r="BD1" s="817"/>
      <c r="BE1" s="817"/>
      <c r="BF1" s="817"/>
      <c r="BG1" s="817"/>
      <c r="BH1" s="817"/>
      <c r="BI1" s="817"/>
      <c r="BJ1" s="817"/>
      <c r="BK1" s="817"/>
      <c r="BL1" s="817"/>
      <c r="BM1" s="817"/>
      <c r="BN1" s="818"/>
    </row>
    <row r="2" spans="2:69" s="563" customFormat="1" ht="28.9" customHeight="1" thickBot="1" x14ac:dyDescent="0.3">
      <c r="B2" s="819" t="s">
        <v>405</v>
      </c>
      <c r="C2" s="821" t="s">
        <v>1297</v>
      </c>
      <c r="D2" s="823" t="s">
        <v>409</v>
      </c>
      <c r="E2" s="825" t="s">
        <v>392</v>
      </c>
      <c r="F2" s="827" t="s">
        <v>0</v>
      </c>
      <c r="G2" s="829" t="s">
        <v>1446</v>
      </c>
      <c r="H2" s="829"/>
      <c r="I2" s="829"/>
      <c r="J2" s="830" t="s">
        <v>400</v>
      </c>
      <c r="K2" s="829"/>
      <c r="L2" s="831"/>
      <c r="M2" s="832" t="s">
        <v>1631</v>
      </c>
      <c r="N2" s="833"/>
      <c r="O2" s="834"/>
      <c r="P2" s="830" t="s">
        <v>1577</v>
      </c>
      <c r="Q2" s="829"/>
      <c r="R2" s="831"/>
      <c r="S2" s="830" t="s">
        <v>401</v>
      </c>
      <c r="T2" s="829"/>
      <c r="U2" s="831"/>
      <c r="V2" s="832" t="s">
        <v>402</v>
      </c>
      <c r="W2" s="833"/>
      <c r="X2" s="834"/>
      <c r="Y2" s="833" t="s">
        <v>403</v>
      </c>
      <c r="Z2" s="833"/>
      <c r="AA2" s="833"/>
      <c r="AB2" s="830" t="s">
        <v>415</v>
      </c>
      <c r="AC2" s="829"/>
      <c r="AD2" s="829"/>
      <c r="AE2" s="830" t="s">
        <v>416</v>
      </c>
      <c r="AF2" s="829"/>
      <c r="AG2" s="829"/>
      <c r="AH2" s="830" t="s">
        <v>1447</v>
      </c>
      <c r="AI2" s="829"/>
      <c r="AJ2" s="829"/>
      <c r="AK2" s="830" t="s">
        <v>525</v>
      </c>
      <c r="AL2" s="829"/>
      <c r="AM2" s="831"/>
      <c r="AN2" s="830" t="s">
        <v>1450</v>
      </c>
      <c r="AO2" s="829"/>
      <c r="AP2" s="831"/>
      <c r="AQ2" s="830" t="s">
        <v>526</v>
      </c>
      <c r="AR2" s="829"/>
      <c r="AS2" s="831"/>
      <c r="AT2" s="829" t="s">
        <v>1087</v>
      </c>
      <c r="AU2" s="829"/>
      <c r="AV2" s="829"/>
      <c r="AW2" s="830" t="s">
        <v>1448</v>
      </c>
      <c r="AX2" s="829"/>
      <c r="AY2" s="831"/>
      <c r="AZ2" s="830" t="s">
        <v>1449</v>
      </c>
      <c r="BA2" s="829"/>
      <c r="BB2" s="831"/>
      <c r="BC2" s="830" t="s">
        <v>849</v>
      </c>
      <c r="BD2" s="829"/>
      <c r="BE2" s="829"/>
      <c r="BF2" s="830" t="s">
        <v>853</v>
      </c>
      <c r="BG2" s="829"/>
      <c r="BH2" s="829"/>
      <c r="BI2" s="830" t="s">
        <v>857</v>
      </c>
      <c r="BJ2" s="829"/>
      <c r="BK2" s="829"/>
      <c r="BL2" s="830" t="s">
        <v>946</v>
      </c>
      <c r="BM2" s="829"/>
      <c r="BN2" s="829"/>
      <c r="BO2" s="662" t="s">
        <v>1632</v>
      </c>
      <c r="BP2" s="661"/>
      <c r="BQ2" s="661"/>
    </row>
    <row r="3" spans="2:69" s="563" customFormat="1" ht="73.5" thickBot="1" x14ac:dyDescent="0.3">
      <c r="B3" s="820"/>
      <c r="C3" s="822"/>
      <c r="D3" s="824"/>
      <c r="E3" s="826"/>
      <c r="F3" s="828"/>
      <c r="G3" s="451" t="s">
        <v>404</v>
      </c>
      <c r="H3" s="452" t="s">
        <v>406</v>
      </c>
      <c r="I3" s="453" t="s">
        <v>407</v>
      </c>
      <c r="J3" s="451" t="s">
        <v>404</v>
      </c>
      <c r="K3" s="452" t="s">
        <v>406</v>
      </c>
      <c r="L3" s="524" t="s">
        <v>407</v>
      </c>
      <c r="M3" s="451" t="s">
        <v>404</v>
      </c>
      <c r="N3" s="452" t="s">
        <v>406</v>
      </c>
      <c r="O3" s="524" t="s">
        <v>407</v>
      </c>
      <c r="P3" s="526" t="s">
        <v>404</v>
      </c>
      <c r="Q3" s="526" t="s">
        <v>406</v>
      </c>
      <c r="R3" s="526" t="s">
        <v>407</v>
      </c>
      <c r="S3" s="525" t="s">
        <v>404</v>
      </c>
      <c r="T3" s="452" t="s">
        <v>406</v>
      </c>
      <c r="U3" s="453" t="s">
        <v>407</v>
      </c>
      <c r="V3" s="451" t="s">
        <v>404</v>
      </c>
      <c r="W3" s="452" t="s">
        <v>406</v>
      </c>
      <c r="X3" s="453" t="s">
        <v>407</v>
      </c>
      <c r="Y3" s="451" t="s">
        <v>404</v>
      </c>
      <c r="Z3" s="452" t="s">
        <v>406</v>
      </c>
      <c r="AA3" s="453" t="s">
        <v>407</v>
      </c>
      <c r="AB3" s="451" t="s">
        <v>404</v>
      </c>
      <c r="AC3" s="452" t="s">
        <v>406</v>
      </c>
      <c r="AD3" s="453" t="s">
        <v>407</v>
      </c>
      <c r="AE3" s="451" t="s">
        <v>404</v>
      </c>
      <c r="AF3" s="452" t="s">
        <v>406</v>
      </c>
      <c r="AG3" s="453" t="s">
        <v>407</v>
      </c>
      <c r="AH3" s="451" t="s">
        <v>404</v>
      </c>
      <c r="AI3" s="452" t="s">
        <v>406</v>
      </c>
      <c r="AJ3" s="453" t="s">
        <v>407</v>
      </c>
      <c r="AK3" s="454" t="s">
        <v>404</v>
      </c>
      <c r="AL3" s="455" t="s">
        <v>406</v>
      </c>
      <c r="AM3" s="456" t="s">
        <v>407</v>
      </c>
      <c r="AN3" s="454" t="s">
        <v>404</v>
      </c>
      <c r="AO3" s="455" t="s">
        <v>406</v>
      </c>
      <c r="AP3" s="456" t="s">
        <v>407</v>
      </c>
      <c r="AQ3" s="454" t="s">
        <v>404</v>
      </c>
      <c r="AR3" s="455" t="s">
        <v>406</v>
      </c>
      <c r="AS3" s="456" t="s">
        <v>407</v>
      </c>
      <c r="AT3" s="454" t="s">
        <v>404</v>
      </c>
      <c r="AU3" s="455" t="s">
        <v>406</v>
      </c>
      <c r="AV3" s="456" t="s">
        <v>407</v>
      </c>
      <c r="AW3" s="454" t="s">
        <v>404</v>
      </c>
      <c r="AX3" s="455" t="s">
        <v>406</v>
      </c>
      <c r="AY3" s="456" t="s">
        <v>407</v>
      </c>
      <c r="AZ3" s="454" t="s">
        <v>404</v>
      </c>
      <c r="BA3" s="455" t="s">
        <v>406</v>
      </c>
      <c r="BB3" s="660" t="s">
        <v>407</v>
      </c>
      <c r="BC3" s="660" t="s">
        <v>404</v>
      </c>
      <c r="BD3" s="455" t="s">
        <v>406</v>
      </c>
      <c r="BE3" s="456" t="s">
        <v>407</v>
      </c>
      <c r="BF3" s="454" t="s">
        <v>404</v>
      </c>
      <c r="BG3" s="455" t="s">
        <v>406</v>
      </c>
      <c r="BH3" s="456" t="s">
        <v>407</v>
      </c>
      <c r="BI3" s="454" t="s">
        <v>404</v>
      </c>
      <c r="BJ3" s="455" t="s">
        <v>406</v>
      </c>
      <c r="BK3" s="456" t="s">
        <v>407</v>
      </c>
      <c r="BL3" s="454" t="s">
        <v>404</v>
      </c>
      <c r="BM3" s="455" t="s">
        <v>406</v>
      </c>
      <c r="BN3" s="659" t="s">
        <v>407</v>
      </c>
      <c r="BO3" s="663"/>
    </row>
    <row r="4" spans="2:69" s="173" customFormat="1" ht="15" x14ac:dyDescent="0.25">
      <c r="B4" s="565">
        <v>43008</v>
      </c>
      <c r="C4" s="681" t="s">
        <v>825</v>
      </c>
      <c r="D4" s="564"/>
      <c r="E4" s="564" t="s">
        <v>378</v>
      </c>
      <c r="F4" s="564" t="s">
        <v>237</v>
      </c>
      <c r="G4" s="564">
        <v>500</v>
      </c>
      <c r="H4" s="564"/>
      <c r="I4" s="564"/>
      <c r="J4" s="564"/>
      <c r="K4" s="564"/>
      <c r="L4" s="564"/>
      <c r="M4" s="564"/>
      <c r="N4" s="564"/>
      <c r="O4" s="564"/>
      <c r="P4" s="564"/>
      <c r="Q4" s="564"/>
      <c r="R4" s="564"/>
      <c r="S4" s="564">
        <v>500</v>
      </c>
      <c r="T4" s="564"/>
      <c r="U4" s="564"/>
      <c r="V4" s="564"/>
      <c r="W4" s="564"/>
      <c r="X4" s="564"/>
      <c r="Y4" s="564">
        <v>500</v>
      </c>
      <c r="Z4" s="564"/>
      <c r="AA4" s="564"/>
      <c r="AB4" s="564"/>
      <c r="AC4" s="564"/>
      <c r="AD4" s="564"/>
      <c r="AE4" s="564">
        <v>500</v>
      </c>
      <c r="AF4" s="564"/>
      <c r="AG4" s="564"/>
      <c r="AH4" s="564"/>
      <c r="AI4" s="564"/>
      <c r="AJ4" s="564"/>
      <c r="AK4" s="564">
        <v>500</v>
      </c>
      <c r="AL4" s="564"/>
      <c r="AM4" s="564"/>
      <c r="AN4" s="564"/>
      <c r="AO4" s="564"/>
      <c r="AP4" s="564"/>
      <c r="AQ4" s="564"/>
      <c r="AR4" s="564"/>
      <c r="AS4" s="564"/>
      <c r="AT4" s="564"/>
      <c r="AU4" s="564"/>
      <c r="AV4" s="564"/>
      <c r="AW4" s="564">
        <v>500</v>
      </c>
      <c r="AX4" s="564"/>
      <c r="AY4" s="564"/>
      <c r="AZ4" s="564"/>
      <c r="BA4" s="564"/>
      <c r="BB4" s="564"/>
      <c r="BC4" s="564"/>
      <c r="BD4" s="564"/>
      <c r="BE4" s="564"/>
      <c r="BF4" s="564"/>
      <c r="BG4" s="564"/>
      <c r="BH4" s="564"/>
      <c r="BI4" s="564"/>
      <c r="BJ4" s="564"/>
      <c r="BK4" s="564"/>
      <c r="BL4" s="564"/>
      <c r="BM4" s="564"/>
      <c r="BN4" s="566"/>
      <c r="BO4" s="564"/>
    </row>
    <row r="5" spans="2:69" s="173" customFormat="1" ht="15" x14ac:dyDescent="0.25">
      <c r="B5" s="565">
        <v>42978</v>
      </c>
      <c r="C5" s="564" t="s">
        <v>773</v>
      </c>
      <c r="D5" s="564"/>
      <c r="E5" s="564" t="s">
        <v>378</v>
      </c>
      <c r="F5" s="564" t="s">
        <v>237</v>
      </c>
      <c r="G5" s="564"/>
      <c r="H5" s="564"/>
      <c r="I5" s="564"/>
      <c r="J5" s="564">
        <v>1000</v>
      </c>
      <c r="K5" s="564"/>
      <c r="L5" s="564"/>
      <c r="M5" s="564"/>
      <c r="N5" s="564"/>
      <c r="O5" s="564"/>
      <c r="P5" s="564"/>
      <c r="Q5" s="564"/>
      <c r="R5" s="564"/>
      <c r="S5" s="564"/>
      <c r="T5" s="564"/>
      <c r="U5" s="564"/>
      <c r="V5" s="564">
        <v>1000</v>
      </c>
      <c r="W5" s="564"/>
      <c r="X5" s="564"/>
      <c r="Y5" s="564"/>
      <c r="Z5" s="564"/>
      <c r="AA5" s="564"/>
      <c r="AB5" s="564">
        <v>1000</v>
      </c>
      <c r="AC5" s="564"/>
      <c r="AD5" s="564"/>
      <c r="AE5" s="564">
        <v>1000</v>
      </c>
      <c r="AF5" s="564"/>
      <c r="AG5" s="564"/>
      <c r="AH5" s="564"/>
      <c r="AI5" s="564"/>
      <c r="AJ5" s="564"/>
      <c r="AK5" s="564">
        <v>1000</v>
      </c>
      <c r="AL5" s="564"/>
      <c r="AM5" s="564"/>
      <c r="AN5" s="564"/>
      <c r="AO5" s="564"/>
      <c r="AP5" s="564"/>
      <c r="AQ5" s="564">
        <v>1000</v>
      </c>
      <c r="AR5" s="564"/>
      <c r="AS5" s="564"/>
      <c r="AT5" s="564"/>
      <c r="AU5" s="564"/>
      <c r="AV5" s="564"/>
      <c r="AW5" s="564"/>
      <c r="AX5" s="564"/>
      <c r="AY5" s="564"/>
      <c r="AZ5" s="564"/>
      <c r="BA5" s="564"/>
      <c r="BB5" s="564"/>
      <c r="BC5" s="564"/>
      <c r="BD5" s="564"/>
      <c r="BE5" s="564"/>
      <c r="BF5" s="564"/>
      <c r="BG5" s="564"/>
      <c r="BH5" s="564"/>
      <c r="BI5" s="564"/>
      <c r="BJ5" s="564"/>
      <c r="BK5" s="564"/>
      <c r="BL5" s="564"/>
      <c r="BM5" s="564"/>
      <c r="BN5" s="566"/>
      <c r="BO5" s="564"/>
    </row>
    <row r="6" spans="2:69" s="173" customFormat="1" ht="15" x14ac:dyDescent="0.25">
      <c r="B6" s="565">
        <v>43374</v>
      </c>
      <c r="C6" s="564" t="s">
        <v>420</v>
      </c>
      <c r="D6" s="564" t="s">
        <v>424</v>
      </c>
      <c r="E6" s="564" t="s">
        <v>378</v>
      </c>
      <c r="F6" s="564" t="s">
        <v>237</v>
      </c>
      <c r="G6" s="564"/>
      <c r="H6" s="564"/>
      <c r="I6" s="564"/>
      <c r="J6" s="174">
        <v>9</v>
      </c>
      <c r="K6" s="564"/>
      <c r="L6" s="564"/>
      <c r="M6" s="564"/>
      <c r="N6" s="564"/>
      <c r="O6" s="564"/>
      <c r="P6" s="564"/>
      <c r="Q6" s="564"/>
      <c r="R6" s="564"/>
      <c r="S6" s="564">
        <v>3</v>
      </c>
      <c r="T6" s="564"/>
      <c r="U6" s="564"/>
      <c r="V6" s="564">
        <v>6</v>
      </c>
      <c r="W6" s="564"/>
      <c r="X6" s="564"/>
      <c r="Y6" s="564">
        <v>3</v>
      </c>
      <c r="Z6" s="564"/>
      <c r="AA6" s="564"/>
      <c r="AB6" s="564">
        <v>13</v>
      </c>
      <c r="AC6" s="564"/>
      <c r="AD6" s="564"/>
      <c r="AE6" s="564">
        <v>70</v>
      </c>
      <c r="AF6" s="564"/>
      <c r="AG6" s="564"/>
      <c r="AH6" s="564"/>
      <c r="AI6" s="564"/>
      <c r="AJ6" s="564"/>
      <c r="AK6" s="564">
        <v>27</v>
      </c>
      <c r="AL6" s="564"/>
      <c r="AM6" s="564"/>
      <c r="AN6" s="564">
        <v>4</v>
      </c>
      <c r="AO6" s="564"/>
      <c r="AP6" s="564"/>
      <c r="AQ6" s="564">
        <v>16</v>
      </c>
      <c r="AR6" s="564"/>
      <c r="AS6" s="564"/>
      <c r="AT6" s="564"/>
      <c r="AU6" s="564"/>
      <c r="AV6" s="564"/>
      <c r="AW6" s="564"/>
      <c r="AX6" s="564"/>
      <c r="AY6" s="564"/>
      <c r="AZ6" s="564"/>
      <c r="BA6" s="564"/>
      <c r="BB6" s="564"/>
      <c r="BC6" s="564"/>
      <c r="BD6" s="564"/>
      <c r="BE6" s="564"/>
      <c r="BF6" s="564"/>
      <c r="BG6" s="564"/>
      <c r="BH6" s="564"/>
      <c r="BI6" s="564"/>
      <c r="BJ6" s="564"/>
      <c r="BK6" s="564"/>
      <c r="BL6" s="564"/>
      <c r="BM6" s="564"/>
      <c r="BN6" s="566"/>
      <c r="BO6" s="564"/>
    </row>
    <row r="7" spans="2:69" s="173" customFormat="1" ht="15" x14ac:dyDescent="0.25">
      <c r="B7" s="565">
        <v>43109</v>
      </c>
      <c r="C7" s="564" t="s">
        <v>1552</v>
      </c>
      <c r="D7" s="564"/>
      <c r="E7" s="564" t="s">
        <v>506</v>
      </c>
      <c r="F7" s="564" t="s">
        <v>717</v>
      </c>
      <c r="G7" s="564">
        <v>646</v>
      </c>
      <c r="H7" s="564"/>
      <c r="I7" s="564"/>
      <c r="J7" s="564">
        <v>204</v>
      </c>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6"/>
      <c r="BO7" s="564"/>
    </row>
    <row r="8" spans="2:69" s="173" customFormat="1" ht="15" x14ac:dyDescent="0.25">
      <c r="B8" s="565">
        <v>43109</v>
      </c>
      <c r="C8" s="564" t="s">
        <v>1552</v>
      </c>
      <c r="D8" s="564"/>
      <c r="E8" s="564" t="s">
        <v>506</v>
      </c>
      <c r="F8" s="564" t="s">
        <v>288</v>
      </c>
      <c r="G8" s="564">
        <v>71</v>
      </c>
      <c r="H8" s="564"/>
      <c r="I8" s="564"/>
      <c r="J8" s="564">
        <v>146</v>
      </c>
      <c r="K8" s="564"/>
      <c r="L8" s="564"/>
      <c r="M8" s="564"/>
      <c r="N8" s="564"/>
      <c r="O8" s="564"/>
      <c r="P8" s="564"/>
      <c r="Q8" s="564"/>
      <c r="R8" s="564"/>
      <c r="S8" s="564"/>
      <c r="T8" s="564"/>
      <c r="U8" s="564"/>
      <c r="V8" s="564"/>
      <c r="W8" s="564"/>
      <c r="X8" s="564"/>
      <c r="Y8" s="564">
        <v>82</v>
      </c>
      <c r="Z8" s="564"/>
      <c r="AA8" s="564"/>
      <c r="AB8" s="564"/>
      <c r="AC8" s="564"/>
      <c r="AD8" s="564"/>
      <c r="AE8" s="564"/>
      <c r="AF8" s="564"/>
      <c r="AG8" s="564"/>
      <c r="AH8" s="564"/>
      <c r="AI8" s="564"/>
      <c r="AJ8" s="564"/>
      <c r="AK8" s="564">
        <v>85</v>
      </c>
      <c r="AL8" s="564"/>
      <c r="AM8" s="564"/>
      <c r="AN8" s="564">
        <v>4</v>
      </c>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6"/>
      <c r="BO8" s="564"/>
    </row>
    <row r="9" spans="2:69" s="173" customFormat="1" ht="16.5" customHeight="1" x14ac:dyDescent="0.25">
      <c r="B9" s="565">
        <v>43117</v>
      </c>
      <c r="C9" s="568" t="s">
        <v>1563</v>
      </c>
      <c r="D9" s="564"/>
      <c r="E9" s="564" t="s">
        <v>506</v>
      </c>
      <c r="F9" s="564" t="s">
        <v>717</v>
      </c>
      <c r="G9" s="564">
        <v>226</v>
      </c>
      <c r="H9" s="564"/>
      <c r="I9" s="564"/>
      <c r="J9" s="564">
        <v>176</v>
      </c>
      <c r="K9" s="564"/>
      <c r="L9" s="564"/>
      <c r="M9" s="564"/>
      <c r="N9" s="564"/>
      <c r="O9" s="564"/>
      <c r="P9" s="564"/>
      <c r="Q9" s="564"/>
      <c r="R9" s="564"/>
      <c r="S9" s="564">
        <v>46</v>
      </c>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v>288</v>
      </c>
      <c r="AU9" s="564"/>
      <c r="AV9" s="564"/>
      <c r="AW9" s="564"/>
      <c r="AX9" s="564"/>
      <c r="AY9" s="564"/>
      <c r="AZ9" s="564">
        <v>477</v>
      </c>
      <c r="BA9" s="564"/>
      <c r="BB9" s="564"/>
      <c r="BC9" s="564"/>
      <c r="BD9" s="564"/>
      <c r="BE9" s="564"/>
      <c r="BF9" s="564"/>
      <c r="BG9" s="564"/>
      <c r="BH9" s="564"/>
      <c r="BI9" s="564"/>
      <c r="BJ9" s="564"/>
      <c r="BK9" s="564"/>
      <c r="BL9" s="564"/>
      <c r="BM9" s="564"/>
      <c r="BN9" s="566"/>
      <c r="BO9" s="564"/>
    </row>
    <row r="10" spans="2:69" s="173" customFormat="1" ht="15" x14ac:dyDescent="0.25">
      <c r="B10" s="13" t="s">
        <v>1578</v>
      </c>
      <c r="C10" s="568" t="s">
        <v>1579</v>
      </c>
      <c r="D10" s="564"/>
      <c r="E10" s="564" t="s">
        <v>506</v>
      </c>
      <c r="F10" s="564" t="s">
        <v>717</v>
      </c>
      <c r="G10" s="564">
        <v>369</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6"/>
      <c r="BO10" s="564"/>
    </row>
    <row r="11" spans="2:69" s="173" customFormat="1" ht="15" x14ac:dyDescent="0.25">
      <c r="B11" s="13" t="s">
        <v>1578</v>
      </c>
      <c r="C11" s="568" t="s">
        <v>1579</v>
      </c>
      <c r="D11" s="564"/>
      <c r="E11" s="564" t="s">
        <v>506</v>
      </c>
      <c r="F11" s="564" t="s">
        <v>717</v>
      </c>
      <c r="G11" s="564">
        <v>190</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6"/>
      <c r="BO11" s="564"/>
    </row>
    <row r="12" spans="2:69" s="173" customFormat="1" ht="15" x14ac:dyDescent="0.25">
      <c r="B12" s="13" t="s">
        <v>1578</v>
      </c>
      <c r="C12" s="568" t="s">
        <v>1579</v>
      </c>
      <c r="D12" s="564"/>
      <c r="E12" s="564" t="s">
        <v>506</v>
      </c>
      <c r="F12" s="564" t="s">
        <v>230</v>
      </c>
      <c r="G12" s="564">
        <v>48</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6"/>
      <c r="BO12" s="564"/>
    </row>
    <row r="13" spans="2:69" s="173" customFormat="1" ht="15" x14ac:dyDescent="0.25">
      <c r="B13" s="565" t="s">
        <v>1630</v>
      </c>
      <c r="C13" s="567" t="s">
        <v>1375</v>
      </c>
      <c r="D13" s="564"/>
      <c r="E13" s="567" t="s">
        <v>378</v>
      </c>
      <c r="F13" s="567" t="s">
        <v>5</v>
      </c>
      <c r="G13" s="564">
        <v>200</v>
      </c>
      <c r="H13" s="564">
        <v>0</v>
      </c>
      <c r="I13" s="564"/>
      <c r="J13" s="564"/>
      <c r="K13" s="564"/>
      <c r="L13" s="564"/>
      <c r="M13" s="564">
        <v>200</v>
      </c>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v>200</v>
      </c>
      <c r="AX13" s="564"/>
      <c r="AY13" s="564"/>
      <c r="AZ13" s="564">
        <v>50</v>
      </c>
      <c r="BA13" s="564"/>
      <c r="BB13" s="564"/>
      <c r="BC13" s="564"/>
      <c r="BD13" s="564"/>
      <c r="BE13" s="564"/>
      <c r="BF13" s="564"/>
      <c r="BG13" s="564"/>
      <c r="BH13" s="564"/>
      <c r="BI13" s="564"/>
      <c r="BJ13" s="564"/>
      <c r="BK13" s="564"/>
      <c r="BL13" s="564"/>
      <c r="BM13" s="564"/>
      <c r="BN13" s="566"/>
      <c r="BO13" s="564"/>
    </row>
    <row r="14" spans="2:69" ht="15" x14ac:dyDescent="0.25">
      <c r="B14" s="657">
        <v>43312</v>
      </c>
      <c r="C14" s="570" t="s">
        <v>1258</v>
      </c>
      <c r="D14" s="570"/>
      <c r="E14" s="570" t="s">
        <v>378</v>
      </c>
      <c r="F14" s="570" t="s">
        <v>5</v>
      </c>
      <c r="G14" s="570"/>
      <c r="H14" s="570"/>
      <c r="I14" s="570"/>
      <c r="J14" s="570"/>
      <c r="K14" s="570"/>
      <c r="L14" s="570"/>
      <c r="M14" s="570"/>
      <c r="N14" s="570"/>
      <c r="O14" s="570"/>
      <c r="P14" s="570"/>
      <c r="Q14" s="570"/>
      <c r="R14" s="570"/>
      <c r="S14" s="570"/>
      <c r="T14" s="570"/>
      <c r="U14" s="570"/>
      <c r="V14" s="570">
        <v>73</v>
      </c>
      <c r="W14" s="570"/>
      <c r="X14" s="570"/>
      <c r="Y14" s="570">
        <v>539</v>
      </c>
      <c r="Z14" s="570"/>
      <c r="AA14" s="570"/>
      <c r="AB14" s="570">
        <v>454</v>
      </c>
      <c r="AC14" s="570"/>
      <c r="AD14" s="570"/>
      <c r="AE14" s="570"/>
      <c r="AF14" s="570"/>
      <c r="AG14" s="570"/>
      <c r="AH14" s="570"/>
      <c r="AI14" s="570"/>
      <c r="AJ14" s="570"/>
      <c r="AK14" s="570"/>
      <c r="AL14" s="570"/>
      <c r="AM14" s="570"/>
      <c r="AN14" s="570"/>
      <c r="AO14" s="570"/>
      <c r="AP14" s="570"/>
      <c r="AQ14" s="570">
        <v>454</v>
      </c>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1"/>
      <c r="BO14" s="570"/>
      <c r="BP14" s="172" t="s">
        <v>1771</v>
      </c>
    </row>
    <row r="15" spans="2:69" s="173" customFormat="1" ht="15" x14ac:dyDescent="0.25">
      <c r="B15" s="658">
        <v>43214</v>
      </c>
      <c r="C15" s="564" t="s">
        <v>1258</v>
      </c>
      <c r="D15" s="564"/>
      <c r="E15" s="564" t="s">
        <v>506</v>
      </c>
      <c r="F15" s="564" t="s">
        <v>717</v>
      </c>
      <c r="G15" s="564"/>
      <c r="H15" s="564"/>
      <c r="I15" s="564"/>
      <c r="J15" s="564"/>
      <c r="K15" s="564"/>
      <c r="L15" s="564"/>
      <c r="M15" s="564"/>
      <c r="N15" s="564"/>
      <c r="O15" s="564"/>
      <c r="P15" s="564"/>
      <c r="Q15" s="564"/>
      <c r="R15" s="564"/>
      <c r="S15" s="564"/>
      <c r="T15" s="564"/>
      <c r="U15" s="564"/>
      <c r="V15" s="564"/>
      <c r="W15" s="564"/>
      <c r="X15" s="564"/>
      <c r="Y15" s="564">
        <v>40</v>
      </c>
      <c r="Z15" s="564"/>
      <c r="AA15" s="564"/>
      <c r="AB15" s="564"/>
      <c r="AC15" s="564"/>
      <c r="AD15" s="564"/>
      <c r="AE15" s="564"/>
      <c r="AF15" s="564"/>
      <c r="AG15" s="564"/>
      <c r="AH15" s="564"/>
      <c r="AI15" s="564"/>
      <c r="AJ15" s="564"/>
      <c r="AK15" s="564"/>
      <c r="AL15" s="564"/>
      <c r="AM15" s="564"/>
      <c r="AN15" s="564"/>
      <c r="AO15" s="564"/>
      <c r="AP15" s="564"/>
      <c r="AQ15" s="564">
        <v>285</v>
      </c>
      <c r="AR15" s="564"/>
      <c r="AS15" s="564"/>
      <c r="AT15" s="564"/>
      <c r="AU15" s="564"/>
      <c r="AV15" s="564"/>
      <c r="AW15" s="564"/>
      <c r="AX15" s="564"/>
      <c r="AY15" s="564"/>
      <c r="AZ15" s="564"/>
      <c r="BA15" s="564"/>
      <c r="BB15" s="564"/>
      <c r="BC15" s="564"/>
      <c r="BD15" s="564"/>
      <c r="BE15" s="564"/>
      <c r="BF15" s="564"/>
      <c r="BG15" s="564"/>
      <c r="BH15" s="564"/>
      <c r="BI15" s="564">
        <v>285</v>
      </c>
      <c r="BJ15" s="564"/>
      <c r="BK15" s="564"/>
      <c r="BL15" s="564">
        <v>285</v>
      </c>
      <c r="BM15" s="564"/>
      <c r="BN15" s="566"/>
      <c r="BO15" s="564"/>
    </row>
    <row r="16" spans="2:69" s="173" customFormat="1" ht="15" x14ac:dyDescent="0.25">
      <c r="B16" s="658">
        <v>43405</v>
      </c>
      <c r="C16" s="564" t="s">
        <v>420</v>
      </c>
      <c r="D16" s="564"/>
      <c r="E16" s="564" t="s">
        <v>378</v>
      </c>
      <c r="F16" s="564" t="s">
        <v>237</v>
      </c>
      <c r="G16" s="564"/>
      <c r="H16" s="564"/>
      <c r="I16" s="564"/>
      <c r="J16" s="564">
        <v>368</v>
      </c>
      <c r="K16" s="564"/>
      <c r="L16" s="564"/>
      <c r="M16" s="564"/>
      <c r="N16" s="564"/>
      <c r="O16" s="564"/>
      <c r="P16" s="564"/>
      <c r="Q16" s="564"/>
      <c r="R16" s="564"/>
      <c r="S16" s="564">
        <v>11</v>
      </c>
      <c r="T16" s="564"/>
      <c r="U16" s="564"/>
      <c r="V16" s="564">
        <v>1452</v>
      </c>
      <c r="W16" s="564"/>
      <c r="X16" s="564"/>
      <c r="Y16" s="564">
        <v>418</v>
      </c>
      <c r="Z16" s="564"/>
      <c r="AA16" s="564"/>
      <c r="AB16" s="564">
        <v>472</v>
      </c>
      <c r="AC16" s="564"/>
      <c r="AD16" s="564"/>
      <c r="AE16" s="564">
        <v>446</v>
      </c>
      <c r="AF16" s="564"/>
      <c r="AG16" s="564"/>
      <c r="AH16" s="564"/>
      <c r="AI16" s="564"/>
      <c r="AJ16" s="564"/>
      <c r="AK16" s="564">
        <v>371</v>
      </c>
      <c r="AL16" s="564"/>
      <c r="AM16" s="564"/>
      <c r="AN16" s="564">
        <v>385</v>
      </c>
      <c r="AO16" s="564"/>
      <c r="AP16" s="564"/>
      <c r="AQ16" s="564">
        <v>997</v>
      </c>
      <c r="AR16" s="564"/>
      <c r="AS16" s="564"/>
      <c r="AT16" s="564">
        <v>59</v>
      </c>
      <c r="AU16" s="564"/>
      <c r="AV16" s="564"/>
      <c r="AW16" s="564"/>
      <c r="AX16" s="564"/>
      <c r="AY16" s="564"/>
      <c r="AZ16" s="564"/>
      <c r="BA16" s="564"/>
      <c r="BB16" s="564"/>
      <c r="BC16" s="564">
        <v>3470</v>
      </c>
      <c r="BD16" s="564"/>
      <c r="BE16" s="564"/>
      <c r="BF16" s="564">
        <v>609</v>
      </c>
      <c r="BG16" s="564"/>
      <c r="BH16" s="564"/>
      <c r="BI16" s="564"/>
      <c r="BJ16" s="564"/>
      <c r="BK16" s="564"/>
      <c r="BL16" s="564"/>
      <c r="BM16" s="564"/>
      <c r="BN16" s="566"/>
      <c r="BO16" s="564"/>
    </row>
    <row r="17" spans="2:67" s="173" customFormat="1" ht="15" x14ac:dyDescent="0.25">
      <c r="B17" s="658">
        <v>43406</v>
      </c>
      <c r="C17" s="564" t="s">
        <v>420</v>
      </c>
      <c r="D17" s="564"/>
      <c r="E17" s="564" t="s">
        <v>378</v>
      </c>
      <c r="F17" s="564" t="s">
        <v>5</v>
      </c>
      <c r="G17" s="564"/>
      <c r="H17" s="564"/>
      <c r="I17" s="564"/>
      <c r="J17" s="564">
        <v>754</v>
      </c>
      <c r="K17" s="564"/>
      <c r="L17" s="564"/>
      <c r="M17" s="564"/>
      <c r="N17" s="564"/>
      <c r="O17" s="564"/>
      <c r="P17" s="564"/>
      <c r="Q17" s="564"/>
      <c r="R17" s="564"/>
      <c r="S17" s="564">
        <v>35</v>
      </c>
      <c r="T17" s="564"/>
      <c r="U17" s="564"/>
      <c r="V17" s="564">
        <v>800</v>
      </c>
      <c r="W17" s="564"/>
      <c r="X17" s="564"/>
      <c r="Y17" s="564">
        <v>523</v>
      </c>
      <c r="Z17" s="564"/>
      <c r="AA17" s="564"/>
      <c r="AB17" s="564">
        <v>1420</v>
      </c>
      <c r="AC17" s="564"/>
      <c r="AD17" s="564"/>
      <c r="AE17" s="564">
        <v>117</v>
      </c>
      <c r="AF17" s="564"/>
      <c r="AG17" s="564"/>
      <c r="AH17" s="564"/>
      <c r="AI17" s="564"/>
      <c r="AJ17" s="564"/>
      <c r="AK17" s="564">
        <v>380</v>
      </c>
      <c r="AL17" s="564"/>
      <c r="AM17" s="564"/>
      <c r="AN17" s="564">
        <v>1046</v>
      </c>
      <c r="AO17" s="564"/>
      <c r="AP17" s="564"/>
      <c r="AQ17" s="564">
        <v>1175</v>
      </c>
      <c r="AR17" s="564"/>
      <c r="AS17" s="564"/>
      <c r="AT17" s="564">
        <v>50</v>
      </c>
      <c r="AU17" s="564"/>
      <c r="AV17" s="564"/>
      <c r="AW17" s="564"/>
      <c r="AX17" s="564"/>
      <c r="AY17" s="564"/>
      <c r="AZ17" s="564"/>
      <c r="BA17" s="564"/>
      <c r="BB17" s="564"/>
      <c r="BC17" s="564">
        <v>1705</v>
      </c>
      <c r="BD17" s="564"/>
      <c r="BE17" s="564"/>
      <c r="BF17" s="564">
        <v>5921</v>
      </c>
      <c r="BG17" s="564"/>
      <c r="BH17" s="564"/>
      <c r="BI17" s="564"/>
      <c r="BJ17" s="564"/>
      <c r="BK17" s="564"/>
      <c r="BL17" s="564">
        <v>3405</v>
      </c>
      <c r="BM17" s="564"/>
      <c r="BN17" s="566"/>
      <c r="BO17" s="564"/>
    </row>
    <row r="18" spans="2:67" ht="15" x14ac:dyDescent="0.25">
      <c r="B18" s="470" t="s">
        <v>1513</v>
      </c>
      <c r="C18" s="570"/>
      <c r="D18" s="570"/>
      <c r="E18" s="570"/>
      <c r="F18" s="570"/>
      <c r="G18" s="471">
        <f>SUBTOTAL(109,G4:G17)</f>
        <v>2250</v>
      </c>
      <c r="H18" s="471">
        <f t="shared" ref="H18:BN18" si="0">SUBTOTAL(109,H4:H17)</f>
        <v>0</v>
      </c>
      <c r="I18" s="471">
        <f t="shared" si="0"/>
        <v>0</v>
      </c>
      <c r="J18" s="471">
        <f t="shared" si="0"/>
        <v>2657</v>
      </c>
      <c r="K18" s="471">
        <f t="shared" si="0"/>
        <v>0</v>
      </c>
      <c r="L18" s="471">
        <f t="shared" si="0"/>
        <v>0</v>
      </c>
      <c r="M18" s="471">
        <f t="shared" si="0"/>
        <v>200</v>
      </c>
      <c r="N18" s="471">
        <f t="shared" si="0"/>
        <v>0</v>
      </c>
      <c r="O18" s="471">
        <f t="shared" si="0"/>
        <v>0</v>
      </c>
      <c r="P18" s="471">
        <f t="shared" si="0"/>
        <v>0</v>
      </c>
      <c r="Q18" s="471">
        <f t="shared" si="0"/>
        <v>0</v>
      </c>
      <c r="R18" s="471">
        <f t="shared" si="0"/>
        <v>0</v>
      </c>
      <c r="S18" s="471">
        <f t="shared" si="0"/>
        <v>595</v>
      </c>
      <c r="T18" s="471">
        <f t="shared" si="0"/>
        <v>0</v>
      </c>
      <c r="U18" s="471">
        <f t="shared" si="0"/>
        <v>0</v>
      </c>
      <c r="V18" s="471">
        <f t="shared" si="0"/>
        <v>3331</v>
      </c>
      <c r="W18" s="471">
        <f t="shared" si="0"/>
        <v>0</v>
      </c>
      <c r="X18" s="471">
        <f t="shared" si="0"/>
        <v>0</v>
      </c>
      <c r="Y18" s="471">
        <f t="shared" si="0"/>
        <v>2105</v>
      </c>
      <c r="Z18" s="471">
        <f t="shared" si="0"/>
        <v>0</v>
      </c>
      <c r="AA18" s="471">
        <f t="shared" si="0"/>
        <v>0</v>
      </c>
      <c r="AB18" s="471">
        <f t="shared" si="0"/>
        <v>3359</v>
      </c>
      <c r="AC18" s="471">
        <f t="shared" si="0"/>
        <v>0</v>
      </c>
      <c r="AD18" s="471">
        <f t="shared" si="0"/>
        <v>0</v>
      </c>
      <c r="AE18" s="471">
        <f t="shared" si="0"/>
        <v>2133</v>
      </c>
      <c r="AF18" s="471">
        <f t="shared" si="0"/>
        <v>0</v>
      </c>
      <c r="AG18" s="471">
        <f t="shared" si="0"/>
        <v>0</v>
      </c>
      <c r="AH18" s="471">
        <f t="shared" si="0"/>
        <v>0</v>
      </c>
      <c r="AI18" s="471">
        <f t="shared" si="0"/>
        <v>0</v>
      </c>
      <c r="AJ18" s="471">
        <f t="shared" si="0"/>
        <v>0</v>
      </c>
      <c r="AK18" s="471">
        <f t="shared" si="0"/>
        <v>2363</v>
      </c>
      <c r="AL18" s="471">
        <f t="shared" si="0"/>
        <v>0</v>
      </c>
      <c r="AM18" s="471">
        <f t="shared" si="0"/>
        <v>0</v>
      </c>
      <c r="AN18" s="471">
        <f t="shared" si="0"/>
        <v>1439</v>
      </c>
      <c r="AO18" s="471">
        <f t="shared" si="0"/>
        <v>0</v>
      </c>
      <c r="AP18" s="471">
        <f t="shared" si="0"/>
        <v>0</v>
      </c>
      <c r="AQ18" s="471">
        <f t="shared" si="0"/>
        <v>3927</v>
      </c>
      <c r="AR18" s="471">
        <f t="shared" si="0"/>
        <v>0</v>
      </c>
      <c r="AS18" s="471">
        <f t="shared" si="0"/>
        <v>0</v>
      </c>
      <c r="AT18" s="471">
        <f t="shared" si="0"/>
        <v>397</v>
      </c>
      <c r="AU18" s="471">
        <f t="shared" si="0"/>
        <v>0</v>
      </c>
      <c r="AV18" s="471">
        <f t="shared" si="0"/>
        <v>0</v>
      </c>
      <c r="AW18" s="471">
        <f t="shared" si="0"/>
        <v>700</v>
      </c>
      <c r="AX18" s="471">
        <f t="shared" si="0"/>
        <v>0</v>
      </c>
      <c r="AY18" s="471">
        <f t="shared" si="0"/>
        <v>0</v>
      </c>
      <c r="AZ18" s="471">
        <f t="shared" si="0"/>
        <v>527</v>
      </c>
      <c r="BA18" s="471">
        <f t="shared" si="0"/>
        <v>0</v>
      </c>
      <c r="BB18" s="471">
        <f t="shared" si="0"/>
        <v>0</v>
      </c>
      <c r="BC18" s="471">
        <f t="shared" si="0"/>
        <v>5175</v>
      </c>
      <c r="BD18" s="471">
        <f t="shared" si="0"/>
        <v>0</v>
      </c>
      <c r="BE18" s="471">
        <f t="shared" si="0"/>
        <v>0</v>
      </c>
      <c r="BF18" s="471">
        <f t="shared" si="0"/>
        <v>6530</v>
      </c>
      <c r="BG18" s="471">
        <f t="shared" si="0"/>
        <v>0</v>
      </c>
      <c r="BH18" s="471">
        <f t="shared" si="0"/>
        <v>0</v>
      </c>
      <c r="BI18" s="471">
        <f t="shared" si="0"/>
        <v>285</v>
      </c>
      <c r="BJ18" s="471">
        <f t="shared" si="0"/>
        <v>0</v>
      </c>
      <c r="BK18" s="471">
        <f t="shared" si="0"/>
        <v>0</v>
      </c>
      <c r="BL18" s="471">
        <f t="shared" si="0"/>
        <v>3690</v>
      </c>
      <c r="BM18" s="471">
        <f t="shared" si="0"/>
        <v>0</v>
      </c>
      <c r="BN18" s="471">
        <f t="shared" si="0"/>
        <v>0</v>
      </c>
      <c r="BO18" s="570"/>
    </row>
    <row r="19" spans="2:67" ht="15" x14ac:dyDescent="0.25">
      <c r="B19" s="569"/>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1"/>
      <c r="BO19" s="570"/>
    </row>
    <row r="20" spans="2:67" ht="15" x14ac:dyDescent="0.25">
      <c r="B20" s="569"/>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1"/>
      <c r="BO20" s="570"/>
    </row>
    <row r="21" spans="2:67" ht="15" x14ac:dyDescent="0.25">
      <c r="B21" s="569"/>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1"/>
      <c r="BO21" s="570"/>
    </row>
    <row r="22" spans="2:67" ht="15" x14ac:dyDescent="0.25">
      <c r="B22" s="569"/>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1"/>
      <c r="BO22" s="570"/>
    </row>
    <row r="23" spans="2:67" ht="15" x14ac:dyDescent="0.25">
      <c r="B23" s="569"/>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1"/>
      <c r="BO23" s="570"/>
    </row>
    <row r="24" spans="2:67" ht="15" x14ac:dyDescent="0.25">
      <c r="B24" s="569"/>
      <c r="C24" s="570"/>
      <c r="D24" s="570"/>
      <c r="E24" s="570"/>
      <c r="F24" s="570"/>
      <c r="G24" s="570"/>
      <c r="H24" s="570" t="s">
        <v>541</v>
      </c>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1"/>
      <c r="BO24" s="570"/>
    </row>
    <row r="25" spans="2:67" ht="15" x14ac:dyDescent="0.25">
      <c r="B25" s="569"/>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1"/>
      <c r="BO25" s="570"/>
    </row>
    <row r="26" spans="2:67" ht="15" x14ac:dyDescent="0.25">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1"/>
      <c r="BO26" s="570"/>
    </row>
    <row r="27" spans="2:67" ht="15" x14ac:dyDescent="0.25">
      <c r="B27" s="569"/>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1"/>
      <c r="BO27" s="570"/>
    </row>
    <row r="28" spans="2:67" ht="15" x14ac:dyDescent="0.25">
      <c r="B28" s="569"/>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1"/>
      <c r="BO28" s="570"/>
    </row>
    <row r="29" spans="2:67" ht="15" x14ac:dyDescent="0.25">
      <c r="B29" s="569"/>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1"/>
      <c r="BO29" s="570"/>
    </row>
    <row r="30" spans="2:67" ht="15" x14ac:dyDescent="0.25">
      <c r="B30" s="569"/>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1"/>
      <c r="BO30" s="570"/>
    </row>
    <row r="31" spans="2:67" ht="15" x14ac:dyDescent="0.25">
      <c r="B31" s="569"/>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1"/>
      <c r="BO31" s="570"/>
    </row>
    <row r="32" spans="2:67" ht="15" x14ac:dyDescent="0.25">
      <c r="B32" s="569"/>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1"/>
      <c r="BO32" s="570"/>
    </row>
    <row r="33" spans="2:67" ht="15" x14ac:dyDescent="0.25">
      <c r="B33" s="569"/>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1"/>
      <c r="BO33" s="570"/>
    </row>
    <row r="34" spans="2:67" ht="15" x14ac:dyDescent="0.25">
      <c r="B34" s="569"/>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1"/>
      <c r="BO34" s="570"/>
    </row>
    <row r="35" spans="2:67" ht="15" x14ac:dyDescent="0.25">
      <c r="B35" s="569"/>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1"/>
      <c r="BO35" s="570"/>
    </row>
    <row r="36" spans="2:67" ht="15" x14ac:dyDescent="0.25">
      <c r="B36" s="569"/>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1"/>
      <c r="BO36" s="570"/>
    </row>
    <row r="37" spans="2:67" ht="15" x14ac:dyDescent="0.25">
      <c r="B37" s="569"/>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1"/>
      <c r="BO37" s="570"/>
    </row>
    <row r="38" spans="2:67" ht="51.75" customHeight="1" x14ac:dyDescent="0.25">
      <c r="B38" s="569"/>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1"/>
      <c r="BO38" s="570"/>
    </row>
    <row r="39" spans="2:67" ht="51.75" customHeight="1" x14ac:dyDescent="0.25">
      <c r="B39" s="569"/>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1"/>
      <c r="BO39" s="570"/>
    </row>
  </sheetData>
  <autoFilter ref="B1:BO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26">
    <mergeCell ref="M2:O2"/>
    <mergeCell ref="P2:R2"/>
    <mergeCell ref="BI2:BK2"/>
    <mergeCell ref="AQ2:AS2"/>
    <mergeCell ref="AN2:AP2"/>
    <mergeCell ref="AZ2:BB2"/>
    <mergeCell ref="AK2:AM2"/>
    <mergeCell ref="AT2:AV2"/>
    <mergeCell ref="BC2:BE2"/>
    <mergeCell ref="BF2:BH2"/>
    <mergeCell ref="B1:BN1"/>
    <mergeCell ref="B2:B3"/>
    <mergeCell ref="C2:C3"/>
    <mergeCell ref="D2:D3"/>
    <mergeCell ref="E2:E3"/>
    <mergeCell ref="F2:F3"/>
    <mergeCell ref="G2:I2"/>
    <mergeCell ref="J2:L2"/>
    <mergeCell ref="S2:U2"/>
    <mergeCell ref="V2:X2"/>
    <mergeCell ref="Y2:AA2"/>
    <mergeCell ref="AB2:AD2"/>
    <mergeCell ref="AE2:AG2"/>
    <mergeCell ref="AH2:AJ2"/>
    <mergeCell ref="BL2:BN2"/>
    <mergeCell ref="AW2:AY2"/>
  </mergeCells>
  <pageMargins left="0.7" right="0.7" top="0.75" bottom="0.75" header="0.3" footer="0.3"/>
  <pageSetup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data!$A$2:$A$20</xm:f>
          </x14:formula1>
          <xm:sqref>C1 C4:C8 C13:C1048576</xm:sqref>
        </x14:dataValidation>
        <x14:dataValidation type="list" allowBlank="1" showInputMessage="1" showErrorMessage="1">
          <x14:formula1>
            <xm:f>data!$A$2:$A$21</xm:f>
          </x14:formula1>
          <xm:sqref>C9</xm:sqref>
        </x14:dataValidation>
        <x14:dataValidation type="list" allowBlank="1" showInputMessage="1" showErrorMessage="1">
          <x14:formula1>
            <xm:f>data!$A$2:$A$22</xm:f>
          </x14:formula1>
          <xm:sqref>C10:C12</xm:sqref>
        </x14:dataValidation>
        <x14:dataValidation type="list" allowBlank="1" showInputMessage="1" showErrorMessage="1">
          <x14:formula1>
            <xm:f>data!$A$2:$A$15</xm:f>
          </x14:formula1>
          <xm:sqref>D1:D1048576</xm:sqref>
        </x14:dataValidation>
        <x14:dataValidation type="list" allowBlank="1" showInputMessage="1" showErrorMessage="1">
          <x14:formula1>
            <xm:f>data!$B$2:$B$3</xm:f>
          </x14:formula1>
          <xm:sqref>E1:E1048576</xm:sqref>
        </x14:dataValidation>
        <x14:dataValidation type="list" allowBlank="1" showInputMessage="1" showErrorMessage="1">
          <x14:formula1>
            <xm:f>data!$D$2:$D$22</xm:f>
          </x14:formula1>
          <xm:sqref>F1:F1048576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DP366"/>
  <sheetViews>
    <sheetView showGridLines="0" showZeros="0" view="pageLayout" topLeftCell="A5" zoomScaleNormal="100" workbookViewId="0">
      <pane ySplit="2775" topLeftCell="A8"/>
      <selection activeCell="A5" sqref="A5"/>
      <selection pane="bottomLeft" activeCell="L361" sqref="A361:XFD361"/>
    </sheetView>
  </sheetViews>
  <sheetFormatPr defaultColWidth="8.85546875" defaultRowHeight="15" x14ac:dyDescent="0.25"/>
  <cols>
    <col min="1" max="1" width="1.28515625" style="534" customWidth="1"/>
    <col min="2" max="2" width="18.7109375" style="559" customWidth="1"/>
    <col min="3" max="3" width="14.140625" style="559" customWidth="1"/>
    <col min="4" max="4" width="15" style="555" customWidth="1"/>
    <col min="5" max="5" width="26.140625" style="555" customWidth="1"/>
    <col min="6" max="6" width="13" style="555" customWidth="1"/>
    <col min="7" max="7" width="17.28515625" style="555" bestFit="1" customWidth="1"/>
    <col min="8" max="8" width="38.85546875" style="555" bestFit="1" customWidth="1"/>
    <col min="9" max="9" width="20.7109375" style="534" bestFit="1" customWidth="1"/>
    <col min="10" max="11" width="11" style="534" customWidth="1"/>
    <col min="12" max="27" width="11" style="533" customWidth="1"/>
    <col min="28" max="28" width="22.7109375" style="533" customWidth="1"/>
    <col min="29" max="45" width="22.7109375" style="533" hidden="1" customWidth="1"/>
    <col min="46" max="46" width="22.7109375" style="533" customWidth="1"/>
    <col min="47" max="47" width="22.7109375" style="534" customWidth="1"/>
    <col min="48" max="48" width="67.28515625" style="534" bestFit="1" customWidth="1"/>
    <col min="49" max="120" width="8.85546875" style="183"/>
    <col min="121" max="16384" width="8.85546875" style="534"/>
  </cols>
  <sheetData>
    <row r="1" spans="2:119" ht="7.9" customHeight="1" x14ac:dyDescent="0.25"/>
    <row r="2" spans="2:119" ht="33" customHeight="1" x14ac:dyDescent="0.25">
      <c r="B2" s="835" t="s">
        <v>414</v>
      </c>
      <c r="C2" s="835"/>
      <c r="D2" s="835"/>
      <c r="E2" s="835"/>
      <c r="F2" s="835"/>
      <c r="G2" s="835"/>
      <c r="H2" s="835"/>
      <c r="I2" s="835"/>
      <c r="J2" s="835"/>
      <c r="K2" s="835"/>
      <c r="L2" s="835"/>
      <c r="M2" s="835"/>
      <c r="N2" s="835"/>
      <c r="O2" s="835"/>
      <c r="P2" s="835"/>
      <c r="Q2" s="835" t="s">
        <v>541</v>
      </c>
      <c r="R2" s="835"/>
      <c r="S2" s="835"/>
      <c r="T2" s="835"/>
      <c r="U2" s="835"/>
      <c r="V2" s="835"/>
      <c r="W2" s="835" t="s">
        <v>1220</v>
      </c>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560"/>
    </row>
    <row r="3" spans="2:119" ht="18" customHeight="1" x14ac:dyDescent="0.25">
      <c r="B3" s="837">
        <f>Definition!B23</f>
        <v>43404</v>
      </c>
      <c r="C3" s="837"/>
      <c r="D3" s="837"/>
      <c r="E3" s="837"/>
      <c r="F3" s="837"/>
      <c r="G3" s="837"/>
      <c r="H3" s="837"/>
      <c r="I3" s="837"/>
      <c r="J3" s="837"/>
      <c r="K3" s="837"/>
      <c r="L3" s="837"/>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560"/>
    </row>
    <row r="4" spans="2:119" ht="18" hidden="1" customHeight="1" x14ac:dyDescent="0.25">
      <c r="B4" s="836"/>
      <c r="C4" s="836"/>
      <c r="D4" s="836"/>
      <c r="E4" s="836"/>
      <c r="F4" s="535"/>
      <c r="G4" s="535"/>
      <c r="H4" s="535"/>
      <c r="I4" s="536"/>
      <c r="J4" s="536"/>
      <c r="K4" s="536"/>
      <c r="L4" s="537"/>
      <c r="M4" s="537"/>
      <c r="N4" s="537"/>
      <c r="P4" s="537"/>
      <c r="Q4" s="537"/>
      <c r="R4" s="537"/>
      <c r="S4" s="537"/>
      <c r="T4" s="537"/>
      <c r="U4" s="537"/>
      <c r="V4" s="537"/>
      <c r="W4" s="537"/>
      <c r="X4" s="537"/>
      <c r="Y4" s="537"/>
      <c r="Z4" s="537"/>
      <c r="AA4" s="537"/>
      <c r="AB4" s="537"/>
      <c r="AC4" s="537"/>
      <c r="AD4" s="537"/>
      <c r="AE4" s="537"/>
      <c r="AF4" s="538"/>
      <c r="AG4" s="537"/>
      <c r="AH4" s="537"/>
    </row>
    <row r="5" spans="2:119" s="539" customFormat="1" ht="69.75" customHeight="1" x14ac:dyDescent="0.25">
      <c r="B5" s="654" t="s">
        <v>408</v>
      </c>
      <c r="C5" s="561" t="s">
        <v>1633</v>
      </c>
      <c r="D5" s="562" t="s">
        <v>1297</v>
      </c>
      <c r="E5" s="562" t="s">
        <v>409</v>
      </c>
      <c r="F5" s="562" t="s">
        <v>392</v>
      </c>
      <c r="G5" s="562" t="s">
        <v>0</v>
      </c>
      <c r="H5" s="562" t="s">
        <v>1521</v>
      </c>
      <c r="I5" s="561" t="s">
        <v>1376</v>
      </c>
      <c r="J5" s="561" t="s">
        <v>421</v>
      </c>
      <c r="K5" s="561" t="s">
        <v>1581</v>
      </c>
      <c r="L5" s="561" t="s">
        <v>400</v>
      </c>
      <c r="M5" s="561" t="s">
        <v>422</v>
      </c>
      <c r="N5" s="561" t="s">
        <v>536</v>
      </c>
      <c r="O5" s="561" t="s">
        <v>423</v>
      </c>
      <c r="P5" s="561" t="s">
        <v>415</v>
      </c>
      <c r="Q5" s="561" t="s">
        <v>416</v>
      </c>
      <c r="R5" s="561" t="s">
        <v>1015</v>
      </c>
      <c r="S5" s="561" t="s">
        <v>525</v>
      </c>
      <c r="T5" s="561" t="s">
        <v>526</v>
      </c>
      <c r="U5" s="561" t="s">
        <v>849</v>
      </c>
      <c r="V5" s="561" t="s">
        <v>853</v>
      </c>
      <c r="W5" s="561" t="s">
        <v>857</v>
      </c>
      <c r="X5" s="561" t="s">
        <v>946</v>
      </c>
      <c r="Y5" s="561" t="s">
        <v>1072</v>
      </c>
      <c r="Z5" s="561" t="s">
        <v>1394</v>
      </c>
      <c r="AA5" s="561" t="s">
        <v>1084</v>
      </c>
      <c r="AB5" s="561" t="s">
        <v>1085</v>
      </c>
      <c r="AC5" s="561" t="s">
        <v>964</v>
      </c>
      <c r="AD5" s="561" t="s">
        <v>965</v>
      </c>
      <c r="AE5" s="561" t="s">
        <v>966</v>
      </c>
      <c r="AF5" s="561" t="s">
        <v>967</v>
      </c>
      <c r="AG5" s="561" t="s">
        <v>969</v>
      </c>
      <c r="AH5" s="561" t="s">
        <v>968</v>
      </c>
      <c r="AI5" s="561" t="s">
        <v>1016</v>
      </c>
      <c r="AJ5" s="561" t="s">
        <v>970</v>
      </c>
      <c r="AK5" s="561" t="s">
        <v>971</v>
      </c>
      <c r="AL5" s="561" t="s">
        <v>972</v>
      </c>
      <c r="AM5" s="561" t="s">
        <v>973</v>
      </c>
      <c r="AN5" s="561" t="s">
        <v>974</v>
      </c>
      <c r="AO5" s="561" t="s">
        <v>975</v>
      </c>
      <c r="AP5" s="561" t="s">
        <v>978</v>
      </c>
      <c r="AQ5" s="561" t="s">
        <v>1073</v>
      </c>
      <c r="AR5" s="561" t="s">
        <v>1166</v>
      </c>
      <c r="AS5" s="561" t="s">
        <v>1167</v>
      </c>
      <c r="AT5" s="561" t="s">
        <v>511</v>
      </c>
      <c r="AU5" s="561" t="s">
        <v>456</v>
      </c>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row>
    <row r="6" spans="2:119" s="539" customFormat="1" ht="18.75" customHeight="1" x14ac:dyDescent="0.25">
      <c r="B6" s="540">
        <v>42737</v>
      </c>
      <c r="C6" s="540" t="str">
        <f>MONTH(Table_NFI[[#This Row],[Distribution Date]]) &amp; "/" &amp; YEAR(Table_NFI[[#This Row],[Distribution Date]])</f>
        <v>1/2017</v>
      </c>
      <c r="D6" s="198" t="s">
        <v>420</v>
      </c>
      <c r="E6" s="198" t="s">
        <v>424</v>
      </c>
      <c r="F6" s="198" t="s">
        <v>378</v>
      </c>
      <c r="G6" s="197" t="s">
        <v>309</v>
      </c>
      <c r="H6" s="198" t="s">
        <v>323</v>
      </c>
      <c r="I6" s="183"/>
      <c r="J6" s="541"/>
      <c r="K6" s="541"/>
      <c r="L6" s="541"/>
      <c r="M6" s="541"/>
      <c r="N6" s="541"/>
      <c r="O6" s="541"/>
      <c r="P6" s="541"/>
      <c r="Q6" s="541"/>
      <c r="R6" s="541"/>
      <c r="S6" s="541"/>
      <c r="T6" s="541"/>
      <c r="U6" s="541"/>
      <c r="V6" s="541"/>
      <c r="W6" s="541"/>
      <c r="X6" s="541"/>
      <c r="Y6" s="541"/>
      <c r="Z6" s="541"/>
      <c r="AA6" s="541"/>
      <c r="AB6" s="541">
        <v>17</v>
      </c>
      <c r="AC6" s="542" t="e">
        <f>IF(NFI_Expiration=1,IF(#REF!&lt;VLOOKUP(L$5,NFI,5,0),1,0)*Table_NFI[[#This Row],[NFI Core Kit]],Table_NFI[NFI Core Kit])</f>
        <v>#REF!</v>
      </c>
      <c r="AD6" s="542" t="e">
        <f>IF(NFI_Expiration=1,IF(#REF!&lt;VLOOKUP(M$5,NFI,5,0),1,0)*Table_NFI[[#This Row],[Sanitary Kit]],Table_NFI[Sanitary Kit])</f>
        <v>#REF!</v>
      </c>
      <c r="AE6" s="542" t="e">
        <f>IF(NFI_Expiration=1,IF(#REF!&lt;VLOOKUP(N$5,NFI,5,0),1,0)*Table_NFI[[#This Row],[Mosquito net]],Table_NFI[Mosquito net])</f>
        <v>#REF!</v>
      </c>
      <c r="AF6" s="542"/>
      <c r="AG6" s="542"/>
      <c r="AH6" s="542"/>
      <c r="AI6" s="542"/>
      <c r="AJ6" s="542"/>
      <c r="AK6" s="542"/>
      <c r="AL6" s="542"/>
      <c r="AM6" s="542"/>
      <c r="AN6" s="542"/>
      <c r="AO6" s="542"/>
      <c r="AP6" s="542">
        <f>IF(Table_NFI[[#This Row],[Winter Clothes Adult]]+Table_NFI[[#This Row],[Winter Clothes Children]]+Table_NFI[[#This Row],[Winter Items Other]]+Table_NFI[[#This Row],[Winter Blanket]]&gt;0,1,0)</f>
        <v>0</v>
      </c>
      <c r="AQ6" s="542"/>
      <c r="AR6" s="542"/>
      <c r="AS6" s="542"/>
      <c r="AT6" s="205" t="str">
        <f>IFERROR(VLOOKUP(Table_NFI[[#This Row],[Location]],CL,2,0),"")</f>
        <v>MMR001CMP040</v>
      </c>
      <c r="AU6" s="183" t="s">
        <v>1236</v>
      </c>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row>
    <row r="7" spans="2:119" s="539" customFormat="1" ht="18.75" customHeight="1" x14ac:dyDescent="0.25">
      <c r="B7" s="540">
        <v>42745</v>
      </c>
      <c r="C7" s="540" t="str">
        <f>MONTH(Table_NFI[[#This Row],[Distribution Date]]) &amp; "/" &amp; YEAR(Table_NFI[[#This Row],[Distribution Date]])</f>
        <v>1/2017</v>
      </c>
      <c r="D7" s="198" t="s">
        <v>420</v>
      </c>
      <c r="E7" s="198" t="s">
        <v>1088</v>
      </c>
      <c r="F7" s="198" t="s">
        <v>378</v>
      </c>
      <c r="G7" s="197" t="s">
        <v>237</v>
      </c>
      <c r="H7" s="198" t="s">
        <v>254</v>
      </c>
      <c r="I7" s="183"/>
      <c r="J7" s="541"/>
      <c r="K7" s="541"/>
      <c r="L7" s="541">
        <v>1</v>
      </c>
      <c r="M7" s="541">
        <v>1</v>
      </c>
      <c r="N7" s="541">
        <v>4</v>
      </c>
      <c r="O7" s="541">
        <v>1</v>
      </c>
      <c r="P7" s="541">
        <v>4</v>
      </c>
      <c r="Q7" s="541">
        <v>1</v>
      </c>
      <c r="R7" s="541"/>
      <c r="S7" s="541">
        <v>1</v>
      </c>
      <c r="T7" s="541">
        <v>4</v>
      </c>
      <c r="U7" s="541"/>
      <c r="V7" s="541"/>
      <c r="W7" s="541"/>
      <c r="X7" s="541"/>
      <c r="Y7" s="541">
        <v>1</v>
      </c>
      <c r="Z7" s="541"/>
      <c r="AA7" s="541"/>
      <c r="AB7" s="541"/>
      <c r="AC7" s="542"/>
      <c r="AD7" s="542"/>
      <c r="AE7" s="542"/>
      <c r="AF7" s="542"/>
      <c r="AG7" s="542"/>
      <c r="AH7" s="542"/>
      <c r="AI7" s="542"/>
      <c r="AJ7" s="542"/>
      <c r="AK7" s="542"/>
      <c r="AL7" s="542"/>
      <c r="AM7" s="542"/>
      <c r="AN7" s="542"/>
      <c r="AO7" s="542"/>
      <c r="AP7" s="542"/>
      <c r="AQ7" s="542"/>
      <c r="AR7" s="542"/>
      <c r="AS7" s="542"/>
      <c r="AT7" s="205" t="str">
        <f>IFERROR(VLOOKUP(Table_NFI[[#This Row],[Location]],CL,2,0),"")</f>
        <v>MMR001CMP019</v>
      </c>
      <c r="AU7" s="183" t="s">
        <v>1236</v>
      </c>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row>
    <row r="8" spans="2:119" s="539" customFormat="1" ht="18.75" customHeight="1" x14ac:dyDescent="0.25">
      <c r="B8" s="540">
        <v>42745</v>
      </c>
      <c r="C8" s="540" t="str">
        <f>MONTH(Table_NFI[[#This Row],[Distribution Date]]) &amp; "/" &amp; YEAR(Table_NFI[[#This Row],[Distribution Date]])</f>
        <v>1/2017</v>
      </c>
      <c r="D8" s="198" t="s">
        <v>420</v>
      </c>
      <c r="E8" s="198" t="s">
        <v>1088</v>
      </c>
      <c r="F8" s="198" t="s">
        <v>378</v>
      </c>
      <c r="G8" s="197" t="s">
        <v>309</v>
      </c>
      <c r="H8" s="198" t="s">
        <v>329</v>
      </c>
      <c r="I8" s="183"/>
      <c r="J8" s="541"/>
      <c r="K8" s="541"/>
      <c r="L8" s="541">
        <v>6</v>
      </c>
      <c r="M8" s="541">
        <v>6</v>
      </c>
      <c r="N8" s="541">
        <v>10</v>
      </c>
      <c r="O8" s="541">
        <v>6</v>
      </c>
      <c r="P8" s="541">
        <v>18</v>
      </c>
      <c r="Q8" s="541">
        <v>6</v>
      </c>
      <c r="R8" s="541"/>
      <c r="S8" s="541">
        <v>6</v>
      </c>
      <c r="T8" s="541">
        <v>17</v>
      </c>
      <c r="U8" s="541"/>
      <c r="V8" s="541"/>
      <c r="W8" s="541"/>
      <c r="X8" s="541"/>
      <c r="Y8" s="541">
        <v>6</v>
      </c>
      <c r="Z8" s="541"/>
      <c r="AA8" s="541"/>
      <c r="AB8" s="541"/>
      <c r="AC8" s="542"/>
      <c r="AD8" s="542"/>
      <c r="AE8" s="542"/>
      <c r="AF8" s="542"/>
      <c r="AG8" s="542"/>
      <c r="AH8" s="542"/>
      <c r="AI8" s="542"/>
      <c r="AJ8" s="542"/>
      <c r="AK8" s="542"/>
      <c r="AL8" s="542"/>
      <c r="AM8" s="542"/>
      <c r="AN8" s="542"/>
      <c r="AO8" s="542"/>
      <c r="AP8" s="542"/>
      <c r="AQ8" s="542"/>
      <c r="AR8" s="542"/>
      <c r="AS8" s="542"/>
      <c r="AT8" s="205" t="str">
        <f>IFERROR(VLOOKUP(Table_NFI[[#This Row],[Location]],CL,2,0),"")</f>
        <v>MMR001CMP029</v>
      </c>
      <c r="AU8" s="183" t="s">
        <v>1236</v>
      </c>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row>
    <row r="9" spans="2:119" s="539" customFormat="1" ht="18.75" customHeight="1" x14ac:dyDescent="0.25">
      <c r="B9" s="540">
        <v>42750</v>
      </c>
      <c r="C9" s="540" t="str">
        <f>MONTH(Table_NFI[[#This Row],[Distribution Date]]) &amp; "/" &amp; YEAR(Table_NFI[[#This Row],[Distribution Date]])</f>
        <v>1/2017</v>
      </c>
      <c r="D9" s="198" t="s">
        <v>420</v>
      </c>
      <c r="E9" s="198" t="s">
        <v>424</v>
      </c>
      <c r="F9" s="198" t="s">
        <v>378</v>
      </c>
      <c r="G9" s="198" t="s">
        <v>151</v>
      </c>
      <c r="H9" s="198" t="s">
        <v>811</v>
      </c>
      <c r="I9" s="183"/>
      <c r="J9" s="541"/>
      <c r="K9" s="541"/>
      <c r="L9" s="541">
        <v>15</v>
      </c>
      <c r="M9" s="541">
        <v>15</v>
      </c>
      <c r="N9" s="541">
        <v>15</v>
      </c>
      <c r="O9" s="541">
        <v>15</v>
      </c>
      <c r="P9" s="541">
        <v>15</v>
      </c>
      <c r="Q9" s="541">
        <v>15</v>
      </c>
      <c r="R9" s="541"/>
      <c r="S9" s="541">
        <v>15</v>
      </c>
      <c r="T9" s="541">
        <v>30</v>
      </c>
      <c r="U9" s="541"/>
      <c r="V9" s="541"/>
      <c r="W9" s="541"/>
      <c r="X9" s="541"/>
      <c r="Y9" s="541">
        <v>15</v>
      </c>
      <c r="Z9" s="541"/>
      <c r="AA9" s="541"/>
      <c r="AB9" s="541">
        <v>15</v>
      </c>
      <c r="AC9" s="542" t="e">
        <f>IF(NFI_Expiration=1,IF(#REF!&lt;VLOOKUP(L$5,NFI,5,0),1,0)*Table_NFI[[#This Row],[NFI Core Kit]],Table_NFI[NFI Core Kit])</f>
        <v>#REF!</v>
      </c>
      <c r="AD9" s="542" t="e">
        <f>IF(NFI_Expiration=1,IF(#REF!&lt;VLOOKUP(M$5,NFI,5,0),1,0)*Table_NFI[[#This Row],[Sanitary Kit]],Table_NFI[Sanitary Kit])</f>
        <v>#REF!</v>
      </c>
      <c r="AE9" s="542" t="e">
        <f>IF(NFI_Expiration=1,IF(#REF!&lt;VLOOKUP(N$5,NFI,5,0),1,0)*Table_NFI[[#This Row],[Mosquito net]],Table_NFI[Mosquito net])</f>
        <v>#REF!</v>
      </c>
      <c r="AF9" s="542"/>
      <c r="AG9" s="542"/>
      <c r="AH9" s="542"/>
      <c r="AI9" s="542"/>
      <c r="AJ9" s="542"/>
      <c r="AK9" s="542"/>
      <c r="AL9" s="542"/>
      <c r="AM9" s="542"/>
      <c r="AN9" s="542"/>
      <c r="AO9" s="542"/>
      <c r="AP9" s="542">
        <f>IF(Table_NFI[[#This Row],[Winter Clothes Adult]]+Table_NFI[[#This Row],[Winter Clothes Children]]+Table_NFI[[#This Row],[Winter Items Other]]+Table_NFI[[#This Row],[Winter Blanket]]&gt;0,1,0)</f>
        <v>0</v>
      </c>
      <c r="AQ9" s="542"/>
      <c r="AR9" s="542"/>
      <c r="AS9" s="542"/>
      <c r="AT9" s="205" t="str">
        <f>IFERROR(VLOOKUP(Table_NFI[[#This Row],[Location]],CL,2,0),"")</f>
        <v>MMR001CMP218</v>
      </c>
      <c r="AU9" s="183" t="s">
        <v>1236</v>
      </c>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row>
    <row r="10" spans="2:119" s="539" customFormat="1" ht="18.75" customHeight="1" x14ac:dyDescent="0.25">
      <c r="B10" s="540">
        <v>42750</v>
      </c>
      <c r="C10" s="540" t="str">
        <f>MONTH(Table_NFI[[#This Row],[Distribution Date]]) &amp; "/" &amp; YEAR(Table_NFI[[#This Row],[Distribution Date]])</f>
        <v>1/2017</v>
      </c>
      <c r="D10" s="197" t="s">
        <v>1380</v>
      </c>
      <c r="E10" s="197" t="s">
        <v>1380</v>
      </c>
      <c r="F10" s="544" t="s">
        <v>378</v>
      </c>
      <c r="G10" s="198" t="s">
        <v>151</v>
      </c>
      <c r="H10" s="198" t="s">
        <v>811</v>
      </c>
      <c r="I10" s="183"/>
      <c r="J10" s="541">
        <v>15</v>
      </c>
      <c r="K10" s="541"/>
      <c r="L10" s="541"/>
      <c r="M10" s="541">
        <v>135</v>
      </c>
      <c r="N10" s="541"/>
      <c r="O10" s="541"/>
      <c r="P10" s="541"/>
      <c r="Q10" s="541"/>
      <c r="R10" s="541"/>
      <c r="S10" s="541">
        <v>15</v>
      </c>
      <c r="T10" s="541"/>
      <c r="U10" s="541"/>
      <c r="V10" s="541"/>
      <c r="W10" s="541"/>
      <c r="X10" s="541"/>
      <c r="Y10" s="541">
        <v>15</v>
      </c>
      <c r="Z10" s="541"/>
      <c r="AA10" s="541"/>
      <c r="AB10" s="541"/>
      <c r="AC10" s="542" t="e">
        <f>IF(NFI_Expiration=1,IF(#REF!&lt;VLOOKUP(L$5,NFI,5,0),1,0)*Table_NFI[[#This Row],[NFI Core Kit]],Table_NFI[NFI Core Kit])</f>
        <v>#REF!</v>
      </c>
      <c r="AD10" s="542" t="e">
        <f>IF(NFI_Expiration=1,IF(#REF!&lt;VLOOKUP(M$5,NFI,5,0),1,0)*Table_NFI[[#This Row],[Sanitary Kit]],Table_NFI[Sanitary Kit])</f>
        <v>#REF!</v>
      </c>
      <c r="AE10" s="542" t="e">
        <f>IF(NFI_Expiration=1,IF(#REF!&lt;VLOOKUP(N$5,NFI,5,0),1,0)*Table_NFI[[#This Row],[Mosquito net]],Table_NFI[Mosquito net])</f>
        <v>#REF!</v>
      </c>
      <c r="AF10" s="542"/>
      <c r="AG10" s="542"/>
      <c r="AH10" s="542"/>
      <c r="AI10" s="542"/>
      <c r="AJ10" s="542"/>
      <c r="AK10" s="542"/>
      <c r="AL10" s="542"/>
      <c r="AM10" s="542"/>
      <c r="AN10" s="542"/>
      <c r="AO10" s="542"/>
      <c r="AP10" s="542">
        <f>IF(Table_NFI[[#This Row],[Winter Clothes Adult]]+Table_NFI[[#This Row],[Winter Clothes Children]]+Table_NFI[[#This Row],[Winter Items Other]]+Table_NFI[[#This Row],[Winter Blanket]]&gt;0,1,0)</f>
        <v>0</v>
      </c>
      <c r="AQ10" s="542"/>
      <c r="AR10" s="542"/>
      <c r="AS10" s="542"/>
      <c r="AT10" s="205" t="str">
        <f>IFERROR(VLOOKUP(Table_NFI[[#This Row],[Location]],CL,2,0),"")</f>
        <v>MMR001CMP218</v>
      </c>
      <c r="AU10" s="199" t="s">
        <v>1255</v>
      </c>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row>
    <row r="11" spans="2:119" s="539" customFormat="1" ht="18.75" customHeight="1" x14ac:dyDescent="0.25">
      <c r="B11" s="540">
        <v>42753</v>
      </c>
      <c r="C11" s="540" t="str">
        <f>MONTH(Table_NFI[[#This Row],[Distribution Date]]) &amp; "/" &amp; YEAR(Table_NFI[[#This Row],[Distribution Date]])</f>
        <v>1/2017</v>
      </c>
      <c r="D11" s="197" t="s">
        <v>1380</v>
      </c>
      <c r="E11" s="197" t="s">
        <v>1380</v>
      </c>
      <c r="F11" s="544" t="s">
        <v>378</v>
      </c>
      <c r="G11" s="197" t="s">
        <v>185</v>
      </c>
      <c r="H11" s="197" t="s">
        <v>194</v>
      </c>
      <c r="I11" s="197"/>
      <c r="J11" s="541">
        <v>73</v>
      </c>
      <c r="K11" s="541"/>
      <c r="L11" s="541">
        <v>73</v>
      </c>
      <c r="M11" s="541">
        <v>657</v>
      </c>
      <c r="N11" s="541">
        <v>146</v>
      </c>
      <c r="O11" s="541"/>
      <c r="P11" s="541">
        <v>146</v>
      </c>
      <c r="Q11" s="541"/>
      <c r="R11" s="541"/>
      <c r="S11" s="541">
        <v>73</v>
      </c>
      <c r="T11" s="541">
        <v>146</v>
      </c>
      <c r="U11" s="541"/>
      <c r="V11" s="541"/>
      <c r="W11" s="541"/>
      <c r="X11" s="541"/>
      <c r="Y11" s="541">
        <v>73</v>
      </c>
      <c r="Z11" s="541"/>
      <c r="AA11" s="541"/>
      <c r="AB11" s="541"/>
      <c r="AC11" s="542" t="e">
        <f>IF(NFI_Expiration=1,IF(#REF!&lt;VLOOKUP(L$5,NFI,5,0),1,0)*Table_NFI[[#This Row],[NFI Core Kit]],Table_NFI[NFI Core Kit])</f>
        <v>#REF!</v>
      </c>
      <c r="AD11" s="542" t="e">
        <f>IF(NFI_Expiration=1,IF(#REF!&lt;VLOOKUP(M$5,NFI,5,0),1,0)*Table_NFI[[#This Row],[Sanitary Kit]],Table_NFI[Sanitary Kit])</f>
        <v>#REF!</v>
      </c>
      <c r="AE11" s="542" t="e">
        <f>IF(NFI_Expiration=1,IF(#REF!&lt;VLOOKUP(N$5,NFI,5,0),1,0)*Table_NFI[[#This Row],[Mosquito net]],Table_NFI[Mosquito net])</f>
        <v>#REF!</v>
      </c>
      <c r="AF11" s="542"/>
      <c r="AG11" s="542"/>
      <c r="AH11" s="542"/>
      <c r="AI11" s="542"/>
      <c r="AJ11" s="542"/>
      <c r="AK11" s="542"/>
      <c r="AL11" s="542"/>
      <c r="AM11" s="542"/>
      <c r="AN11" s="542"/>
      <c r="AO11" s="542"/>
      <c r="AP11" s="542">
        <f>IF(Table_NFI[[#This Row],[Winter Clothes Adult]]+Table_NFI[[#This Row],[Winter Clothes Children]]+Table_NFI[[#This Row],[Winter Items Other]]+Table_NFI[[#This Row],[Winter Blanket]]&gt;0,1,0)</f>
        <v>0</v>
      </c>
      <c r="AQ11" s="542"/>
      <c r="AR11" s="542"/>
      <c r="AS11" s="542"/>
      <c r="AT11" s="205" t="str">
        <f>IFERROR(VLOOKUP(Table_NFI[[#This Row],[Location]],CL,2,0),"")</f>
        <v>MMR001CMP122</v>
      </c>
      <c r="AU11" s="199" t="s">
        <v>1255</v>
      </c>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row>
    <row r="12" spans="2:119" s="539" customFormat="1" ht="18.75" customHeight="1" x14ac:dyDescent="0.25">
      <c r="B12" s="540">
        <v>42753</v>
      </c>
      <c r="C12" s="540" t="str">
        <f>MONTH(Table_NFI[[#This Row],[Distribution Date]]) &amp; "/" &amp; YEAR(Table_NFI[[#This Row],[Distribution Date]])</f>
        <v>1/2017</v>
      </c>
      <c r="D12" s="197" t="s">
        <v>1380</v>
      </c>
      <c r="E12" s="197" t="s">
        <v>1380</v>
      </c>
      <c r="F12" s="198" t="s">
        <v>378</v>
      </c>
      <c r="G12" s="198" t="s">
        <v>309</v>
      </c>
      <c r="H12" s="197" t="s">
        <v>351</v>
      </c>
      <c r="I12" s="197"/>
      <c r="J12" s="541">
        <v>10</v>
      </c>
      <c r="K12" s="541"/>
      <c r="L12" s="541">
        <v>10</v>
      </c>
      <c r="M12" s="541">
        <v>90</v>
      </c>
      <c r="N12" s="541">
        <v>20</v>
      </c>
      <c r="O12" s="541"/>
      <c r="P12" s="541">
        <v>20</v>
      </c>
      <c r="Q12" s="541"/>
      <c r="R12" s="541"/>
      <c r="S12" s="541">
        <v>10</v>
      </c>
      <c r="T12" s="541">
        <v>20</v>
      </c>
      <c r="U12" s="541"/>
      <c r="V12" s="541"/>
      <c r="W12" s="541"/>
      <c r="X12" s="541"/>
      <c r="Y12" s="541">
        <v>10</v>
      </c>
      <c r="Z12" s="541"/>
      <c r="AA12" s="541"/>
      <c r="AB12" s="541"/>
      <c r="AC12" s="542" t="e">
        <f>IF(NFI_Expiration=1,IF(#REF!&lt;VLOOKUP(L$5,NFI,5,0),1,0)*Table_NFI[[#This Row],[NFI Core Kit]],Table_NFI[NFI Core Kit])</f>
        <v>#REF!</v>
      </c>
      <c r="AD12" s="542" t="e">
        <f>IF(NFI_Expiration=1,IF(#REF!&lt;VLOOKUP(M$5,NFI,5,0),1,0)*Table_NFI[[#This Row],[Sanitary Kit]],Table_NFI[Sanitary Kit])</f>
        <v>#REF!</v>
      </c>
      <c r="AE12" s="542" t="e">
        <f>IF(NFI_Expiration=1,IF(#REF!&lt;VLOOKUP(N$5,NFI,5,0),1,0)*Table_NFI[[#This Row],[Mosquito net]],Table_NFI[Mosquito net])</f>
        <v>#REF!</v>
      </c>
      <c r="AF12" s="542"/>
      <c r="AG12" s="542"/>
      <c r="AH12" s="542"/>
      <c r="AI12" s="542"/>
      <c r="AJ12" s="542"/>
      <c r="AK12" s="542"/>
      <c r="AL12" s="542"/>
      <c r="AM12" s="542"/>
      <c r="AN12" s="542"/>
      <c r="AO12" s="542"/>
      <c r="AP12" s="542">
        <f>IF(Table_NFI[[#This Row],[Winter Clothes Adult]]+Table_NFI[[#This Row],[Winter Clothes Children]]+Table_NFI[[#This Row],[Winter Items Other]]+Table_NFI[[#This Row],[Winter Blanket]]&gt;0,1,0)</f>
        <v>0</v>
      </c>
      <c r="AQ12" s="542"/>
      <c r="AR12" s="542"/>
      <c r="AS12" s="542"/>
      <c r="AT12" s="205" t="str">
        <f>IFERROR(VLOOKUP(Table_NFI[[#This Row],[Location]],CL,2,0),"")</f>
        <v>MMR001CMP116</v>
      </c>
      <c r="AU12" s="199" t="s">
        <v>1255</v>
      </c>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row>
    <row r="13" spans="2:119" s="539" customFormat="1" ht="18.75" customHeight="1" x14ac:dyDescent="0.25">
      <c r="B13" s="540">
        <v>42754</v>
      </c>
      <c r="C13" s="540" t="str">
        <f>MONTH(Table_NFI[[#This Row],[Distribution Date]]) &amp; "/" &amp; YEAR(Table_NFI[[#This Row],[Distribution Date]])</f>
        <v>1/2017</v>
      </c>
      <c r="D13" s="198" t="s">
        <v>420</v>
      </c>
      <c r="E13" s="198" t="s">
        <v>1088</v>
      </c>
      <c r="F13" s="198" t="s">
        <v>378</v>
      </c>
      <c r="G13" s="198" t="s">
        <v>309</v>
      </c>
      <c r="H13" s="198" t="s">
        <v>329</v>
      </c>
      <c r="I13" s="183"/>
      <c r="J13" s="541"/>
      <c r="K13" s="541"/>
      <c r="L13" s="541">
        <v>9</v>
      </c>
      <c r="M13" s="541">
        <v>9</v>
      </c>
      <c r="N13" s="541">
        <v>35</v>
      </c>
      <c r="O13" s="541">
        <v>9</v>
      </c>
      <c r="P13" s="541">
        <v>35</v>
      </c>
      <c r="Q13" s="541">
        <v>9</v>
      </c>
      <c r="R13" s="541"/>
      <c r="S13" s="541">
        <v>9</v>
      </c>
      <c r="T13" s="541">
        <v>35</v>
      </c>
      <c r="U13" s="541"/>
      <c r="V13" s="541"/>
      <c r="W13" s="541"/>
      <c r="X13" s="541"/>
      <c r="Y13" s="541">
        <v>9</v>
      </c>
      <c r="Z13" s="541"/>
      <c r="AA13" s="541"/>
      <c r="AB13" s="541">
        <v>9</v>
      </c>
      <c r="AC13" s="542" t="e">
        <f>IF(NFI_Expiration=1,IF(#REF!&lt;VLOOKUP(L$5,NFI,5,0),1,0)*Table_NFI[[#This Row],[NFI Core Kit]],Table_NFI[NFI Core Kit])</f>
        <v>#REF!</v>
      </c>
      <c r="AD13" s="542" t="e">
        <f>IF(NFI_Expiration=1,IF(#REF!&lt;VLOOKUP(M$5,NFI,5,0),1,0)*Table_NFI[[#This Row],[Sanitary Kit]],Table_NFI[Sanitary Kit])</f>
        <v>#REF!</v>
      </c>
      <c r="AE13" s="542" t="e">
        <f>IF(NFI_Expiration=1,IF(#REF!&lt;VLOOKUP(N$5,NFI,5,0),1,0)*Table_NFI[[#This Row],[Mosquito net]],Table_NFI[Mosquito net])</f>
        <v>#REF!</v>
      </c>
      <c r="AF13" s="542"/>
      <c r="AG13" s="542"/>
      <c r="AH13" s="542"/>
      <c r="AI13" s="542"/>
      <c r="AJ13" s="542"/>
      <c r="AK13" s="542"/>
      <c r="AL13" s="542"/>
      <c r="AM13" s="542"/>
      <c r="AN13" s="542"/>
      <c r="AO13" s="542"/>
      <c r="AP13" s="542">
        <f>IF(Table_NFI[[#This Row],[Winter Clothes Adult]]+Table_NFI[[#This Row],[Winter Clothes Children]]+Table_NFI[[#This Row],[Winter Items Other]]+Table_NFI[[#This Row],[Winter Blanket]]&gt;0,1,0)</f>
        <v>0</v>
      </c>
      <c r="AQ13" s="542"/>
      <c r="AR13" s="542"/>
      <c r="AS13" s="542"/>
      <c r="AT13" s="205" t="str">
        <f>IFERROR(VLOOKUP(Table_NFI[[#This Row],[Location]],CL,2,0),"")</f>
        <v>MMR001CMP029</v>
      </c>
      <c r="AU13" s="183" t="s">
        <v>1236</v>
      </c>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row>
    <row r="14" spans="2:119" s="539" customFormat="1" ht="18.75" customHeight="1" x14ac:dyDescent="0.25">
      <c r="B14" s="540">
        <v>42755</v>
      </c>
      <c r="C14" s="540" t="str">
        <f>MONTH(Table_NFI[[#This Row],[Distribution Date]]) &amp; "/" &amp; YEAR(Table_NFI[[#This Row],[Distribution Date]])</f>
        <v>1/2017</v>
      </c>
      <c r="D14" s="198" t="s">
        <v>420</v>
      </c>
      <c r="E14" s="198" t="s">
        <v>462</v>
      </c>
      <c r="F14" s="198" t="s">
        <v>378</v>
      </c>
      <c r="G14" s="198" t="s">
        <v>309</v>
      </c>
      <c r="H14" s="198" t="s">
        <v>327</v>
      </c>
      <c r="I14" s="183"/>
      <c r="J14" s="541"/>
      <c r="K14" s="541"/>
      <c r="L14" s="541">
        <v>5</v>
      </c>
      <c r="M14" s="541">
        <v>5</v>
      </c>
      <c r="N14" s="541">
        <v>21</v>
      </c>
      <c r="O14" s="541">
        <v>5</v>
      </c>
      <c r="P14" s="541">
        <v>21</v>
      </c>
      <c r="Q14" s="541">
        <v>5</v>
      </c>
      <c r="R14" s="541"/>
      <c r="S14" s="541">
        <v>5</v>
      </c>
      <c r="T14" s="541">
        <v>21</v>
      </c>
      <c r="U14" s="541"/>
      <c r="V14" s="541"/>
      <c r="W14" s="541"/>
      <c r="X14" s="541"/>
      <c r="Y14" s="541">
        <v>5</v>
      </c>
      <c r="Z14" s="541"/>
      <c r="AA14" s="541"/>
      <c r="AB14" s="541"/>
      <c r="AC14" s="542" t="e">
        <f>IF(NFI_Expiration=1,IF(#REF!&lt;VLOOKUP(L$5,NFI,5,0),1,0)*Table_NFI[[#This Row],[NFI Core Kit]],Table_NFI[NFI Core Kit])</f>
        <v>#REF!</v>
      </c>
      <c r="AD14" s="542" t="e">
        <f>IF(NFI_Expiration=1,IF(#REF!&lt;VLOOKUP(M$5,NFI,5,0),1,0)*Table_NFI[[#This Row],[Sanitary Kit]],Table_NFI[Sanitary Kit])</f>
        <v>#REF!</v>
      </c>
      <c r="AE14" s="542" t="e">
        <f>IF(NFI_Expiration=1,IF(#REF!&lt;VLOOKUP(N$5,NFI,5,0),1,0)*Table_NFI[[#This Row],[Mosquito net]],Table_NFI[Mosquito net])</f>
        <v>#REF!</v>
      </c>
      <c r="AF14" s="542"/>
      <c r="AG14" s="542"/>
      <c r="AH14" s="542"/>
      <c r="AI14" s="542"/>
      <c r="AJ14" s="542"/>
      <c r="AK14" s="542"/>
      <c r="AL14" s="542"/>
      <c r="AM14" s="542"/>
      <c r="AN14" s="542"/>
      <c r="AO14" s="542"/>
      <c r="AP14" s="542">
        <f>IF(Table_NFI[[#This Row],[Winter Clothes Adult]]+Table_NFI[[#This Row],[Winter Clothes Children]]+Table_NFI[[#This Row],[Winter Items Other]]+Table_NFI[[#This Row],[Winter Blanket]]&gt;0,1,0)</f>
        <v>0</v>
      </c>
      <c r="AQ14" s="542"/>
      <c r="AR14" s="542"/>
      <c r="AS14" s="542"/>
      <c r="AT14" s="205" t="str">
        <f>IFERROR(VLOOKUP(Table_NFI[[#This Row],[Location]],CL,2,0),"")</f>
        <v>MMR001CMP031</v>
      </c>
      <c r="AU14" s="183" t="s">
        <v>1236</v>
      </c>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row>
    <row r="15" spans="2:119" s="539" customFormat="1" ht="18.75" customHeight="1" x14ac:dyDescent="0.25">
      <c r="B15" s="540">
        <v>42755</v>
      </c>
      <c r="C15" s="540" t="str">
        <f>MONTH(Table_NFI[[#This Row],[Distribution Date]]) &amp; "/" &amp; YEAR(Table_NFI[[#This Row],[Distribution Date]])</f>
        <v>1/2017</v>
      </c>
      <c r="D15" s="198" t="s">
        <v>420</v>
      </c>
      <c r="E15" s="198" t="s">
        <v>462</v>
      </c>
      <c r="F15" s="198" t="s">
        <v>378</v>
      </c>
      <c r="G15" s="198" t="s">
        <v>309</v>
      </c>
      <c r="H15" s="198" t="s">
        <v>349</v>
      </c>
      <c r="I15" s="183"/>
      <c r="J15" s="541"/>
      <c r="K15" s="541"/>
      <c r="L15" s="541">
        <v>6</v>
      </c>
      <c r="M15" s="541">
        <v>6</v>
      </c>
      <c r="N15" s="541">
        <v>13</v>
      </c>
      <c r="O15" s="541">
        <v>6</v>
      </c>
      <c r="P15" s="541">
        <v>13</v>
      </c>
      <c r="Q15" s="541">
        <v>6</v>
      </c>
      <c r="R15" s="541"/>
      <c r="S15" s="541">
        <v>6</v>
      </c>
      <c r="T15" s="541">
        <v>13</v>
      </c>
      <c r="U15" s="541"/>
      <c r="V15" s="541"/>
      <c r="W15" s="541"/>
      <c r="X15" s="541"/>
      <c r="Y15" s="541">
        <v>6</v>
      </c>
      <c r="Z15" s="541"/>
      <c r="AA15" s="541"/>
      <c r="AB15" s="541"/>
      <c r="AC15" s="542" t="e">
        <f>IF(NFI_Expiration=1,IF(#REF!&lt;VLOOKUP(L$5,NFI,5,0),1,0)*Table_NFI[[#This Row],[NFI Core Kit]],Table_NFI[NFI Core Kit])</f>
        <v>#REF!</v>
      </c>
      <c r="AD15" s="542" t="e">
        <f>IF(NFI_Expiration=1,IF(#REF!&lt;VLOOKUP(M$5,NFI,5,0),1,0)*Table_NFI[[#This Row],[Sanitary Kit]],Table_NFI[Sanitary Kit])</f>
        <v>#REF!</v>
      </c>
      <c r="AE15" s="542" t="e">
        <f>IF(NFI_Expiration=1,IF(#REF!&lt;VLOOKUP(N$5,NFI,5,0),1,0)*Table_NFI[[#This Row],[Mosquito net]],Table_NFI[Mosquito net])</f>
        <v>#REF!</v>
      </c>
      <c r="AF15" s="542"/>
      <c r="AG15" s="542"/>
      <c r="AH15" s="542"/>
      <c r="AI15" s="542"/>
      <c r="AJ15" s="542"/>
      <c r="AK15" s="542"/>
      <c r="AL15" s="542"/>
      <c r="AM15" s="542"/>
      <c r="AN15" s="542"/>
      <c r="AO15" s="542"/>
      <c r="AP15" s="542">
        <f>IF(Table_NFI[[#This Row],[Winter Clothes Adult]]+Table_NFI[[#This Row],[Winter Clothes Children]]+Table_NFI[[#This Row],[Winter Items Other]]+Table_NFI[[#This Row],[Winter Blanket]]&gt;0,1,0)</f>
        <v>0</v>
      </c>
      <c r="AQ15" s="542"/>
      <c r="AR15" s="542"/>
      <c r="AS15" s="542"/>
      <c r="AT15" s="205" t="str">
        <f>IFERROR(VLOOKUP(Table_NFI[[#This Row],[Location]],CL,2,0),"")</f>
        <v>MMR001CMP026</v>
      </c>
      <c r="AU15" s="183" t="s">
        <v>1236</v>
      </c>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row>
    <row r="16" spans="2:119" s="539" customFormat="1" ht="18.75" customHeight="1" x14ac:dyDescent="0.25">
      <c r="B16" s="540">
        <v>42755</v>
      </c>
      <c r="C16" s="540" t="str">
        <f>MONTH(Table_NFI[[#This Row],[Distribution Date]]) &amp; "/" &amp; YEAR(Table_NFI[[#This Row],[Distribution Date]])</f>
        <v>1/2017</v>
      </c>
      <c r="D16" s="198" t="s">
        <v>420</v>
      </c>
      <c r="E16" s="198" t="s">
        <v>462</v>
      </c>
      <c r="F16" s="198" t="s">
        <v>378</v>
      </c>
      <c r="G16" s="198" t="s">
        <v>309</v>
      </c>
      <c r="H16" s="198" t="s">
        <v>317</v>
      </c>
      <c r="I16" s="183"/>
      <c r="J16" s="541"/>
      <c r="K16" s="541"/>
      <c r="L16" s="541">
        <v>9</v>
      </c>
      <c r="M16" s="541">
        <v>9</v>
      </c>
      <c r="N16" s="541">
        <v>19</v>
      </c>
      <c r="O16" s="541">
        <v>9</v>
      </c>
      <c r="P16" s="541">
        <v>19</v>
      </c>
      <c r="Q16" s="541">
        <v>9</v>
      </c>
      <c r="R16" s="541"/>
      <c r="S16" s="541">
        <v>9</v>
      </c>
      <c r="T16" s="541">
        <v>19</v>
      </c>
      <c r="U16" s="541"/>
      <c r="V16" s="541"/>
      <c r="W16" s="541"/>
      <c r="X16" s="541"/>
      <c r="Y16" s="541">
        <v>9</v>
      </c>
      <c r="Z16" s="541"/>
      <c r="AA16" s="541"/>
      <c r="AB16" s="541">
        <v>10</v>
      </c>
      <c r="AC16" s="542" t="e">
        <f>IF(NFI_Expiration=1,IF(#REF!&lt;VLOOKUP(L$5,NFI,5,0),1,0)*Table_NFI[[#This Row],[NFI Core Kit]],Table_NFI[NFI Core Kit])</f>
        <v>#REF!</v>
      </c>
      <c r="AD16" s="542" t="e">
        <f>IF(NFI_Expiration=1,IF(#REF!&lt;VLOOKUP(M$5,NFI,5,0),1,0)*Table_NFI[[#This Row],[Sanitary Kit]],Table_NFI[Sanitary Kit])</f>
        <v>#REF!</v>
      </c>
      <c r="AE16" s="542" t="e">
        <f>IF(NFI_Expiration=1,IF(#REF!&lt;VLOOKUP(N$5,NFI,5,0),1,0)*Table_NFI[[#This Row],[Mosquito net]],Table_NFI[Mosquito net])</f>
        <v>#REF!</v>
      </c>
      <c r="AF16" s="542"/>
      <c r="AG16" s="542"/>
      <c r="AH16" s="542"/>
      <c r="AI16" s="542"/>
      <c r="AJ16" s="542"/>
      <c r="AK16" s="542"/>
      <c r="AL16" s="542"/>
      <c r="AM16" s="542"/>
      <c r="AN16" s="542"/>
      <c r="AO16" s="542"/>
      <c r="AP16" s="542">
        <f>IF(Table_NFI[[#This Row],[Winter Clothes Adult]]+Table_NFI[[#This Row],[Winter Clothes Children]]+Table_NFI[[#This Row],[Winter Items Other]]+Table_NFI[[#This Row],[Winter Blanket]]&gt;0,1,0)</f>
        <v>0</v>
      </c>
      <c r="AQ16" s="542"/>
      <c r="AR16" s="542"/>
      <c r="AS16" s="542"/>
      <c r="AT16" s="205" t="str">
        <f>IFERROR(VLOOKUP(Table_NFI[[#This Row],[Location]],CL,2,0),"")</f>
        <v>MMR001CMP032</v>
      </c>
      <c r="AU16" s="183" t="s">
        <v>1236</v>
      </c>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row>
    <row r="17" spans="2:119" s="539" customFormat="1" ht="18.75" customHeight="1" x14ac:dyDescent="0.25">
      <c r="B17" s="540">
        <v>42755</v>
      </c>
      <c r="C17" s="540" t="str">
        <f>MONTH(Table_NFI[[#This Row],[Distribution Date]]) &amp; "/" &amp; YEAR(Table_NFI[[#This Row],[Distribution Date]])</f>
        <v>1/2017</v>
      </c>
      <c r="D17" s="198" t="s">
        <v>420</v>
      </c>
      <c r="E17" s="198" t="s">
        <v>462</v>
      </c>
      <c r="F17" s="198" t="s">
        <v>378</v>
      </c>
      <c r="G17" s="198" t="s">
        <v>309</v>
      </c>
      <c r="H17" s="198" t="s">
        <v>315</v>
      </c>
      <c r="I17" s="183"/>
      <c r="J17" s="541"/>
      <c r="K17" s="541"/>
      <c r="L17" s="541">
        <v>6</v>
      </c>
      <c r="M17" s="541">
        <v>6</v>
      </c>
      <c r="N17" s="541">
        <v>17</v>
      </c>
      <c r="O17" s="541">
        <v>6</v>
      </c>
      <c r="P17" s="541">
        <v>17</v>
      </c>
      <c r="Q17" s="541">
        <v>6</v>
      </c>
      <c r="R17" s="541"/>
      <c r="S17" s="541">
        <v>6</v>
      </c>
      <c r="T17" s="541">
        <v>17</v>
      </c>
      <c r="U17" s="541"/>
      <c r="V17" s="541"/>
      <c r="W17" s="541"/>
      <c r="X17" s="541"/>
      <c r="Y17" s="541">
        <v>6</v>
      </c>
      <c r="Z17" s="541"/>
      <c r="AA17" s="541"/>
      <c r="AB17" s="541"/>
      <c r="AC17" s="542" t="e">
        <f>IF(NFI_Expiration=1,IF(#REF!&lt;VLOOKUP(L$5,NFI,5,0),1,0)*Table_NFI[[#This Row],[NFI Core Kit]],Table_NFI[NFI Core Kit])</f>
        <v>#REF!</v>
      </c>
      <c r="AD17" s="542" t="e">
        <f>IF(NFI_Expiration=1,IF(#REF!&lt;VLOOKUP(M$5,NFI,5,0),1,0)*Table_NFI[[#This Row],[Sanitary Kit]],Table_NFI[Sanitary Kit])</f>
        <v>#REF!</v>
      </c>
      <c r="AE17" s="542" t="e">
        <f>IF(NFI_Expiration=1,IF(#REF!&lt;VLOOKUP(N$5,NFI,5,0),1,0)*Table_NFI[[#This Row],[Mosquito net]],Table_NFI[Mosquito net])</f>
        <v>#REF!</v>
      </c>
      <c r="AF17" s="542"/>
      <c r="AG17" s="542"/>
      <c r="AH17" s="542"/>
      <c r="AI17" s="542"/>
      <c r="AJ17" s="542"/>
      <c r="AK17" s="542"/>
      <c r="AL17" s="542"/>
      <c r="AM17" s="542"/>
      <c r="AN17" s="542"/>
      <c r="AO17" s="542"/>
      <c r="AP17" s="542">
        <f>IF(Table_NFI[[#This Row],[Winter Clothes Adult]]+Table_NFI[[#This Row],[Winter Clothes Children]]+Table_NFI[[#This Row],[Winter Items Other]]+Table_NFI[[#This Row],[Winter Blanket]]&gt;0,1,0)</f>
        <v>0</v>
      </c>
      <c r="AQ17" s="542"/>
      <c r="AR17" s="542"/>
      <c r="AS17" s="542"/>
      <c r="AT17" s="205" t="str">
        <f>IFERROR(VLOOKUP(Table_NFI[[#This Row],[Location]],CL,2,0),"")</f>
        <v>MMR001CMP038</v>
      </c>
      <c r="AU17" s="183" t="s">
        <v>1236</v>
      </c>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row>
    <row r="18" spans="2:119" s="539" customFormat="1" ht="18.75" customHeight="1" x14ac:dyDescent="0.25">
      <c r="B18" s="540">
        <v>42755</v>
      </c>
      <c r="C18" s="540" t="str">
        <f>MONTH(Table_NFI[[#This Row],[Distribution Date]]) &amp; "/" &amp; YEAR(Table_NFI[[#This Row],[Distribution Date]])</f>
        <v>1/2017</v>
      </c>
      <c r="D18" s="198" t="s">
        <v>420</v>
      </c>
      <c r="E18" s="198" t="s">
        <v>462</v>
      </c>
      <c r="F18" s="198" t="s">
        <v>378</v>
      </c>
      <c r="G18" s="198" t="s">
        <v>309</v>
      </c>
      <c r="H18" s="198" t="s">
        <v>347</v>
      </c>
      <c r="I18" s="183"/>
      <c r="J18" s="541"/>
      <c r="K18" s="541"/>
      <c r="L18" s="541">
        <v>1</v>
      </c>
      <c r="M18" s="541">
        <v>1</v>
      </c>
      <c r="N18" s="541">
        <v>4</v>
      </c>
      <c r="O18" s="541">
        <v>1</v>
      </c>
      <c r="P18" s="541">
        <v>4</v>
      </c>
      <c r="Q18" s="541">
        <v>1</v>
      </c>
      <c r="R18" s="541"/>
      <c r="S18" s="541">
        <v>1</v>
      </c>
      <c r="T18" s="541">
        <v>4</v>
      </c>
      <c r="U18" s="541"/>
      <c r="V18" s="541"/>
      <c r="W18" s="541"/>
      <c r="X18" s="541"/>
      <c r="Y18" s="541">
        <v>1</v>
      </c>
      <c r="Z18" s="541"/>
      <c r="AA18" s="541"/>
      <c r="AB18" s="541"/>
      <c r="AC18" s="542" t="e">
        <f>IF(NFI_Expiration=1,IF(#REF!&lt;VLOOKUP(L$5,NFI,5,0),1,0)*Table_NFI[[#This Row],[NFI Core Kit]],Table_NFI[NFI Core Kit])</f>
        <v>#REF!</v>
      </c>
      <c r="AD18" s="542" t="e">
        <f>IF(NFI_Expiration=1,IF(#REF!&lt;VLOOKUP(M$5,NFI,5,0),1,0)*Table_NFI[[#This Row],[Sanitary Kit]],Table_NFI[Sanitary Kit])</f>
        <v>#REF!</v>
      </c>
      <c r="AE18" s="542" t="e">
        <f>IF(NFI_Expiration=1,IF(#REF!&lt;VLOOKUP(N$5,NFI,5,0),1,0)*Table_NFI[[#This Row],[Mosquito net]],Table_NFI[Mosquito net])</f>
        <v>#REF!</v>
      </c>
      <c r="AF18" s="542"/>
      <c r="AG18" s="542"/>
      <c r="AH18" s="542"/>
      <c r="AI18" s="542"/>
      <c r="AJ18" s="542"/>
      <c r="AK18" s="542"/>
      <c r="AL18" s="542"/>
      <c r="AM18" s="542"/>
      <c r="AN18" s="542"/>
      <c r="AO18" s="542"/>
      <c r="AP18" s="542">
        <f>IF(Table_NFI[[#This Row],[Winter Clothes Adult]]+Table_NFI[[#This Row],[Winter Clothes Children]]+Table_NFI[[#This Row],[Winter Items Other]]+Table_NFI[[#This Row],[Winter Blanket]]&gt;0,1,0)</f>
        <v>0</v>
      </c>
      <c r="AQ18" s="542"/>
      <c r="AR18" s="542"/>
      <c r="AS18" s="542"/>
      <c r="AT18" s="205" t="str">
        <f>IFERROR(VLOOKUP(Table_NFI[[#This Row],[Location]],CL,2,0),"")</f>
        <v>MMR001CMP037</v>
      </c>
      <c r="AU18" s="183" t="s">
        <v>1236</v>
      </c>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row>
    <row r="19" spans="2:119" s="539" customFormat="1" ht="18.75" customHeight="1" x14ac:dyDescent="0.25">
      <c r="B19" s="540">
        <v>42755</v>
      </c>
      <c r="C19" s="540" t="str">
        <f>MONTH(Table_NFI[[#This Row],[Distribution Date]]) &amp; "/" &amp; YEAR(Table_NFI[[#This Row],[Distribution Date]])</f>
        <v>1/2017</v>
      </c>
      <c r="D19" s="198" t="s">
        <v>420</v>
      </c>
      <c r="E19" s="198" t="s">
        <v>424</v>
      </c>
      <c r="F19" s="198" t="s">
        <v>378</v>
      </c>
      <c r="G19" s="198" t="s">
        <v>151</v>
      </c>
      <c r="H19" s="198" t="s">
        <v>802</v>
      </c>
      <c r="I19" s="183"/>
      <c r="J19" s="541"/>
      <c r="K19" s="541"/>
      <c r="L19" s="541">
        <v>11</v>
      </c>
      <c r="M19" s="541">
        <v>11</v>
      </c>
      <c r="N19" s="541">
        <v>32</v>
      </c>
      <c r="O19" s="541">
        <v>11</v>
      </c>
      <c r="P19" s="541">
        <v>32</v>
      </c>
      <c r="Q19" s="541">
        <v>11</v>
      </c>
      <c r="R19" s="541"/>
      <c r="S19" s="541">
        <v>11</v>
      </c>
      <c r="T19" s="541">
        <v>52</v>
      </c>
      <c r="U19" s="541"/>
      <c r="V19" s="541"/>
      <c r="W19" s="541"/>
      <c r="X19" s="541"/>
      <c r="Y19" s="541">
        <v>11</v>
      </c>
      <c r="Z19" s="541"/>
      <c r="AA19" s="541"/>
      <c r="AB19" s="541">
        <v>11</v>
      </c>
      <c r="AC19" s="542" t="e">
        <f>IF(NFI_Expiration=1,IF(#REF!&lt;VLOOKUP(L$5,NFI,5,0),1,0)*Table_NFI[[#This Row],[NFI Core Kit]],Table_NFI[NFI Core Kit])</f>
        <v>#REF!</v>
      </c>
      <c r="AD19" s="542" t="e">
        <f>IF(NFI_Expiration=1,IF(#REF!&lt;VLOOKUP(M$5,NFI,5,0),1,0)*Table_NFI[[#This Row],[Sanitary Kit]],Table_NFI[Sanitary Kit])</f>
        <v>#REF!</v>
      </c>
      <c r="AE19" s="542" t="e">
        <f>IF(NFI_Expiration=1,IF(#REF!&lt;VLOOKUP(N$5,NFI,5,0),1,0)*Table_NFI[[#This Row],[Mosquito net]],Table_NFI[Mosquito net])</f>
        <v>#REF!</v>
      </c>
      <c r="AF19" s="542"/>
      <c r="AG19" s="542"/>
      <c r="AH19" s="542"/>
      <c r="AI19" s="542"/>
      <c r="AJ19" s="542"/>
      <c r="AK19" s="542"/>
      <c r="AL19" s="542"/>
      <c r="AM19" s="542"/>
      <c r="AN19" s="542"/>
      <c r="AO19" s="542"/>
      <c r="AP19" s="542">
        <f>IF(Table_NFI[[#This Row],[Winter Clothes Adult]]+Table_NFI[[#This Row],[Winter Clothes Children]]+Table_NFI[[#This Row],[Winter Items Other]]+Table_NFI[[#This Row],[Winter Blanket]]&gt;0,1,0)</f>
        <v>0</v>
      </c>
      <c r="AQ19" s="542"/>
      <c r="AR19" s="542"/>
      <c r="AS19" s="542"/>
      <c r="AT19" s="205" t="str">
        <f>IFERROR(VLOOKUP(Table_NFI[[#This Row],[Location]],CL,2,0),"")</f>
        <v>MMR001CMP212</v>
      </c>
      <c r="AU19" s="183" t="s">
        <v>1236</v>
      </c>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row>
    <row r="20" spans="2:119" s="539" customFormat="1" ht="18.75" customHeight="1" x14ac:dyDescent="0.25">
      <c r="B20" s="540">
        <v>42758</v>
      </c>
      <c r="C20" s="540" t="str">
        <f>MONTH(Table_NFI[[#This Row],[Distribution Date]]) &amp; "/" &amp; YEAR(Table_NFI[[#This Row],[Distribution Date]])</f>
        <v>1/2017</v>
      </c>
      <c r="D20" s="197" t="s">
        <v>1380</v>
      </c>
      <c r="E20" s="197" t="s">
        <v>1380</v>
      </c>
      <c r="F20" s="198" t="s">
        <v>378</v>
      </c>
      <c r="G20" s="198" t="s">
        <v>309</v>
      </c>
      <c r="H20" s="198" t="s">
        <v>196</v>
      </c>
      <c r="I20" s="183"/>
      <c r="J20" s="541">
        <v>38</v>
      </c>
      <c r="K20" s="541"/>
      <c r="L20" s="541">
        <v>38</v>
      </c>
      <c r="M20" s="541">
        <v>342</v>
      </c>
      <c r="N20" s="541">
        <v>76</v>
      </c>
      <c r="O20" s="541"/>
      <c r="P20" s="541">
        <v>76</v>
      </c>
      <c r="Q20" s="541"/>
      <c r="R20" s="541"/>
      <c r="S20" s="541">
        <v>38</v>
      </c>
      <c r="T20" s="541">
        <v>76</v>
      </c>
      <c r="U20" s="541"/>
      <c r="V20" s="541"/>
      <c r="W20" s="541"/>
      <c r="X20" s="541"/>
      <c r="Y20" s="541">
        <v>38</v>
      </c>
      <c r="Z20" s="541"/>
      <c r="AA20" s="541"/>
      <c r="AB20" s="541"/>
      <c r="AC20" s="542"/>
      <c r="AD20" s="542"/>
      <c r="AE20" s="542"/>
      <c r="AF20" s="542"/>
      <c r="AG20" s="542"/>
      <c r="AH20" s="542"/>
      <c r="AI20" s="542"/>
      <c r="AJ20" s="542"/>
      <c r="AK20" s="542"/>
      <c r="AL20" s="542"/>
      <c r="AM20" s="542"/>
      <c r="AN20" s="542"/>
      <c r="AO20" s="542"/>
      <c r="AP20" s="542">
        <f>IF(Table_NFI[[#This Row],[Winter Clothes Adult]]+Table_NFI[[#This Row],[Winter Clothes Children]]+Table_NFI[[#This Row],[Winter Items Other]]+Table_NFI[[#This Row],[Winter Blanket]]&gt;0,1,0)</f>
        <v>0</v>
      </c>
      <c r="AQ20" s="542"/>
      <c r="AR20" s="542"/>
      <c r="AS20" s="542"/>
      <c r="AT20" s="205" t="str">
        <f>IFERROR(VLOOKUP(Table_NFI[[#This Row],[Location]],CL,2,0),"")</f>
        <v>MMR001CMP121</v>
      </c>
      <c r="AU20" s="199" t="s">
        <v>1255</v>
      </c>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row>
    <row r="21" spans="2:119" s="539" customFormat="1" ht="18.75" customHeight="1" x14ac:dyDescent="0.25">
      <c r="B21" s="540">
        <v>42758</v>
      </c>
      <c r="C21" s="540" t="str">
        <f>MONTH(Table_NFI[[#This Row],[Distribution Date]]) &amp; "/" &amp; YEAR(Table_NFI[[#This Row],[Distribution Date]])</f>
        <v>1/2017</v>
      </c>
      <c r="D21" s="198" t="s">
        <v>420</v>
      </c>
      <c r="E21" s="544" t="s">
        <v>1589</v>
      </c>
      <c r="F21" s="198" t="s">
        <v>378</v>
      </c>
      <c r="G21" s="198" t="s">
        <v>151</v>
      </c>
      <c r="H21" s="198" t="s">
        <v>801</v>
      </c>
      <c r="I21" s="183"/>
      <c r="J21" s="541"/>
      <c r="K21" s="541"/>
      <c r="L21" s="541">
        <v>24</v>
      </c>
      <c r="M21" s="541">
        <v>25</v>
      </c>
      <c r="N21" s="541">
        <v>45</v>
      </c>
      <c r="O21" s="541">
        <v>25</v>
      </c>
      <c r="P21" s="541">
        <v>45</v>
      </c>
      <c r="Q21" s="541">
        <v>25</v>
      </c>
      <c r="R21" s="541"/>
      <c r="S21" s="541">
        <v>25</v>
      </c>
      <c r="T21" s="541">
        <v>83</v>
      </c>
      <c r="U21" s="541"/>
      <c r="V21" s="541"/>
      <c r="W21" s="541"/>
      <c r="X21" s="541"/>
      <c r="Y21" s="541">
        <v>25</v>
      </c>
      <c r="Z21" s="541"/>
      <c r="AA21" s="541"/>
      <c r="AB21" s="541"/>
      <c r="AC21" s="542"/>
      <c r="AD21" s="542"/>
      <c r="AE21" s="542"/>
      <c r="AF21" s="542"/>
      <c r="AG21" s="542"/>
      <c r="AH21" s="542"/>
      <c r="AI21" s="542"/>
      <c r="AJ21" s="542"/>
      <c r="AK21" s="542"/>
      <c r="AL21" s="542"/>
      <c r="AM21" s="542"/>
      <c r="AN21" s="542"/>
      <c r="AO21" s="542"/>
      <c r="AP21" s="542">
        <f>IF(Table_NFI[[#This Row],[Winter Clothes Adult]]+Table_NFI[[#This Row],[Winter Clothes Children]]+Table_NFI[[#This Row],[Winter Items Other]]+Table_NFI[[#This Row],[Winter Blanket]]&gt;0,1,0)</f>
        <v>0</v>
      </c>
      <c r="AQ21" s="542"/>
      <c r="AR21" s="542"/>
      <c r="AS21" s="542"/>
      <c r="AT21" s="205" t="str">
        <f>IFERROR(VLOOKUP(Table_NFI[[#This Row],[Location]],CL,2,0),"")</f>
        <v>MMR001CMP213</v>
      </c>
      <c r="AU21" s="183" t="s">
        <v>1233</v>
      </c>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row>
    <row r="22" spans="2:119" s="539" customFormat="1" ht="18.75" customHeight="1" x14ac:dyDescent="0.25">
      <c r="B22" s="540">
        <v>42758</v>
      </c>
      <c r="C22" s="540" t="str">
        <f>MONTH(Table_NFI[[#This Row],[Distribution Date]]) &amp; "/" &amp; YEAR(Table_NFI[[#This Row],[Distribution Date]])</f>
        <v>1/2017</v>
      </c>
      <c r="D22" s="198" t="s">
        <v>420</v>
      </c>
      <c r="E22" s="544" t="s">
        <v>1589</v>
      </c>
      <c r="F22" s="198" t="s">
        <v>378</v>
      </c>
      <c r="G22" s="198" t="s">
        <v>151</v>
      </c>
      <c r="H22" s="198" t="s">
        <v>801</v>
      </c>
      <c r="I22" s="183"/>
      <c r="J22" s="541"/>
      <c r="K22" s="541"/>
      <c r="L22" s="541">
        <v>24</v>
      </c>
      <c r="M22" s="541">
        <v>25</v>
      </c>
      <c r="N22" s="541">
        <v>45</v>
      </c>
      <c r="O22" s="541">
        <v>25</v>
      </c>
      <c r="P22" s="541">
        <v>45</v>
      </c>
      <c r="Q22" s="541">
        <v>25</v>
      </c>
      <c r="R22" s="541"/>
      <c r="S22" s="541">
        <v>25</v>
      </c>
      <c r="T22" s="541">
        <v>83</v>
      </c>
      <c r="U22" s="541"/>
      <c r="V22" s="541"/>
      <c r="W22" s="541"/>
      <c r="X22" s="541"/>
      <c r="Y22" s="541"/>
      <c r="Z22" s="541"/>
      <c r="AA22" s="541"/>
      <c r="AB22" s="541"/>
      <c r="AC22" s="542"/>
      <c r="AD22" s="542"/>
      <c r="AE22" s="542"/>
      <c r="AF22" s="542"/>
      <c r="AG22" s="542"/>
      <c r="AH22" s="542"/>
      <c r="AI22" s="542"/>
      <c r="AJ22" s="542"/>
      <c r="AK22" s="542"/>
      <c r="AL22" s="542"/>
      <c r="AM22" s="542"/>
      <c r="AN22" s="542"/>
      <c r="AO22" s="542"/>
      <c r="AP22" s="542">
        <f>IF(Table_NFI[[#This Row],[Winter Clothes Adult]]+Table_NFI[[#This Row],[Winter Clothes Children]]+Table_NFI[[#This Row],[Winter Items Other]]+Table_NFI[[#This Row],[Winter Blanket]]&gt;0,1,0)</f>
        <v>0</v>
      </c>
      <c r="AQ22" s="542"/>
      <c r="AR22" s="542"/>
      <c r="AS22" s="542"/>
      <c r="AT22" s="205" t="str">
        <f>IFERROR(VLOOKUP(Table_NFI[[#This Row],[Location]],CL,2,0),"")</f>
        <v>MMR001CMP213</v>
      </c>
      <c r="AU22" s="183" t="s">
        <v>1233</v>
      </c>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row>
    <row r="23" spans="2:119" s="539" customFormat="1" ht="18.75" customHeight="1" x14ac:dyDescent="0.25">
      <c r="B23" s="540">
        <v>42761</v>
      </c>
      <c r="C23" s="540" t="str">
        <f>MONTH(Table_NFI[[#This Row],[Distribution Date]]) &amp; "/" &amp; YEAR(Table_NFI[[#This Row],[Distribution Date]])</f>
        <v>1/2017</v>
      </c>
      <c r="D23" s="198" t="s">
        <v>420</v>
      </c>
      <c r="E23" s="198" t="s">
        <v>424</v>
      </c>
      <c r="F23" s="198" t="s">
        <v>378</v>
      </c>
      <c r="G23" s="198" t="s">
        <v>309</v>
      </c>
      <c r="H23" s="198" t="s">
        <v>323</v>
      </c>
      <c r="I23" s="183"/>
      <c r="J23" s="541"/>
      <c r="K23" s="541"/>
      <c r="L23" s="541">
        <v>6</v>
      </c>
      <c r="M23" s="541">
        <v>6</v>
      </c>
      <c r="N23" s="541">
        <v>18</v>
      </c>
      <c r="O23" s="541">
        <v>6</v>
      </c>
      <c r="P23" s="541">
        <v>24</v>
      </c>
      <c r="Q23" s="541">
        <v>6</v>
      </c>
      <c r="R23" s="541"/>
      <c r="S23" s="541">
        <v>6</v>
      </c>
      <c r="T23" s="541">
        <v>24</v>
      </c>
      <c r="U23" s="541"/>
      <c r="V23" s="541"/>
      <c r="W23" s="541"/>
      <c r="X23" s="541"/>
      <c r="Y23" s="541">
        <v>6</v>
      </c>
      <c r="Z23" s="541"/>
      <c r="AA23" s="541"/>
      <c r="AB23" s="541">
        <v>6</v>
      </c>
      <c r="AC23" s="542"/>
      <c r="AD23" s="542"/>
      <c r="AE23" s="542"/>
      <c r="AF23" s="542"/>
      <c r="AG23" s="542"/>
      <c r="AH23" s="542"/>
      <c r="AI23" s="542"/>
      <c r="AJ23" s="542"/>
      <c r="AK23" s="542"/>
      <c r="AL23" s="542"/>
      <c r="AM23" s="542"/>
      <c r="AN23" s="542"/>
      <c r="AO23" s="542"/>
      <c r="AP23" s="542">
        <f>IF(Table_NFI[[#This Row],[Winter Clothes Adult]]+Table_NFI[[#This Row],[Winter Clothes Children]]+Table_NFI[[#This Row],[Winter Items Other]]+Table_NFI[[#This Row],[Winter Blanket]]&gt;0,1,0)</f>
        <v>0</v>
      </c>
      <c r="AQ23" s="542"/>
      <c r="AR23" s="542"/>
      <c r="AS23" s="542"/>
      <c r="AT23" s="205" t="str">
        <f>IFERROR(VLOOKUP(Table_NFI[[#This Row],[Location]],CL,2,0),"")</f>
        <v>MMR001CMP040</v>
      </c>
      <c r="AU23" s="183" t="s">
        <v>1236</v>
      </c>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row>
    <row r="24" spans="2:119" s="539" customFormat="1" ht="18.75" customHeight="1" x14ac:dyDescent="0.25">
      <c r="B24" s="540">
        <v>42763</v>
      </c>
      <c r="C24" s="540" t="str">
        <f>MONTH(Table_NFI[[#This Row],[Distribution Date]]) &amp; "/" &amp; YEAR(Table_NFI[[#This Row],[Distribution Date]])</f>
        <v>1/2017</v>
      </c>
      <c r="D24" s="198" t="s">
        <v>420</v>
      </c>
      <c r="E24" s="198" t="s">
        <v>1088</v>
      </c>
      <c r="F24" s="198" t="s">
        <v>378</v>
      </c>
      <c r="G24" s="198" t="s">
        <v>309</v>
      </c>
      <c r="H24" s="198" t="s">
        <v>329</v>
      </c>
      <c r="I24" s="183"/>
      <c r="J24" s="541"/>
      <c r="K24" s="541"/>
      <c r="L24" s="541"/>
      <c r="M24" s="541"/>
      <c r="N24" s="541"/>
      <c r="O24" s="541"/>
      <c r="P24" s="541"/>
      <c r="Q24" s="541"/>
      <c r="R24" s="541"/>
      <c r="S24" s="541"/>
      <c r="T24" s="541"/>
      <c r="U24" s="541"/>
      <c r="V24" s="541"/>
      <c r="W24" s="541"/>
      <c r="X24" s="541"/>
      <c r="Y24" s="541"/>
      <c r="Z24" s="541"/>
      <c r="AA24" s="541"/>
      <c r="AB24" s="541">
        <v>10</v>
      </c>
      <c r="AC24" s="542"/>
      <c r="AD24" s="542"/>
      <c r="AE24" s="542"/>
      <c r="AF24" s="542"/>
      <c r="AG24" s="542"/>
      <c r="AH24" s="542"/>
      <c r="AI24" s="542"/>
      <c r="AJ24" s="542"/>
      <c r="AK24" s="542"/>
      <c r="AL24" s="542"/>
      <c r="AM24" s="542"/>
      <c r="AN24" s="542"/>
      <c r="AO24" s="542"/>
      <c r="AP24" s="542">
        <f>IF(Table_NFI[[#This Row],[Winter Clothes Adult]]+Table_NFI[[#This Row],[Winter Clothes Children]]+Table_NFI[[#This Row],[Winter Items Other]]+Table_NFI[[#This Row],[Winter Blanket]]&gt;0,1,0)</f>
        <v>0</v>
      </c>
      <c r="AQ24" s="542"/>
      <c r="AR24" s="542"/>
      <c r="AS24" s="542"/>
      <c r="AT24" s="205" t="str">
        <f>IFERROR(VLOOKUP(Table_NFI[[#This Row],[Location]],CL,2,0),"")</f>
        <v>MMR001CMP029</v>
      </c>
      <c r="AU24" s="183" t="s">
        <v>1236</v>
      </c>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row>
    <row r="25" spans="2:119" s="539" customFormat="1" ht="18.75" customHeight="1" x14ac:dyDescent="0.25">
      <c r="B25" s="540">
        <v>42766</v>
      </c>
      <c r="C25" s="540" t="str">
        <f>MONTH(Table_NFI[[#This Row],[Distribution Date]]) &amp; "/" &amp; YEAR(Table_NFI[[#This Row],[Distribution Date]])</f>
        <v>1/2017</v>
      </c>
      <c r="D25" s="198" t="s">
        <v>420</v>
      </c>
      <c r="E25" s="198" t="s">
        <v>1088</v>
      </c>
      <c r="F25" s="198" t="s">
        <v>378</v>
      </c>
      <c r="G25" s="198" t="s">
        <v>237</v>
      </c>
      <c r="H25" s="198" t="s">
        <v>272</v>
      </c>
      <c r="I25" s="183"/>
      <c r="J25" s="541"/>
      <c r="K25" s="541"/>
      <c r="L25" s="541">
        <v>1</v>
      </c>
      <c r="M25" s="541">
        <v>1</v>
      </c>
      <c r="N25" s="541">
        <v>3</v>
      </c>
      <c r="O25" s="541">
        <v>1</v>
      </c>
      <c r="P25" s="541">
        <v>3</v>
      </c>
      <c r="Q25" s="541">
        <v>1</v>
      </c>
      <c r="R25" s="541"/>
      <c r="S25" s="541">
        <v>1</v>
      </c>
      <c r="T25" s="541">
        <v>3</v>
      </c>
      <c r="U25" s="541"/>
      <c r="V25" s="541"/>
      <c r="W25" s="541"/>
      <c r="X25" s="541"/>
      <c r="Y25" s="541">
        <v>1</v>
      </c>
      <c r="Z25" s="541"/>
      <c r="AA25" s="541"/>
      <c r="AB25" s="541"/>
      <c r="AC25" s="542"/>
      <c r="AD25" s="542"/>
      <c r="AE25" s="542"/>
      <c r="AF25" s="542"/>
      <c r="AG25" s="542"/>
      <c r="AH25" s="542"/>
      <c r="AI25" s="542"/>
      <c r="AJ25" s="542"/>
      <c r="AK25" s="542"/>
      <c r="AL25" s="542"/>
      <c r="AM25" s="542"/>
      <c r="AN25" s="542"/>
      <c r="AO25" s="542"/>
      <c r="AP25" s="542">
        <f>IF(Table_NFI[[#This Row],[Winter Clothes Adult]]+Table_NFI[[#This Row],[Winter Clothes Children]]+Table_NFI[[#This Row],[Winter Items Other]]+Table_NFI[[#This Row],[Winter Blanket]]&gt;0,1,0)</f>
        <v>0</v>
      </c>
      <c r="AQ25" s="542"/>
      <c r="AR25" s="542"/>
      <c r="AS25" s="542"/>
      <c r="AT25" s="205" t="str">
        <f>IFERROR(VLOOKUP(Table_NFI[[#This Row],[Location]],CL,2,0),"")</f>
        <v>MMR001CMP162</v>
      </c>
      <c r="AU25" s="183" t="s">
        <v>1234</v>
      </c>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row>
    <row r="26" spans="2:119" s="539" customFormat="1" ht="18.75" customHeight="1" x14ac:dyDescent="0.25">
      <c r="B26" s="540">
        <v>42766</v>
      </c>
      <c r="C26" s="540" t="str">
        <f>MONTH(Table_NFI[[#This Row],[Distribution Date]]) &amp; "/" &amp; YEAR(Table_NFI[[#This Row],[Distribution Date]])</f>
        <v>1/2017</v>
      </c>
      <c r="D26" s="198" t="s">
        <v>420</v>
      </c>
      <c r="E26" s="198" t="s">
        <v>1088</v>
      </c>
      <c r="F26" s="198" t="s">
        <v>378</v>
      </c>
      <c r="G26" s="198" t="s">
        <v>309</v>
      </c>
      <c r="H26" s="198" t="s">
        <v>329</v>
      </c>
      <c r="I26" s="183"/>
      <c r="J26" s="541"/>
      <c r="K26" s="541"/>
      <c r="L26" s="541">
        <v>22</v>
      </c>
      <c r="M26" s="541">
        <v>22</v>
      </c>
      <c r="N26" s="541">
        <v>76</v>
      </c>
      <c r="O26" s="541">
        <v>22</v>
      </c>
      <c r="P26" s="541">
        <v>76</v>
      </c>
      <c r="Q26" s="541">
        <v>22</v>
      </c>
      <c r="R26" s="541"/>
      <c r="S26" s="541">
        <v>22</v>
      </c>
      <c r="T26" s="541">
        <v>76</v>
      </c>
      <c r="U26" s="541"/>
      <c r="V26" s="541"/>
      <c r="W26" s="541"/>
      <c r="X26" s="541"/>
      <c r="Y26" s="541">
        <v>22</v>
      </c>
      <c r="Z26" s="541"/>
      <c r="AA26" s="541"/>
      <c r="AB26" s="541"/>
      <c r="AC26" s="542"/>
      <c r="AD26" s="542"/>
      <c r="AE26" s="542"/>
      <c r="AF26" s="542"/>
      <c r="AG26" s="542"/>
      <c r="AH26" s="542"/>
      <c r="AI26" s="542"/>
      <c r="AJ26" s="542"/>
      <c r="AK26" s="542"/>
      <c r="AL26" s="542"/>
      <c r="AM26" s="542"/>
      <c r="AN26" s="542"/>
      <c r="AO26" s="542"/>
      <c r="AP26" s="542">
        <f>IF(Table_NFI[[#This Row],[Winter Clothes Adult]]+Table_NFI[[#This Row],[Winter Clothes Children]]+Table_NFI[[#This Row],[Winter Items Other]]+Table_NFI[[#This Row],[Winter Blanket]]&gt;0,1,0)</f>
        <v>0</v>
      </c>
      <c r="AQ26" s="542"/>
      <c r="AR26" s="542"/>
      <c r="AS26" s="542"/>
      <c r="AT26" s="205" t="str">
        <f>IFERROR(VLOOKUP(Table_NFI[[#This Row],[Location]],CL,2,0),"")</f>
        <v>MMR001CMP029</v>
      </c>
      <c r="AU26" s="183" t="s">
        <v>1236</v>
      </c>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row>
    <row r="27" spans="2:119" s="539" customFormat="1" ht="18.75" customHeight="1" x14ac:dyDescent="0.25">
      <c r="B27" s="540">
        <v>42767</v>
      </c>
      <c r="C27" s="540" t="str">
        <f>MONTH(Table_NFI[[#This Row],[Distribution Date]]) &amp; "/" &amp; YEAR(Table_NFI[[#This Row],[Distribution Date]])</f>
        <v>2/2017</v>
      </c>
      <c r="D27" s="198" t="s">
        <v>420</v>
      </c>
      <c r="E27" s="198" t="s">
        <v>424</v>
      </c>
      <c r="F27" s="198" t="s">
        <v>378</v>
      </c>
      <c r="G27" s="198" t="s">
        <v>301</v>
      </c>
      <c r="H27" s="198" t="s">
        <v>305</v>
      </c>
      <c r="I27" s="183"/>
      <c r="J27" s="541"/>
      <c r="K27" s="541"/>
      <c r="L27" s="541"/>
      <c r="M27" s="541">
        <v>50</v>
      </c>
      <c r="N27" s="541"/>
      <c r="O27" s="541"/>
      <c r="P27" s="541"/>
      <c r="Q27" s="541"/>
      <c r="R27" s="541"/>
      <c r="S27" s="541"/>
      <c r="T27" s="541"/>
      <c r="U27" s="541"/>
      <c r="V27" s="541"/>
      <c r="W27" s="541"/>
      <c r="X27" s="541"/>
      <c r="Y27" s="541"/>
      <c r="Z27" s="541"/>
      <c r="AA27" s="541"/>
      <c r="AB27" s="541"/>
      <c r="AC27" s="542"/>
      <c r="AD27" s="542"/>
      <c r="AE27" s="542"/>
      <c r="AF27" s="542"/>
      <c r="AG27" s="542"/>
      <c r="AH27" s="542"/>
      <c r="AI27" s="542"/>
      <c r="AJ27" s="542"/>
      <c r="AK27" s="542"/>
      <c r="AL27" s="542"/>
      <c r="AM27" s="542"/>
      <c r="AN27" s="542"/>
      <c r="AO27" s="542"/>
      <c r="AP27" s="542">
        <f>IF(Table_NFI[[#This Row],[Winter Clothes Adult]]+Table_NFI[[#This Row],[Winter Clothes Children]]+Table_NFI[[#This Row],[Winter Items Other]]+Table_NFI[[#This Row],[Winter Blanket]]&gt;0,1,0)</f>
        <v>0</v>
      </c>
      <c r="AQ27" s="542"/>
      <c r="AR27" s="542"/>
      <c r="AS27" s="542"/>
      <c r="AT27" s="205" t="str">
        <f>IFERROR(VLOOKUP(Table_NFI[[#This Row],[Location]],CL,2,0),"")</f>
        <v>MMR001CMP067</v>
      </c>
      <c r="AU27" s="183" t="s">
        <v>1236</v>
      </c>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row>
    <row r="28" spans="2:119" s="539" customFormat="1" ht="18.75" customHeight="1" x14ac:dyDescent="0.25">
      <c r="B28" s="540">
        <v>42768</v>
      </c>
      <c r="C28" s="540" t="str">
        <f>MONTH(Table_NFI[[#This Row],[Distribution Date]]) &amp; "/" &amp; YEAR(Table_NFI[[#This Row],[Distribution Date]])</f>
        <v>2/2017</v>
      </c>
      <c r="D28" s="198" t="s">
        <v>420</v>
      </c>
      <c r="E28" s="544" t="s">
        <v>1589</v>
      </c>
      <c r="F28" s="198" t="s">
        <v>378</v>
      </c>
      <c r="G28" s="198" t="s">
        <v>151</v>
      </c>
      <c r="H28" s="198" t="s">
        <v>846</v>
      </c>
      <c r="I28" s="183"/>
      <c r="J28" s="541"/>
      <c r="K28" s="541"/>
      <c r="L28" s="541">
        <v>25</v>
      </c>
      <c r="M28" s="541">
        <v>25</v>
      </c>
      <c r="N28" s="541">
        <v>25</v>
      </c>
      <c r="O28" s="541">
        <v>25</v>
      </c>
      <c r="P28" s="541">
        <v>45</v>
      </c>
      <c r="Q28" s="541">
        <v>25</v>
      </c>
      <c r="R28" s="541"/>
      <c r="S28" s="541">
        <v>25</v>
      </c>
      <c r="T28" s="541">
        <v>83</v>
      </c>
      <c r="U28" s="541"/>
      <c r="V28" s="541"/>
      <c r="W28" s="541"/>
      <c r="X28" s="541"/>
      <c r="Y28" s="541">
        <v>25</v>
      </c>
      <c r="Z28" s="541"/>
      <c r="AA28" s="541"/>
      <c r="AB28" s="541"/>
      <c r="AC28" s="542"/>
      <c r="AD28" s="542"/>
      <c r="AE28" s="542"/>
      <c r="AF28" s="542"/>
      <c r="AG28" s="542"/>
      <c r="AH28" s="542"/>
      <c r="AI28" s="542"/>
      <c r="AJ28" s="542"/>
      <c r="AK28" s="542"/>
      <c r="AL28" s="542"/>
      <c r="AM28" s="542"/>
      <c r="AN28" s="542"/>
      <c r="AO28" s="542"/>
      <c r="AP28" s="542">
        <f>IF(Table_NFI[[#This Row],[Winter Clothes Adult]]+Table_NFI[[#This Row],[Winter Clothes Children]]+Table_NFI[[#This Row],[Winter Items Other]]+Table_NFI[[#This Row],[Winter Blanket]]&gt;0,1,0)</f>
        <v>0</v>
      </c>
      <c r="AQ28" s="542"/>
      <c r="AR28" s="542"/>
      <c r="AS28" s="542"/>
      <c r="AT28" s="205" t="str">
        <f>IFERROR(VLOOKUP(Table_NFI[[#This Row],[Location]],CL,2,0),"")</f>
        <v>MMR001CMP223</v>
      </c>
      <c r="AU28" s="183" t="s">
        <v>1236</v>
      </c>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row>
    <row r="29" spans="2:119" s="539" customFormat="1" ht="18.75" customHeight="1" x14ac:dyDescent="0.25">
      <c r="B29" s="540">
        <v>42775</v>
      </c>
      <c r="C29" s="540" t="str">
        <f>MONTH(Table_NFI[[#This Row],[Distribution Date]]) &amp; "/" &amp; YEAR(Table_NFI[[#This Row],[Distribution Date]])</f>
        <v>2/2017</v>
      </c>
      <c r="D29" s="198" t="s">
        <v>420</v>
      </c>
      <c r="E29" s="198" t="s">
        <v>424</v>
      </c>
      <c r="F29" s="198" t="s">
        <v>378</v>
      </c>
      <c r="G29" s="198" t="s">
        <v>309</v>
      </c>
      <c r="H29" s="198" t="s">
        <v>323</v>
      </c>
      <c r="I29" s="183"/>
      <c r="J29" s="541"/>
      <c r="K29" s="541"/>
      <c r="L29" s="541">
        <v>17</v>
      </c>
      <c r="M29" s="541">
        <v>17</v>
      </c>
      <c r="N29" s="541">
        <v>114</v>
      </c>
      <c r="O29" s="541">
        <v>17</v>
      </c>
      <c r="P29" s="541">
        <v>174</v>
      </c>
      <c r="Q29" s="541">
        <v>17</v>
      </c>
      <c r="R29" s="541"/>
      <c r="S29" s="541">
        <v>17</v>
      </c>
      <c r="T29" s="541">
        <v>188</v>
      </c>
      <c r="U29" s="541"/>
      <c r="V29" s="541"/>
      <c r="W29" s="541"/>
      <c r="X29" s="541"/>
      <c r="Y29" s="541">
        <v>17</v>
      </c>
      <c r="Z29" s="541"/>
      <c r="AA29" s="541"/>
      <c r="AB29" s="541">
        <v>49</v>
      </c>
      <c r="AC29" s="542"/>
      <c r="AD29" s="542"/>
      <c r="AE29" s="542"/>
      <c r="AF29" s="542"/>
      <c r="AG29" s="542"/>
      <c r="AH29" s="542"/>
      <c r="AI29" s="542"/>
      <c r="AJ29" s="542"/>
      <c r="AK29" s="542"/>
      <c r="AL29" s="542"/>
      <c r="AM29" s="542"/>
      <c r="AN29" s="542"/>
      <c r="AO29" s="542"/>
      <c r="AP29" s="542">
        <f>IF(Table_NFI[[#This Row],[Winter Clothes Adult]]+Table_NFI[[#This Row],[Winter Clothes Children]]+Table_NFI[[#This Row],[Winter Items Other]]+Table_NFI[[#This Row],[Winter Blanket]]&gt;0,1,0)</f>
        <v>0</v>
      </c>
      <c r="AQ29" s="542"/>
      <c r="AR29" s="542"/>
      <c r="AS29" s="542"/>
      <c r="AT29" s="205" t="str">
        <f>IFERROR(VLOOKUP(Table_NFI[[#This Row],[Location]],CL,2,0),"")</f>
        <v>MMR001CMP040</v>
      </c>
      <c r="AU29" s="183" t="s">
        <v>1236</v>
      </c>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row>
    <row r="30" spans="2:119" s="539" customFormat="1" ht="18.75" customHeight="1" x14ac:dyDescent="0.25">
      <c r="B30" s="540">
        <v>42776</v>
      </c>
      <c r="C30" s="540" t="str">
        <f>MONTH(Table_NFI[[#This Row],[Distribution Date]]) &amp; "/" &amp; YEAR(Table_NFI[[#This Row],[Distribution Date]])</f>
        <v>2/2017</v>
      </c>
      <c r="D30" s="198" t="s">
        <v>420</v>
      </c>
      <c r="E30" s="198" t="s">
        <v>424</v>
      </c>
      <c r="F30" s="198" t="s">
        <v>378</v>
      </c>
      <c r="G30" s="198" t="s">
        <v>237</v>
      </c>
      <c r="H30" s="198" t="s">
        <v>278</v>
      </c>
      <c r="I30" s="183"/>
      <c r="J30" s="541"/>
      <c r="K30" s="541"/>
      <c r="L30" s="541">
        <v>4</v>
      </c>
      <c r="M30" s="541">
        <v>4</v>
      </c>
      <c r="N30" s="541">
        <v>10</v>
      </c>
      <c r="O30" s="541">
        <v>4</v>
      </c>
      <c r="P30" s="541">
        <v>14</v>
      </c>
      <c r="Q30" s="541">
        <v>4</v>
      </c>
      <c r="R30" s="541"/>
      <c r="S30" s="541">
        <v>4</v>
      </c>
      <c r="T30" s="541">
        <v>14</v>
      </c>
      <c r="U30" s="541"/>
      <c r="V30" s="541"/>
      <c r="W30" s="541"/>
      <c r="X30" s="541"/>
      <c r="Y30" s="541">
        <v>4</v>
      </c>
      <c r="Z30" s="541"/>
      <c r="AA30" s="541"/>
      <c r="AB30" s="541"/>
      <c r="AC30" s="542"/>
      <c r="AD30" s="542"/>
      <c r="AE30" s="542"/>
      <c r="AF30" s="542"/>
      <c r="AG30" s="542"/>
      <c r="AH30" s="542"/>
      <c r="AI30" s="542"/>
      <c r="AJ30" s="542"/>
      <c r="AK30" s="542"/>
      <c r="AL30" s="542"/>
      <c r="AM30" s="542"/>
      <c r="AN30" s="542"/>
      <c r="AO30" s="542"/>
      <c r="AP30" s="542">
        <f>IF(Table_NFI[[#This Row],[Winter Clothes Adult]]+Table_NFI[[#This Row],[Winter Clothes Children]]+Table_NFI[[#This Row],[Winter Items Other]]+Table_NFI[[#This Row],[Winter Blanket]]&gt;0,1,0)</f>
        <v>0</v>
      </c>
      <c r="AQ30" s="542"/>
      <c r="AR30" s="542"/>
      <c r="AS30" s="542"/>
      <c r="AT30" s="205" t="str">
        <f>IFERROR(VLOOKUP(Table_NFI[[#This Row],[Location]],CL,2,0),"")</f>
        <v>MMR001CMP007</v>
      </c>
      <c r="AU30" s="183" t="s">
        <v>1236</v>
      </c>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row>
    <row r="31" spans="2:119" s="539" customFormat="1" ht="18.75" customHeight="1" x14ac:dyDescent="0.25">
      <c r="B31" s="540">
        <v>42776</v>
      </c>
      <c r="C31" s="540" t="str">
        <f>MONTH(Table_NFI[[#This Row],[Distribution Date]]) &amp; "/" &amp; YEAR(Table_NFI[[#This Row],[Distribution Date]])</f>
        <v>2/2017</v>
      </c>
      <c r="D31" s="198" t="s">
        <v>420</v>
      </c>
      <c r="E31" s="198" t="s">
        <v>424</v>
      </c>
      <c r="F31" s="198" t="s">
        <v>378</v>
      </c>
      <c r="G31" s="198" t="s">
        <v>237</v>
      </c>
      <c r="H31" s="198" t="s">
        <v>268</v>
      </c>
      <c r="I31" s="183"/>
      <c r="J31" s="541"/>
      <c r="K31" s="541"/>
      <c r="L31" s="541">
        <v>4</v>
      </c>
      <c r="M31" s="541">
        <v>4</v>
      </c>
      <c r="N31" s="541">
        <v>8</v>
      </c>
      <c r="O31" s="541">
        <v>4</v>
      </c>
      <c r="P31" s="541">
        <v>11</v>
      </c>
      <c r="Q31" s="541">
        <v>4</v>
      </c>
      <c r="R31" s="541"/>
      <c r="S31" s="541">
        <v>4</v>
      </c>
      <c r="T31" s="541">
        <v>11</v>
      </c>
      <c r="U31" s="541"/>
      <c r="V31" s="541"/>
      <c r="W31" s="541"/>
      <c r="X31" s="541"/>
      <c r="Y31" s="541">
        <v>4</v>
      </c>
      <c r="Z31" s="541"/>
      <c r="AA31" s="541"/>
      <c r="AB31" s="541"/>
      <c r="AC31" s="542"/>
      <c r="AD31" s="542"/>
      <c r="AE31" s="542"/>
      <c r="AF31" s="542"/>
      <c r="AG31" s="542"/>
      <c r="AH31" s="542"/>
      <c r="AI31" s="542"/>
      <c r="AJ31" s="542"/>
      <c r="AK31" s="542"/>
      <c r="AL31" s="542"/>
      <c r="AM31" s="542"/>
      <c r="AN31" s="542"/>
      <c r="AO31" s="542"/>
      <c r="AP31" s="542">
        <f>IF(Table_NFI[[#This Row],[Winter Clothes Adult]]+Table_NFI[[#This Row],[Winter Clothes Children]]+Table_NFI[[#This Row],[Winter Items Other]]+Table_NFI[[#This Row],[Winter Blanket]]&gt;0,1,0)</f>
        <v>0</v>
      </c>
      <c r="AQ31" s="542"/>
      <c r="AR31" s="542"/>
      <c r="AS31" s="542"/>
      <c r="AT31" s="205" t="str">
        <f>IFERROR(VLOOKUP(Table_NFI[[#This Row],[Location]],CL,2,0),"")</f>
        <v>MMR001CMP002</v>
      </c>
      <c r="AU31" s="183" t="s">
        <v>1236</v>
      </c>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row>
    <row r="32" spans="2:119" s="539" customFormat="1" ht="18.75" customHeight="1" x14ac:dyDescent="0.25">
      <c r="B32" s="540">
        <v>42776</v>
      </c>
      <c r="C32" s="540" t="str">
        <f>MONTH(Table_NFI[[#This Row],[Distribution Date]]) &amp; "/" &amp; YEAR(Table_NFI[[#This Row],[Distribution Date]])</f>
        <v>2/2017</v>
      </c>
      <c r="D32" s="198" t="s">
        <v>420</v>
      </c>
      <c r="E32" s="198" t="s">
        <v>424</v>
      </c>
      <c r="F32" s="198" t="s">
        <v>378</v>
      </c>
      <c r="G32" s="198" t="s">
        <v>237</v>
      </c>
      <c r="H32" s="198" t="s">
        <v>250</v>
      </c>
      <c r="I32" s="183"/>
      <c r="J32" s="541"/>
      <c r="K32" s="541"/>
      <c r="L32" s="541">
        <v>1</v>
      </c>
      <c r="M32" s="541">
        <v>1</v>
      </c>
      <c r="N32" s="541">
        <v>2</v>
      </c>
      <c r="O32" s="541">
        <v>1</v>
      </c>
      <c r="P32" s="541">
        <v>3</v>
      </c>
      <c r="Q32" s="541">
        <v>1</v>
      </c>
      <c r="R32" s="541"/>
      <c r="S32" s="541">
        <v>1</v>
      </c>
      <c r="T32" s="541">
        <v>3</v>
      </c>
      <c r="U32" s="541"/>
      <c r="V32" s="541"/>
      <c r="W32" s="541"/>
      <c r="X32" s="541"/>
      <c r="Y32" s="541">
        <v>1</v>
      </c>
      <c r="Z32" s="541"/>
      <c r="AA32" s="541"/>
      <c r="AB32" s="541"/>
      <c r="AC32" s="542"/>
      <c r="AD32" s="542"/>
      <c r="AE32" s="542"/>
      <c r="AF32" s="542"/>
      <c r="AG32" s="542"/>
      <c r="AH32" s="542"/>
      <c r="AI32" s="542"/>
      <c r="AJ32" s="542"/>
      <c r="AK32" s="542"/>
      <c r="AL32" s="542"/>
      <c r="AM32" s="542"/>
      <c r="AN32" s="542"/>
      <c r="AO32" s="542"/>
      <c r="AP32" s="542">
        <f>IF(Table_NFI[[#This Row],[Winter Clothes Adult]]+Table_NFI[[#This Row],[Winter Clothes Children]]+Table_NFI[[#This Row],[Winter Items Other]]+Table_NFI[[#This Row],[Winter Blanket]]&gt;0,1,0)</f>
        <v>0</v>
      </c>
      <c r="AQ32" s="542"/>
      <c r="AR32" s="542"/>
      <c r="AS32" s="542"/>
      <c r="AT32" s="205" t="str">
        <f>IFERROR(VLOOKUP(Table_NFI[[#This Row],[Location]],CL,2,0),"")</f>
        <v>MMR001CMP003</v>
      </c>
      <c r="AU32" s="183" t="s">
        <v>1236</v>
      </c>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row>
    <row r="33" spans="2:119" s="539" customFormat="1" ht="18.75" customHeight="1" x14ac:dyDescent="0.25">
      <c r="B33" s="540">
        <v>42776</v>
      </c>
      <c r="C33" s="540" t="str">
        <f>MONTH(Table_NFI[[#This Row],[Distribution Date]]) &amp; "/" &amp; YEAR(Table_NFI[[#This Row],[Distribution Date]])</f>
        <v>2/2017</v>
      </c>
      <c r="D33" s="198" t="s">
        <v>420</v>
      </c>
      <c r="E33" s="198" t="s">
        <v>424</v>
      </c>
      <c r="F33" s="198" t="s">
        <v>378</v>
      </c>
      <c r="G33" s="198" t="s">
        <v>237</v>
      </c>
      <c r="H33" s="198" t="s">
        <v>274</v>
      </c>
      <c r="I33" s="183"/>
      <c r="J33" s="541"/>
      <c r="K33" s="541"/>
      <c r="L33" s="541">
        <v>1</v>
      </c>
      <c r="M33" s="541">
        <v>1</v>
      </c>
      <c r="N33" s="541">
        <v>3</v>
      </c>
      <c r="O33" s="541">
        <v>1</v>
      </c>
      <c r="P33" s="541">
        <v>4</v>
      </c>
      <c r="Q33" s="541">
        <v>1</v>
      </c>
      <c r="R33" s="541"/>
      <c r="S33" s="541">
        <v>1</v>
      </c>
      <c r="T33" s="541">
        <v>4</v>
      </c>
      <c r="U33" s="541"/>
      <c r="V33" s="541"/>
      <c r="W33" s="541"/>
      <c r="X33" s="541"/>
      <c r="Y33" s="541">
        <v>1</v>
      </c>
      <c r="Z33" s="541"/>
      <c r="AA33" s="541"/>
      <c r="AB33" s="541"/>
      <c r="AC33" s="542"/>
      <c r="AD33" s="542"/>
      <c r="AE33" s="542"/>
      <c r="AF33" s="542"/>
      <c r="AG33" s="542"/>
      <c r="AH33" s="542"/>
      <c r="AI33" s="542"/>
      <c r="AJ33" s="542"/>
      <c r="AK33" s="542"/>
      <c r="AL33" s="542"/>
      <c r="AM33" s="542"/>
      <c r="AN33" s="542"/>
      <c r="AO33" s="542"/>
      <c r="AP33" s="542">
        <f>IF(Table_NFI[[#This Row],[Winter Clothes Adult]]+Table_NFI[[#This Row],[Winter Clothes Children]]+Table_NFI[[#This Row],[Winter Items Other]]+Table_NFI[[#This Row],[Winter Blanket]]&gt;0,1,0)</f>
        <v>0</v>
      </c>
      <c r="AQ33" s="542"/>
      <c r="AR33" s="542"/>
      <c r="AS33" s="542"/>
      <c r="AT33" s="205" t="str">
        <f>IFERROR(VLOOKUP(Table_NFI[[#This Row],[Location]],CL,2,0),"")</f>
        <v>MMR001CMP005</v>
      </c>
      <c r="AU33" s="183" t="s">
        <v>1236</v>
      </c>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row>
    <row r="34" spans="2:119" s="539" customFormat="1" ht="18.75" customHeight="1" x14ac:dyDescent="0.25">
      <c r="B34" s="540">
        <v>42776</v>
      </c>
      <c r="C34" s="540" t="str">
        <f>MONTH(Table_NFI[[#This Row],[Distribution Date]]) &amp; "/" &amp; YEAR(Table_NFI[[#This Row],[Distribution Date]])</f>
        <v>2/2017</v>
      </c>
      <c r="D34" s="198" t="s">
        <v>420</v>
      </c>
      <c r="E34" s="198" t="s">
        <v>462</v>
      </c>
      <c r="F34" s="198" t="s">
        <v>378</v>
      </c>
      <c r="G34" s="198" t="s">
        <v>5</v>
      </c>
      <c r="H34" s="198" t="s">
        <v>8</v>
      </c>
      <c r="I34" s="183"/>
      <c r="J34" s="541"/>
      <c r="K34" s="541"/>
      <c r="L34" s="541"/>
      <c r="M34" s="541"/>
      <c r="N34" s="541"/>
      <c r="O34" s="541">
        <v>8</v>
      </c>
      <c r="P34" s="541"/>
      <c r="Q34" s="541"/>
      <c r="R34" s="541"/>
      <c r="S34" s="541"/>
      <c r="T34" s="541"/>
      <c r="U34" s="541"/>
      <c r="V34" s="541"/>
      <c r="W34" s="541"/>
      <c r="X34" s="541"/>
      <c r="Y34" s="541"/>
      <c r="Z34" s="541"/>
      <c r="AA34" s="541"/>
      <c r="AB34" s="541"/>
      <c r="AC34" s="542"/>
      <c r="AD34" s="542"/>
      <c r="AE34" s="542"/>
      <c r="AF34" s="542"/>
      <c r="AG34" s="542"/>
      <c r="AH34" s="542"/>
      <c r="AI34" s="542"/>
      <c r="AJ34" s="542"/>
      <c r="AK34" s="542"/>
      <c r="AL34" s="542"/>
      <c r="AM34" s="542"/>
      <c r="AN34" s="542"/>
      <c r="AO34" s="542"/>
      <c r="AP34" s="542">
        <f>IF(Table_NFI[[#This Row],[Winter Clothes Adult]]+Table_NFI[[#This Row],[Winter Clothes Children]]+Table_NFI[[#This Row],[Winter Items Other]]+Table_NFI[[#This Row],[Winter Blanket]]&gt;0,1,0)</f>
        <v>0</v>
      </c>
      <c r="AQ34" s="542"/>
      <c r="AR34" s="542"/>
      <c r="AS34" s="542"/>
      <c r="AT34" s="205" t="str">
        <f>IFERROR(VLOOKUP(Table_NFI[[#This Row],[Location]],CL,2,0),"")</f>
        <v>MMR001CMP051</v>
      </c>
      <c r="AU34" s="183" t="s">
        <v>1236</v>
      </c>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row>
    <row r="35" spans="2:119" s="539" customFormat="1" ht="18.75" customHeight="1" x14ac:dyDescent="0.25">
      <c r="B35" s="540">
        <v>42779</v>
      </c>
      <c r="C35" s="540" t="str">
        <f>MONTH(Table_NFI[[#This Row],[Distribution Date]]) &amp; "/" &amp; YEAR(Table_NFI[[#This Row],[Distribution Date]])</f>
        <v>2/2017</v>
      </c>
      <c r="D35" s="198" t="s">
        <v>420</v>
      </c>
      <c r="E35" s="198" t="s">
        <v>424</v>
      </c>
      <c r="F35" s="198" t="s">
        <v>378</v>
      </c>
      <c r="G35" s="198" t="s">
        <v>237</v>
      </c>
      <c r="H35" s="198" t="s">
        <v>240</v>
      </c>
      <c r="I35" s="183"/>
      <c r="J35" s="541"/>
      <c r="K35" s="541"/>
      <c r="L35" s="541">
        <v>3</v>
      </c>
      <c r="M35" s="541">
        <v>3</v>
      </c>
      <c r="N35" s="541">
        <v>5</v>
      </c>
      <c r="O35" s="541">
        <v>3</v>
      </c>
      <c r="P35" s="541">
        <v>8</v>
      </c>
      <c r="Q35" s="541">
        <v>3</v>
      </c>
      <c r="R35" s="541"/>
      <c r="S35" s="541">
        <v>3</v>
      </c>
      <c r="T35" s="541">
        <v>8</v>
      </c>
      <c r="U35" s="541"/>
      <c r="V35" s="541"/>
      <c r="W35" s="541"/>
      <c r="X35" s="541"/>
      <c r="Y35" s="541">
        <v>3</v>
      </c>
      <c r="Z35" s="541"/>
      <c r="AA35" s="541"/>
      <c r="AB35" s="541"/>
      <c r="AC35" s="542"/>
      <c r="AD35" s="542"/>
      <c r="AE35" s="542"/>
      <c r="AF35" s="542"/>
      <c r="AG35" s="542"/>
      <c r="AH35" s="542"/>
      <c r="AI35" s="542"/>
      <c r="AJ35" s="542"/>
      <c r="AK35" s="542"/>
      <c r="AL35" s="542"/>
      <c r="AM35" s="542"/>
      <c r="AN35" s="542"/>
      <c r="AO35" s="542"/>
      <c r="AP35" s="542">
        <f>IF(Table_NFI[[#This Row],[Winter Clothes Adult]]+Table_NFI[[#This Row],[Winter Clothes Children]]+Table_NFI[[#This Row],[Winter Items Other]]+Table_NFI[[#This Row],[Winter Blanket]]&gt;0,1,0)</f>
        <v>0</v>
      </c>
      <c r="AQ35" s="542"/>
      <c r="AR35" s="542"/>
      <c r="AS35" s="542"/>
      <c r="AT35" s="205" t="str">
        <f>IFERROR(VLOOKUP(Table_NFI[[#This Row],[Location]],CL,2,0),"")</f>
        <v>MMR001CMP015</v>
      </c>
      <c r="AU35" s="183" t="s">
        <v>1236</v>
      </c>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row>
    <row r="36" spans="2:119" s="539" customFormat="1" ht="18.75" customHeight="1" x14ac:dyDescent="0.25">
      <c r="B36" s="540">
        <v>42779</v>
      </c>
      <c r="C36" s="540" t="str">
        <f>MONTH(Table_NFI[[#This Row],[Distribution Date]]) &amp; "/" &amp; YEAR(Table_NFI[[#This Row],[Distribution Date]])</f>
        <v>2/2017</v>
      </c>
      <c r="D36" s="198" t="s">
        <v>420</v>
      </c>
      <c r="E36" s="198" t="s">
        <v>424</v>
      </c>
      <c r="F36" s="198" t="s">
        <v>378</v>
      </c>
      <c r="G36" s="198" t="s">
        <v>237</v>
      </c>
      <c r="H36" s="198" t="s">
        <v>252</v>
      </c>
      <c r="I36" s="183"/>
      <c r="J36" s="541"/>
      <c r="K36" s="541"/>
      <c r="L36" s="541">
        <v>1</v>
      </c>
      <c r="M36" s="541">
        <v>1</v>
      </c>
      <c r="N36" s="541">
        <v>2</v>
      </c>
      <c r="O36" s="541">
        <v>1</v>
      </c>
      <c r="P36" s="541">
        <v>3</v>
      </c>
      <c r="Q36" s="541">
        <v>1</v>
      </c>
      <c r="R36" s="541"/>
      <c r="S36" s="541">
        <v>1</v>
      </c>
      <c r="T36" s="541">
        <v>3</v>
      </c>
      <c r="U36" s="541"/>
      <c r="V36" s="541"/>
      <c r="W36" s="541"/>
      <c r="X36" s="541"/>
      <c r="Y36" s="541">
        <v>1</v>
      </c>
      <c r="Z36" s="541"/>
      <c r="AA36" s="541"/>
      <c r="AB36" s="541"/>
      <c r="AC36" s="542"/>
      <c r="AD36" s="542"/>
      <c r="AE36" s="542"/>
      <c r="AF36" s="542"/>
      <c r="AG36" s="542"/>
      <c r="AH36" s="542"/>
      <c r="AI36" s="542"/>
      <c r="AJ36" s="542"/>
      <c r="AK36" s="542"/>
      <c r="AL36" s="542"/>
      <c r="AM36" s="542"/>
      <c r="AN36" s="542"/>
      <c r="AO36" s="542"/>
      <c r="AP36" s="542">
        <f>IF(Table_NFI[[#This Row],[Winter Clothes Adult]]+Table_NFI[[#This Row],[Winter Clothes Children]]+Table_NFI[[#This Row],[Winter Items Other]]+Table_NFI[[#This Row],[Winter Blanket]]&gt;0,1,0)</f>
        <v>0</v>
      </c>
      <c r="AQ36" s="542"/>
      <c r="AR36" s="542"/>
      <c r="AS36" s="542"/>
      <c r="AT36" s="205" t="str">
        <f>IFERROR(VLOOKUP(Table_NFI[[#This Row],[Location]],CL,2,0),"")</f>
        <v>MMR001CMP018</v>
      </c>
      <c r="AU36" s="183" t="s">
        <v>1236</v>
      </c>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row>
    <row r="37" spans="2:119" s="539" customFormat="1" ht="18.75" customHeight="1" x14ac:dyDescent="0.25">
      <c r="B37" s="540">
        <v>42779</v>
      </c>
      <c r="C37" s="540" t="str">
        <f>MONTH(Table_NFI[[#This Row],[Distribution Date]]) &amp; "/" &amp; YEAR(Table_NFI[[#This Row],[Distribution Date]])</f>
        <v>2/2017</v>
      </c>
      <c r="D37" s="198" t="s">
        <v>420</v>
      </c>
      <c r="E37" s="198" t="s">
        <v>424</v>
      </c>
      <c r="F37" s="198" t="s">
        <v>378</v>
      </c>
      <c r="G37" s="198" t="s">
        <v>237</v>
      </c>
      <c r="H37" s="198" t="s">
        <v>256</v>
      </c>
      <c r="I37" s="183"/>
      <c r="J37" s="541"/>
      <c r="K37" s="541"/>
      <c r="L37" s="541">
        <v>3</v>
      </c>
      <c r="M37" s="541">
        <v>3</v>
      </c>
      <c r="N37" s="541">
        <v>9</v>
      </c>
      <c r="O37" s="541">
        <v>3</v>
      </c>
      <c r="P37" s="541">
        <v>17</v>
      </c>
      <c r="Q37" s="541">
        <v>3</v>
      </c>
      <c r="R37" s="541"/>
      <c r="S37" s="541">
        <v>3</v>
      </c>
      <c r="T37" s="541">
        <v>17</v>
      </c>
      <c r="U37" s="541"/>
      <c r="V37" s="541"/>
      <c r="W37" s="541"/>
      <c r="X37" s="541"/>
      <c r="Y37" s="541">
        <v>3</v>
      </c>
      <c r="Z37" s="541"/>
      <c r="AA37" s="541"/>
      <c r="AB37" s="541"/>
      <c r="AC37" s="542"/>
      <c r="AD37" s="542"/>
      <c r="AE37" s="542"/>
      <c r="AF37" s="542"/>
      <c r="AG37" s="542"/>
      <c r="AH37" s="542"/>
      <c r="AI37" s="542"/>
      <c r="AJ37" s="542"/>
      <c r="AK37" s="542"/>
      <c r="AL37" s="542"/>
      <c r="AM37" s="542"/>
      <c r="AN37" s="542"/>
      <c r="AO37" s="542"/>
      <c r="AP37" s="542">
        <f>IF(Table_NFI[[#This Row],[Winter Clothes Adult]]+Table_NFI[[#This Row],[Winter Clothes Children]]+Table_NFI[[#This Row],[Winter Items Other]]+Table_NFI[[#This Row],[Winter Blanket]]&gt;0,1,0)</f>
        <v>0</v>
      </c>
      <c r="AQ37" s="542"/>
      <c r="AR37" s="542"/>
      <c r="AS37" s="542"/>
      <c r="AT37" s="205" t="str">
        <f>IFERROR(VLOOKUP(Table_NFI[[#This Row],[Location]],CL,2,0),"")</f>
        <v>MMR001CMP013</v>
      </c>
      <c r="AU37" s="183" t="s">
        <v>1236</v>
      </c>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row>
    <row r="38" spans="2:119" s="539" customFormat="1" ht="18.75" customHeight="1" x14ac:dyDescent="0.25">
      <c r="B38" s="540">
        <v>42779</v>
      </c>
      <c r="C38" s="540" t="str">
        <f>MONTH(Table_NFI[[#This Row],[Distribution Date]]) &amp; "/" &amp; YEAR(Table_NFI[[#This Row],[Distribution Date]])</f>
        <v>2/2017</v>
      </c>
      <c r="D38" s="198" t="s">
        <v>420</v>
      </c>
      <c r="E38" s="198" t="s">
        <v>424</v>
      </c>
      <c r="F38" s="198" t="s">
        <v>378</v>
      </c>
      <c r="G38" s="198" t="s">
        <v>237</v>
      </c>
      <c r="H38" s="198" t="s">
        <v>260</v>
      </c>
      <c r="I38" s="183"/>
      <c r="J38" s="541"/>
      <c r="K38" s="541"/>
      <c r="L38" s="541">
        <v>1</v>
      </c>
      <c r="M38" s="541">
        <v>1</v>
      </c>
      <c r="N38" s="541">
        <v>2</v>
      </c>
      <c r="O38" s="541">
        <v>1</v>
      </c>
      <c r="P38" s="541">
        <v>3</v>
      </c>
      <c r="Q38" s="541">
        <v>1</v>
      </c>
      <c r="R38" s="541"/>
      <c r="S38" s="541">
        <v>1</v>
      </c>
      <c r="T38" s="541">
        <v>3</v>
      </c>
      <c r="U38" s="541"/>
      <c r="V38" s="541"/>
      <c r="W38" s="541"/>
      <c r="X38" s="541"/>
      <c r="Y38" s="541">
        <v>1</v>
      </c>
      <c r="Z38" s="541"/>
      <c r="AA38" s="541"/>
      <c r="AB38" s="541"/>
      <c r="AC38" s="542"/>
      <c r="AD38" s="542"/>
      <c r="AE38" s="542"/>
      <c r="AF38" s="542"/>
      <c r="AG38" s="542"/>
      <c r="AH38" s="542"/>
      <c r="AI38" s="542"/>
      <c r="AJ38" s="542"/>
      <c r="AK38" s="542"/>
      <c r="AL38" s="542"/>
      <c r="AM38" s="542"/>
      <c r="AN38" s="542"/>
      <c r="AO38" s="542"/>
      <c r="AP38" s="542">
        <f>IF(Table_NFI[[#This Row],[Winter Clothes Adult]]+Table_NFI[[#This Row],[Winter Clothes Children]]+Table_NFI[[#This Row],[Winter Items Other]]+Table_NFI[[#This Row],[Winter Blanket]]&gt;0,1,0)</f>
        <v>0</v>
      </c>
      <c r="AQ38" s="542"/>
      <c r="AR38" s="542"/>
      <c r="AS38" s="542"/>
      <c r="AT38" s="205" t="str">
        <f>IFERROR(VLOOKUP(Table_NFI[[#This Row],[Location]],CL,2,0),"")</f>
        <v>MMR001CMP008</v>
      </c>
      <c r="AU38" s="183" t="s">
        <v>1236</v>
      </c>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row>
    <row r="39" spans="2:119" s="539" customFormat="1" ht="18.75" customHeight="1" x14ac:dyDescent="0.25">
      <c r="B39" s="540">
        <v>42779</v>
      </c>
      <c r="C39" s="540" t="str">
        <f>MONTH(Table_NFI[[#This Row],[Distribution Date]]) &amp; "/" &amp; YEAR(Table_NFI[[#This Row],[Distribution Date]])</f>
        <v>2/2017</v>
      </c>
      <c r="D39" s="198" t="s">
        <v>420</v>
      </c>
      <c r="E39" s="198" t="s">
        <v>424</v>
      </c>
      <c r="F39" s="198" t="s">
        <v>378</v>
      </c>
      <c r="G39" s="198" t="s">
        <v>237</v>
      </c>
      <c r="H39" s="198" t="s">
        <v>258</v>
      </c>
      <c r="I39" s="183"/>
      <c r="J39" s="541"/>
      <c r="K39" s="541"/>
      <c r="L39" s="541">
        <v>1</v>
      </c>
      <c r="M39" s="541">
        <v>1</v>
      </c>
      <c r="N39" s="541">
        <v>2</v>
      </c>
      <c r="O39" s="541">
        <v>1</v>
      </c>
      <c r="P39" s="541">
        <v>3</v>
      </c>
      <c r="Q39" s="541">
        <v>1</v>
      </c>
      <c r="R39" s="541"/>
      <c r="S39" s="541">
        <v>1</v>
      </c>
      <c r="T39" s="541">
        <v>3</v>
      </c>
      <c r="U39" s="541"/>
      <c r="V39" s="541"/>
      <c r="W39" s="541"/>
      <c r="X39" s="541"/>
      <c r="Y39" s="541">
        <v>1</v>
      </c>
      <c r="Z39" s="541"/>
      <c r="AA39" s="541"/>
      <c r="AB39" s="541"/>
      <c r="AC39" s="542"/>
      <c r="AD39" s="542"/>
      <c r="AE39" s="542"/>
      <c r="AF39" s="542"/>
      <c r="AG39" s="542"/>
      <c r="AH39" s="542"/>
      <c r="AI39" s="542"/>
      <c r="AJ39" s="542"/>
      <c r="AK39" s="542"/>
      <c r="AL39" s="542"/>
      <c r="AM39" s="542"/>
      <c r="AN39" s="542"/>
      <c r="AO39" s="542"/>
      <c r="AP39" s="542">
        <f>IF(Table_NFI[[#This Row],[Winter Clothes Adult]]+Table_NFI[[#This Row],[Winter Clothes Children]]+Table_NFI[[#This Row],[Winter Items Other]]+Table_NFI[[#This Row],[Winter Blanket]]&gt;0,1,0)</f>
        <v>0</v>
      </c>
      <c r="AQ39" s="542"/>
      <c r="AR39" s="542"/>
      <c r="AS39" s="542"/>
      <c r="AT39" s="205" t="str">
        <f>IFERROR(VLOOKUP(Table_NFI[[#This Row],[Location]],CL,2,0),"")</f>
        <v>MMR001CMP016</v>
      </c>
      <c r="AU39" s="183" t="s">
        <v>1236</v>
      </c>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row>
    <row r="40" spans="2:119" s="539" customFormat="1" ht="18.75" customHeight="1" x14ac:dyDescent="0.25">
      <c r="B40" s="540">
        <v>42780</v>
      </c>
      <c r="C40" s="540" t="str">
        <f>MONTH(Table_NFI[[#This Row],[Distribution Date]]) &amp; "/" &amp; YEAR(Table_NFI[[#This Row],[Distribution Date]])</f>
        <v>2/2017</v>
      </c>
      <c r="D40" s="198" t="s">
        <v>420</v>
      </c>
      <c r="E40" s="198" t="s">
        <v>424</v>
      </c>
      <c r="F40" s="198" t="s">
        <v>378</v>
      </c>
      <c r="G40" s="198" t="s">
        <v>151</v>
      </c>
      <c r="H40" s="198" t="s">
        <v>811</v>
      </c>
      <c r="I40" s="183"/>
      <c r="J40" s="541"/>
      <c r="K40" s="541"/>
      <c r="L40" s="541">
        <v>4</v>
      </c>
      <c r="M40" s="541">
        <v>4</v>
      </c>
      <c r="N40" s="541">
        <v>7</v>
      </c>
      <c r="O40" s="541">
        <v>4</v>
      </c>
      <c r="P40" s="541">
        <v>7</v>
      </c>
      <c r="Q40" s="541">
        <v>4</v>
      </c>
      <c r="R40" s="541"/>
      <c r="S40" s="541">
        <v>4</v>
      </c>
      <c r="T40" s="541">
        <v>14</v>
      </c>
      <c r="U40" s="541"/>
      <c r="V40" s="541"/>
      <c r="W40" s="541"/>
      <c r="X40" s="541"/>
      <c r="Y40" s="541">
        <v>4</v>
      </c>
      <c r="Z40" s="541"/>
      <c r="AA40" s="541"/>
      <c r="AB40" s="541"/>
      <c r="AC40" s="542"/>
      <c r="AD40" s="542"/>
      <c r="AE40" s="542"/>
      <c r="AF40" s="542"/>
      <c r="AG40" s="542"/>
      <c r="AH40" s="542"/>
      <c r="AI40" s="542"/>
      <c r="AJ40" s="542"/>
      <c r="AK40" s="542"/>
      <c r="AL40" s="542"/>
      <c r="AM40" s="542"/>
      <c r="AN40" s="542"/>
      <c r="AO40" s="542"/>
      <c r="AP40" s="542">
        <f>IF(Table_NFI[[#This Row],[Winter Clothes Adult]]+Table_NFI[[#This Row],[Winter Clothes Children]]+Table_NFI[[#This Row],[Winter Items Other]]+Table_NFI[[#This Row],[Winter Blanket]]&gt;0,1,0)</f>
        <v>0</v>
      </c>
      <c r="AQ40" s="542"/>
      <c r="AR40" s="542"/>
      <c r="AS40" s="542"/>
      <c r="AT40" s="205" t="str">
        <f>IFERROR(VLOOKUP(Table_NFI[[#This Row],[Location]],CL,2,0),"")</f>
        <v>MMR001CMP218</v>
      </c>
      <c r="AU40" s="183" t="s">
        <v>1236</v>
      </c>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row>
    <row r="41" spans="2:119" s="539" customFormat="1" ht="18.75" customHeight="1" x14ac:dyDescent="0.25">
      <c r="B41" s="540">
        <v>42780</v>
      </c>
      <c r="C41" s="540" t="str">
        <f>MONTH(Table_NFI[[#This Row],[Distribution Date]]) &amp; "/" &amp; YEAR(Table_NFI[[#This Row],[Distribution Date]])</f>
        <v>2/2017</v>
      </c>
      <c r="D41" s="197" t="s">
        <v>1380</v>
      </c>
      <c r="E41" s="197" t="s">
        <v>1380</v>
      </c>
      <c r="F41" s="544" t="s">
        <v>378</v>
      </c>
      <c r="G41" s="198" t="s">
        <v>151</v>
      </c>
      <c r="H41" s="198" t="s">
        <v>811</v>
      </c>
      <c r="I41" s="183"/>
      <c r="J41" s="541">
        <v>2</v>
      </c>
      <c r="K41" s="541"/>
      <c r="L41" s="541"/>
      <c r="M41" s="541">
        <v>18</v>
      </c>
      <c r="N41" s="541"/>
      <c r="O41" s="541"/>
      <c r="P41" s="541"/>
      <c r="Q41" s="541"/>
      <c r="R41" s="541"/>
      <c r="S41" s="541">
        <v>2</v>
      </c>
      <c r="T41" s="541"/>
      <c r="U41" s="541"/>
      <c r="V41" s="541"/>
      <c r="W41" s="541"/>
      <c r="X41" s="541"/>
      <c r="Y41" s="541">
        <v>2</v>
      </c>
      <c r="Z41" s="541"/>
      <c r="AA41" s="541"/>
      <c r="AB41" s="541"/>
      <c r="AC41" s="542"/>
      <c r="AD41" s="542"/>
      <c r="AE41" s="542"/>
      <c r="AF41" s="542"/>
      <c r="AG41" s="542"/>
      <c r="AH41" s="542"/>
      <c r="AI41" s="542"/>
      <c r="AJ41" s="542"/>
      <c r="AK41" s="542"/>
      <c r="AL41" s="542"/>
      <c r="AM41" s="542"/>
      <c r="AN41" s="542"/>
      <c r="AO41" s="542"/>
      <c r="AP41" s="542">
        <f>IF(Table_NFI[[#This Row],[Winter Clothes Adult]]+Table_NFI[[#This Row],[Winter Clothes Children]]+Table_NFI[[#This Row],[Winter Items Other]]+Table_NFI[[#This Row],[Winter Blanket]]&gt;0,1,0)</f>
        <v>0</v>
      </c>
      <c r="AQ41" s="542"/>
      <c r="AR41" s="542"/>
      <c r="AS41" s="542"/>
      <c r="AT41" s="205" t="str">
        <f>IFERROR(VLOOKUP(Table_NFI[[#This Row],[Location]],CL,2,0),"")</f>
        <v>MMR001CMP218</v>
      </c>
      <c r="AU41" s="183" t="s">
        <v>1256</v>
      </c>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row>
    <row r="42" spans="2:119" s="539" customFormat="1" ht="18.75" customHeight="1" x14ac:dyDescent="0.25">
      <c r="B42" s="540">
        <v>42780</v>
      </c>
      <c r="C42" s="540" t="str">
        <f>MONTH(Table_NFI[[#This Row],[Distribution Date]]) &amp; "/" &amp; YEAR(Table_NFI[[#This Row],[Distribution Date]])</f>
        <v>2/2017</v>
      </c>
      <c r="D42" s="198" t="s">
        <v>420</v>
      </c>
      <c r="E42" s="544" t="s">
        <v>1589</v>
      </c>
      <c r="F42" s="198" t="s">
        <v>378</v>
      </c>
      <c r="G42" s="198" t="s">
        <v>151</v>
      </c>
      <c r="H42" s="198" t="s">
        <v>846</v>
      </c>
      <c r="I42" s="183"/>
      <c r="J42" s="541"/>
      <c r="K42" s="541"/>
      <c r="L42" s="541">
        <v>1</v>
      </c>
      <c r="M42" s="541">
        <v>1</v>
      </c>
      <c r="N42" s="541">
        <v>2</v>
      </c>
      <c r="O42" s="541">
        <v>1</v>
      </c>
      <c r="P42" s="541">
        <v>2</v>
      </c>
      <c r="Q42" s="541">
        <v>1</v>
      </c>
      <c r="R42" s="541"/>
      <c r="S42" s="541">
        <v>1</v>
      </c>
      <c r="T42" s="541">
        <v>3</v>
      </c>
      <c r="U42" s="541"/>
      <c r="V42" s="541"/>
      <c r="W42" s="541"/>
      <c r="X42" s="541"/>
      <c r="Y42" s="541">
        <v>1</v>
      </c>
      <c r="Z42" s="541"/>
      <c r="AA42" s="541"/>
      <c r="AB42" s="541"/>
      <c r="AC42" s="542"/>
      <c r="AD42" s="542"/>
      <c r="AE42" s="542"/>
      <c r="AF42" s="542"/>
      <c r="AG42" s="542"/>
      <c r="AH42" s="542"/>
      <c r="AI42" s="542"/>
      <c r="AJ42" s="542"/>
      <c r="AK42" s="542"/>
      <c r="AL42" s="542"/>
      <c r="AM42" s="542"/>
      <c r="AN42" s="542"/>
      <c r="AO42" s="542"/>
      <c r="AP42" s="542">
        <f>IF(Table_NFI[[#This Row],[Winter Clothes Adult]]+Table_NFI[[#This Row],[Winter Clothes Children]]+Table_NFI[[#This Row],[Winter Items Other]]+Table_NFI[[#This Row],[Winter Blanket]]&gt;0,1,0)</f>
        <v>0</v>
      </c>
      <c r="AQ42" s="542"/>
      <c r="AR42" s="542"/>
      <c r="AS42" s="542"/>
      <c r="AT42" s="205" t="str">
        <f>IFERROR(VLOOKUP(Table_NFI[[#This Row],[Location]],CL,2,0),"")</f>
        <v>MMR001CMP223</v>
      </c>
      <c r="AU42" s="183" t="s">
        <v>1236</v>
      </c>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row>
    <row r="43" spans="2:119" s="539" customFormat="1" ht="18.75" customHeight="1" x14ac:dyDescent="0.25">
      <c r="B43" s="540">
        <v>42782</v>
      </c>
      <c r="C43" s="540" t="str">
        <f>MONTH(Table_NFI[[#This Row],[Distribution Date]]) &amp; "/" &amp; YEAR(Table_NFI[[#This Row],[Distribution Date]])</f>
        <v>2/2017</v>
      </c>
      <c r="D43" s="198" t="s">
        <v>420</v>
      </c>
      <c r="E43" s="198" t="s">
        <v>424</v>
      </c>
      <c r="F43" s="198" t="s">
        <v>378</v>
      </c>
      <c r="G43" s="198" t="s">
        <v>480</v>
      </c>
      <c r="H43" s="198" t="s">
        <v>1157</v>
      </c>
      <c r="I43" s="183"/>
      <c r="J43" s="541"/>
      <c r="K43" s="541"/>
      <c r="L43" s="541"/>
      <c r="M43" s="541"/>
      <c r="N43" s="541"/>
      <c r="O43" s="541"/>
      <c r="P43" s="541"/>
      <c r="Q43" s="541"/>
      <c r="R43" s="541"/>
      <c r="S43" s="541"/>
      <c r="T43" s="541"/>
      <c r="U43" s="541">
        <v>62</v>
      </c>
      <c r="V43" s="541">
        <v>33</v>
      </c>
      <c r="W43" s="541"/>
      <c r="X43" s="541"/>
      <c r="Y43" s="541"/>
      <c r="Z43" s="541"/>
      <c r="AA43" s="541"/>
      <c r="AB43" s="541"/>
      <c r="AC43" s="542"/>
      <c r="AD43" s="542"/>
      <c r="AE43" s="542"/>
      <c r="AF43" s="542"/>
      <c r="AG43" s="542"/>
      <c r="AH43" s="542"/>
      <c r="AI43" s="542"/>
      <c r="AJ43" s="542"/>
      <c r="AK43" s="542"/>
      <c r="AL43" s="542"/>
      <c r="AM43" s="542"/>
      <c r="AN43" s="542"/>
      <c r="AO43" s="542"/>
      <c r="AP43" s="542">
        <f>IF(Table_NFI[[#This Row],[Winter Clothes Adult]]+Table_NFI[[#This Row],[Winter Clothes Children]]+Table_NFI[[#This Row],[Winter Items Other]]+Table_NFI[[#This Row],[Winter Blanket]]&gt;0,1,0)</f>
        <v>1</v>
      </c>
      <c r="AQ43" s="542"/>
      <c r="AR43" s="542"/>
      <c r="AS43" s="542"/>
      <c r="AT43" s="205" t="str">
        <f>IFERROR(VLOOKUP(Table_NFI[[#This Row],[Location]],CL,2,0),"")</f>
        <v>MMR001CMP244</v>
      </c>
      <c r="AU43" s="183" t="s">
        <v>1236</v>
      </c>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row>
    <row r="44" spans="2:119" s="539" customFormat="1" ht="18.75" customHeight="1" x14ac:dyDescent="0.25">
      <c r="B44" s="540">
        <v>42795</v>
      </c>
      <c r="C44" s="540" t="str">
        <f>MONTH(Table_NFI[[#This Row],[Distribution Date]]) &amp; "/" &amp; YEAR(Table_NFI[[#This Row],[Distribution Date]])</f>
        <v>3/2017</v>
      </c>
      <c r="D44" s="197" t="s">
        <v>1380</v>
      </c>
      <c r="E44" s="197" t="s">
        <v>1380</v>
      </c>
      <c r="F44" s="198" t="s">
        <v>378</v>
      </c>
      <c r="G44" s="198" t="s">
        <v>309</v>
      </c>
      <c r="H44" s="198" t="s">
        <v>1252</v>
      </c>
      <c r="I44" s="183"/>
      <c r="J44" s="541">
        <v>55</v>
      </c>
      <c r="K44" s="541"/>
      <c r="L44" s="541"/>
      <c r="M44" s="541">
        <v>495</v>
      </c>
      <c r="N44" s="541"/>
      <c r="O44" s="541"/>
      <c r="P44" s="541"/>
      <c r="Q44" s="541"/>
      <c r="R44" s="541"/>
      <c r="S44" s="541">
        <v>55</v>
      </c>
      <c r="T44" s="541"/>
      <c r="U44" s="541"/>
      <c r="V44" s="541"/>
      <c r="W44" s="541"/>
      <c r="X44" s="541"/>
      <c r="Y44" s="541">
        <v>55</v>
      </c>
      <c r="Z44" s="541"/>
      <c r="AA44" s="541"/>
      <c r="AB44" s="541"/>
      <c r="AC44" s="542"/>
      <c r="AD44" s="542"/>
      <c r="AE44" s="542"/>
      <c r="AF44" s="542"/>
      <c r="AG44" s="542"/>
      <c r="AH44" s="542"/>
      <c r="AI44" s="542"/>
      <c r="AJ44" s="542"/>
      <c r="AK44" s="542"/>
      <c r="AL44" s="542"/>
      <c r="AM44" s="542"/>
      <c r="AN44" s="542"/>
      <c r="AO44" s="542"/>
      <c r="AP44" s="542">
        <f>IF(Table_NFI[[#This Row],[Winter Clothes Adult]]+Table_NFI[[#This Row],[Winter Clothes Children]]+Table_NFI[[#This Row],[Winter Items Other]]+Table_NFI[[#This Row],[Winter Blanket]]&gt;0,1,0)</f>
        <v>0</v>
      </c>
      <c r="AQ44" s="542"/>
      <c r="AR44" s="542"/>
      <c r="AS44" s="542"/>
      <c r="AT44" s="205" t="str">
        <f>IFERROR(VLOOKUP(Table_NFI[[#This Row],[Location]],CL,2,0),"")</f>
        <v>MMR001CMP248</v>
      </c>
      <c r="AU44" s="183" t="s">
        <v>1255</v>
      </c>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row>
    <row r="45" spans="2:119" s="539" customFormat="1" ht="18.75" customHeight="1" x14ac:dyDescent="0.25">
      <c r="B45" s="540">
        <v>42795</v>
      </c>
      <c r="C45" s="540" t="str">
        <f>MONTH(Table_NFI[[#This Row],[Distribution Date]]) &amp; "/" &amp; YEAR(Table_NFI[[#This Row],[Distribution Date]])</f>
        <v>3/2017</v>
      </c>
      <c r="D45" s="197" t="s">
        <v>1380</v>
      </c>
      <c r="E45" s="197" t="s">
        <v>1380</v>
      </c>
      <c r="F45" s="198" t="s">
        <v>378</v>
      </c>
      <c r="G45" s="198" t="s">
        <v>309</v>
      </c>
      <c r="H45" s="198" t="s">
        <v>1257</v>
      </c>
      <c r="I45" s="183"/>
      <c r="J45" s="541">
        <v>91</v>
      </c>
      <c r="K45" s="541"/>
      <c r="L45" s="541">
        <v>92</v>
      </c>
      <c r="M45" s="541">
        <v>546</v>
      </c>
      <c r="N45" s="541">
        <v>184</v>
      </c>
      <c r="O45" s="541">
        <v>170</v>
      </c>
      <c r="P45" s="541">
        <v>184</v>
      </c>
      <c r="Q45" s="541"/>
      <c r="R45" s="541"/>
      <c r="S45" s="541">
        <v>91</v>
      </c>
      <c r="T45" s="541">
        <v>184</v>
      </c>
      <c r="U45" s="541"/>
      <c r="V45" s="541"/>
      <c r="W45" s="541"/>
      <c r="X45" s="541"/>
      <c r="Y45" s="541">
        <v>91</v>
      </c>
      <c r="Z45" s="541"/>
      <c r="AA45" s="541">
        <v>85</v>
      </c>
      <c r="AB45" s="541"/>
      <c r="AC45" s="542"/>
      <c r="AD45" s="542"/>
      <c r="AE45" s="542"/>
      <c r="AF45" s="542"/>
      <c r="AG45" s="542"/>
      <c r="AH45" s="542"/>
      <c r="AI45" s="542"/>
      <c r="AJ45" s="542"/>
      <c r="AK45" s="542"/>
      <c r="AL45" s="542"/>
      <c r="AM45" s="542"/>
      <c r="AN45" s="542"/>
      <c r="AO45" s="542"/>
      <c r="AP45" s="542">
        <f>IF(Table_NFI[[#This Row],[Winter Clothes Adult]]+Table_NFI[[#This Row],[Winter Clothes Children]]+Table_NFI[[#This Row],[Winter Items Other]]+Table_NFI[[#This Row],[Winter Blanket]]&gt;0,1,0)</f>
        <v>0</v>
      </c>
      <c r="AQ45" s="542"/>
      <c r="AR45" s="542"/>
      <c r="AS45" s="542"/>
      <c r="AT45" s="205" t="str">
        <f>IFERROR(VLOOKUP(Table_NFI[[#This Row],[Location]],CL,2,0),"")</f>
        <v>MMR001CMP258</v>
      </c>
      <c r="AU45" s="183" t="s">
        <v>1260</v>
      </c>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row>
    <row r="46" spans="2:119" s="539" customFormat="1" ht="18.75" customHeight="1" x14ac:dyDescent="0.25">
      <c r="B46" s="540">
        <v>42808</v>
      </c>
      <c r="C46" s="540" t="str">
        <f>MONTH(Table_NFI[[#This Row],[Distribution Date]]) &amp; "/" &amp; YEAR(Table_NFI[[#This Row],[Distribution Date]])</f>
        <v>3/2017</v>
      </c>
      <c r="D46" s="197" t="s">
        <v>1380</v>
      </c>
      <c r="E46" s="197" t="s">
        <v>1380</v>
      </c>
      <c r="F46" s="544" t="s">
        <v>378</v>
      </c>
      <c r="G46" s="197" t="s">
        <v>185</v>
      </c>
      <c r="H46" s="198" t="s">
        <v>194</v>
      </c>
      <c r="I46" s="183"/>
      <c r="J46" s="541"/>
      <c r="K46" s="541"/>
      <c r="L46" s="541">
        <v>8</v>
      </c>
      <c r="M46" s="541"/>
      <c r="N46" s="541">
        <v>16</v>
      </c>
      <c r="O46" s="541"/>
      <c r="P46" s="541">
        <v>16</v>
      </c>
      <c r="Q46" s="541"/>
      <c r="R46" s="541"/>
      <c r="S46" s="541"/>
      <c r="T46" s="541">
        <v>16</v>
      </c>
      <c r="U46" s="541"/>
      <c r="V46" s="541"/>
      <c r="W46" s="541"/>
      <c r="X46" s="541"/>
      <c r="Y46" s="541"/>
      <c r="Z46" s="541"/>
      <c r="AA46" s="541"/>
      <c r="AB46" s="541"/>
      <c r="AC46" s="542"/>
      <c r="AD46" s="542"/>
      <c r="AE46" s="542"/>
      <c r="AF46" s="542"/>
      <c r="AG46" s="542"/>
      <c r="AH46" s="542"/>
      <c r="AI46" s="542"/>
      <c r="AJ46" s="542"/>
      <c r="AK46" s="542"/>
      <c r="AL46" s="542"/>
      <c r="AM46" s="542"/>
      <c r="AN46" s="542"/>
      <c r="AO46" s="542"/>
      <c r="AP46" s="542">
        <f>IF(Table_NFI[[#This Row],[Winter Clothes Adult]]+Table_NFI[[#This Row],[Winter Clothes Children]]+Table_NFI[[#This Row],[Winter Items Other]]+Table_NFI[[#This Row],[Winter Blanket]]&gt;0,1,0)</f>
        <v>0</v>
      </c>
      <c r="AQ46" s="542"/>
      <c r="AR46" s="542"/>
      <c r="AS46" s="542"/>
      <c r="AT46" s="205" t="str">
        <f>IFERROR(VLOOKUP(Table_NFI[[#This Row],[Location]],CL,2,0),"")</f>
        <v>MMR001CMP122</v>
      </c>
      <c r="AU46" s="183" t="s">
        <v>1255</v>
      </c>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row>
    <row r="47" spans="2:119" s="539" customFormat="1" ht="18.75" customHeight="1" x14ac:dyDescent="0.25">
      <c r="B47" s="540">
        <v>42808</v>
      </c>
      <c r="C47" s="540" t="str">
        <f>MONTH(Table_NFI[[#This Row],[Distribution Date]]) &amp; "/" &amp; YEAR(Table_NFI[[#This Row],[Distribution Date]])</f>
        <v>3/2017</v>
      </c>
      <c r="D47" s="197" t="s">
        <v>1380</v>
      </c>
      <c r="E47" s="197" t="s">
        <v>1380</v>
      </c>
      <c r="F47" s="198" t="s">
        <v>378</v>
      </c>
      <c r="G47" s="198" t="s">
        <v>309</v>
      </c>
      <c r="H47" s="198" t="s">
        <v>196</v>
      </c>
      <c r="I47" s="183"/>
      <c r="J47" s="541"/>
      <c r="K47" s="541"/>
      <c r="L47" s="541">
        <v>6</v>
      </c>
      <c r="M47" s="541"/>
      <c r="N47" s="541">
        <v>12</v>
      </c>
      <c r="O47" s="541"/>
      <c r="P47" s="541">
        <v>12</v>
      </c>
      <c r="Q47" s="541"/>
      <c r="R47" s="541"/>
      <c r="S47" s="541"/>
      <c r="T47" s="541">
        <v>12</v>
      </c>
      <c r="U47" s="541"/>
      <c r="V47" s="541"/>
      <c r="W47" s="541"/>
      <c r="X47" s="541"/>
      <c r="Y47" s="541"/>
      <c r="Z47" s="541"/>
      <c r="AA47" s="541"/>
      <c r="AB47" s="541"/>
      <c r="AC47" s="542"/>
      <c r="AD47" s="542"/>
      <c r="AE47" s="542"/>
      <c r="AF47" s="542"/>
      <c r="AG47" s="542"/>
      <c r="AH47" s="542"/>
      <c r="AI47" s="542"/>
      <c r="AJ47" s="542"/>
      <c r="AK47" s="542"/>
      <c r="AL47" s="542"/>
      <c r="AM47" s="542"/>
      <c r="AN47" s="542"/>
      <c r="AO47" s="542"/>
      <c r="AP47" s="542">
        <f>IF(Table_NFI[[#This Row],[Winter Clothes Adult]]+Table_NFI[[#This Row],[Winter Clothes Children]]+Table_NFI[[#This Row],[Winter Items Other]]+Table_NFI[[#This Row],[Winter Blanket]]&gt;0,1,0)</f>
        <v>0</v>
      </c>
      <c r="AQ47" s="542"/>
      <c r="AR47" s="542"/>
      <c r="AS47" s="542"/>
      <c r="AT47" s="205" t="str">
        <f>IFERROR(VLOOKUP(Table_NFI[[#This Row],[Location]],CL,2,0),"")</f>
        <v>MMR001CMP121</v>
      </c>
      <c r="AU47" s="183" t="s">
        <v>1255</v>
      </c>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row>
    <row r="48" spans="2:119" s="539" customFormat="1" ht="18.75" customHeight="1" x14ac:dyDescent="0.25">
      <c r="B48" s="540">
        <v>42809</v>
      </c>
      <c r="C48" s="540" t="str">
        <f>MONTH(Table_NFI[[#This Row],[Distribution Date]]) &amp; "/" &amp; YEAR(Table_NFI[[#This Row],[Distribution Date]])</f>
        <v>3/2017</v>
      </c>
      <c r="D48" s="197" t="s">
        <v>420</v>
      </c>
      <c r="E48" s="198" t="s">
        <v>462</v>
      </c>
      <c r="F48" s="198" t="s">
        <v>378</v>
      </c>
      <c r="G48" s="198" t="s">
        <v>27</v>
      </c>
      <c r="H48" s="198" t="s">
        <v>28</v>
      </c>
      <c r="I48" s="183"/>
      <c r="J48" s="541"/>
      <c r="K48" s="541"/>
      <c r="L48" s="541"/>
      <c r="M48" s="541"/>
      <c r="N48" s="541"/>
      <c r="O48" s="541"/>
      <c r="P48" s="541"/>
      <c r="Q48" s="541"/>
      <c r="R48" s="541"/>
      <c r="S48" s="541"/>
      <c r="T48" s="541"/>
      <c r="U48" s="541">
        <v>79</v>
      </c>
      <c r="V48" s="541">
        <v>152</v>
      </c>
      <c r="W48" s="541"/>
      <c r="X48" s="541"/>
      <c r="Y48" s="541"/>
      <c r="Z48" s="541"/>
      <c r="AA48" s="541"/>
      <c r="AB48" s="541"/>
      <c r="AC48" s="542"/>
      <c r="AD48" s="542"/>
      <c r="AE48" s="542"/>
      <c r="AF48" s="542"/>
      <c r="AG48" s="542"/>
      <c r="AH48" s="542"/>
      <c r="AI48" s="542"/>
      <c r="AJ48" s="542"/>
      <c r="AK48" s="542"/>
      <c r="AL48" s="542"/>
      <c r="AM48" s="542"/>
      <c r="AN48" s="542"/>
      <c r="AO48" s="542"/>
      <c r="AP48" s="542">
        <f>IF(Table_NFI[[#This Row],[Winter Clothes Adult]]+Table_NFI[[#This Row],[Winter Clothes Children]]+Table_NFI[[#This Row],[Winter Items Other]]+Table_NFI[[#This Row],[Winter Blanket]]&gt;0,1,0)</f>
        <v>1</v>
      </c>
      <c r="AQ48" s="542"/>
      <c r="AR48" s="542"/>
      <c r="AS48" s="542"/>
      <c r="AT48" s="205" t="str">
        <f>IFERROR(VLOOKUP(Table_NFI[[#This Row],[Location]],CL,2,0),"")</f>
        <v>MMR001CMP042</v>
      </c>
      <c r="AU48" s="199" t="s">
        <v>1237</v>
      </c>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row>
    <row r="49" spans="2:120" s="539" customFormat="1" ht="18.75" customHeight="1" x14ac:dyDescent="0.25">
      <c r="B49" s="540">
        <v>42809</v>
      </c>
      <c r="C49" s="540" t="str">
        <f>MONTH(Table_NFI[[#This Row],[Distribution Date]]) &amp; "/" &amp; YEAR(Table_NFI[[#This Row],[Distribution Date]])</f>
        <v>3/2017</v>
      </c>
      <c r="D49" s="197" t="s">
        <v>1380</v>
      </c>
      <c r="E49" s="197" t="s">
        <v>1380</v>
      </c>
      <c r="F49" s="198" t="s">
        <v>378</v>
      </c>
      <c r="G49" s="198" t="s">
        <v>309</v>
      </c>
      <c r="H49" s="198" t="s">
        <v>351</v>
      </c>
      <c r="I49" s="183"/>
      <c r="J49" s="541"/>
      <c r="K49" s="541"/>
      <c r="L49" s="541">
        <v>6</v>
      </c>
      <c r="M49" s="541"/>
      <c r="N49" s="541">
        <v>12</v>
      </c>
      <c r="O49" s="541"/>
      <c r="P49" s="541">
        <v>12</v>
      </c>
      <c r="Q49" s="541"/>
      <c r="R49" s="541"/>
      <c r="S49" s="541"/>
      <c r="T49" s="541">
        <v>12</v>
      </c>
      <c r="U49" s="541"/>
      <c r="V49" s="541"/>
      <c r="W49" s="541"/>
      <c r="X49" s="541"/>
      <c r="Y49" s="541"/>
      <c r="Z49" s="541"/>
      <c r="AA49" s="541"/>
      <c r="AB49" s="541"/>
      <c r="AC49" s="542"/>
      <c r="AD49" s="542"/>
      <c r="AE49" s="542"/>
      <c r="AF49" s="542"/>
      <c r="AG49" s="542"/>
      <c r="AH49" s="542"/>
      <c r="AI49" s="542"/>
      <c r="AJ49" s="542"/>
      <c r="AK49" s="542"/>
      <c r="AL49" s="542"/>
      <c r="AM49" s="542"/>
      <c r="AN49" s="542"/>
      <c r="AO49" s="542"/>
      <c r="AP49" s="542">
        <f>IF(Table_NFI[[#This Row],[Winter Clothes Adult]]+Table_NFI[[#This Row],[Winter Clothes Children]]+Table_NFI[[#This Row],[Winter Items Other]]+Table_NFI[[#This Row],[Winter Blanket]]&gt;0,1,0)</f>
        <v>0</v>
      </c>
      <c r="AQ49" s="542"/>
      <c r="AR49" s="542"/>
      <c r="AS49" s="542"/>
      <c r="AT49" s="205" t="str">
        <f>IFERROR(VLOOKUP(Table_NFI[[#This Row],[Location]],CL,2,0),"")</f>
        <v>MMR001CMP116</v>
      </c>
      <c r="AU49" s="183" t="s">
        <v>1255</v>
      </c>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row>
    <row r="50" spans="2:120" s="539" customFormat="1" ht="18.75" customHeight="1" x14ac:dyDescent="0.25">
      <c r="B50" s="540">
        <v>42810</v>
      </c>
      <c r="C50" s="540" t="str">
        <f>MONTH(Table_NFI[[#This Row],[Distribution Date]]) &amp; "/" &amp; YEAR(Table_NFI[[#This Row],[Distribution Date]])</f>
        <v>3/2017</v>
      </c>
      <c r="D50" s="197" t="s">
        <v>420</v>
      </c>
      <c r="E50" s="198" t="s">
        <v>462</v>
      </c>
      <c r="F50" s="198" t="s">
        <v>378</v>
      </c>
      <c r="G50" s="198" t="s">
        <v>27</v>
      </c>
      <c r="H50" s="198" t="s">
        <v>363</v>
      </c>
      <c r="I50" s="183"/>
      <c r="J50" s="541"/>
      <c r="K50" s="541"/>
      <c r="L50" s="541"/>
      <c r="M50" s="541"/>
      <c r="N50" s="541"/>
      <c r="O50" s="541"/>
      <c r="P50" s="541"/>
      <c r="Q50" s="541"/>
      <c r="R50" s="541"/>
      <c r="S50" s="541"/>
      <c r="T50" s="541"/>
      <c r="U50" s="541">
        <v>97</v>
      </c>
      <c r="V50" s="541">
        <v>203</v>
      </c>
      <c r="W50" s="541"/>
      <c r="X50" s="541"/>
      <c r="Y50" s="541"/>
      <c r="Z50" s="541"/>
      <c r="AA50" s="541"/>
      <c r="AB50" s="541"/>
      <c r="AC50" s="542"/>
      <c r="AD50" s="542"/>
      <c r="AE50" s="542"/>
      <c r="AF50" s="542"/>
      <c r="AG50" s="542"/>
      <c r="AH50" s="542"/>
      <c r="AI50" s="542"/>
      <c r="AJ50" s="542"/>
      <c r="AK50" s="542"/>
      <c r="AL50" s="542"/>
      <c r="AM50" s="542"/>
      <c r="AN50" s="542"/>
      <c r="AO50" s="542"/>
      <c r="AP50" s="542">
        <f>IF(Table_NFI[[#This Row],[Winter Clothes Adult]]+Table_NFI[[#This Row],[Winter Clothes Children]]+Table_NFI[[#This Row],[Winter Items Other]]+Table_NFI[[#This Row],[Winter Blanket]]&gt;0,1,0)</f>
        <v>1</v>
      </c>
      <c r="AQ50" s="542"/>
      <c r="AR50" s="542"/>
      <c r="AS50" s="542"/>
      <c r="AT50" s="205" t="str">
        <f>IFERROR(VLOOKUP(Table_NFI[[#This Row],[Location]],CL,2,0),"")</f>
        <v>MMR001CMP195</v>
      </c>
      <c r="AU50" s="545" t="s">
        <v>1237</v>
      </c>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row>
    <row r="51" spans="2:120" s="539" customFormat="1" ht="18.75" customHeight="1" x14ac:dyDescent="0.25">
      <c r="B51" s="540">
        <v>42813</v>
      </c>
      <c r="C51" s="540" t="str">
        <f>MONTH(Table_NFI[[#This Row],[Distribution Date]]) &amp; "/" &amp; YEAR(Table_NFI[[#This Row],[Distribution Date]])</f>
        <v>3/2017</v>
      </c>
      <c r="D51" s="198" t="s">
        <v>420</v>
      </c>
      <c r="E51" s="198" t="s">
        <v>424</v>
      </c>
      <c r="F51" s="198" t="s">
        <v>378</v>
      </c>
      <c r="G51" s="198" t="s">
        <v>746</v>
      </c>
      <c r="H51" s="198" t="s">
        <v>1065</v>
      </c>
      <c r="I51" s="183"/>
      <c r="J51" s="541"/>
      <c r="K51" s="541"/>
      <c r="L51" s="541"/>
      <c r="M51" s="541"/>
      <c r="N51" s="541"/>
      <c r="O51" s="541"/>
      <c r="P51" s="541">
        <v>292</v>
      </c>
      <c r="Q51" s="541"/>
      <c r="R51" s="541"/>
      <c r="S51" s="541"/>
      <c r="T51" s="541"/>
      <c r="U51" s="541"/>
      <c r="V51" s="541"/>
      <c r="W51" s="541"/>
      <c r="X51" s="541"/>
      <c r="Y51" s="541"/>
      <c r="Z51" s="541"/>
      <c r="AA51" s="541"/>
      <c r="AB51" s="541"/>
      <c r="AC51" s="542"/>
      <c r="AD51" s="542"/>
      <c r="AE51" s="542"/>
      <c r="AF51" s="542"/>
      <c r="AG51" s="542"/>
      <c r="AH51" s="542"/>
      <c r="AI51" s="542"/>
      <c r="AJ51" s="542"/>
      <c r="AK51" s="542"/>
      <c r="AL51" s="542"/>
      <c r="AM51" s="542"/>
      <c r="AN51" s="542"/>
      <c r="AO51" s="542"/>
      <c r="AP51" s="542">
        <f>IF(Table_NFI[[#This Row],[Winter Clothes Adult]]+Table_NFI[[#This Row],[Winter Clothes Children]]+Table_NFI[[#This Row],[Winter Items Other]]+Table_NFI[[#This Row],[Winter Blanket]]&gt;0,1,0)</f>
        <v>0</v>
      </c>
      <c r="AQ51" s="542"/>
      <c r="AR51" s="542"/>
      <c r="AS51" s="542"/>
      <c r="AT51" s="205" t="str">
        <f>IFERROR(VLOOKUP(Table_NFI[[#This Row],[Location]],CL,2,0),"")</f>
        <v>MMR001CMP238</v>
      </c>
      <c r="AU51" s="183" t="s">
        <v>1250</v>
      </c>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row>
    <row r="52" spans="2:120" s="539" customFormat="1" ht="18.75" customHeight="1" x14ac:dyDescent="0.25">
      <c r="B52" s="540">
        <v>42814</v>
      </c>
      <c r="C52" s="540" t="str">
        <f>MONTH(Table_NFI[[#This Row],[Distribution Date]]) &amp; "/" &amp; YEAR(Table_NFI[[#This Row],[Distribution Date]])</f>
        <v>3/2017</v>
      </c>
      <c r="D52" s="198" t="s">
        <v>420</v>
      </c>
      <c r="E52" s="198" t="s">
        <v>424</v>
      </c>
      <c r="F52" s="198" t="s">
        <v>378</v>
      </c>
      <c r="G52" s="198" t="s">
        <v>746</v>
      </c>
      <c r="H52" s="198" t="s">
        <v>1067</v>
      </c>
      <c r="I52" s="183"/>
      <c r="J52" s="541"/>
      <c r="K52" s="541"/>
      <c r="L52" s="541"/>
      <c r="M52" s="541"/>
      <c r="N52" s="541"/>
      <c r="O52" s="541"/>
      <c r="P52" s="541">
        <v>134</v>
      </c>
      <c r="Q52" s="541"/>
      <c r="R52" s="541"/>
      <c r="S52" s="541"/>
      <c r="T52" s="541"/>
      <c r="U52" s="541"/>
      <c r="V52" s="541"/>
      <c r="W52" s="541"/>
      <c r="X52" s="541"/>
      <c r="Y52" s="541"/>
      <c r="Z52" s="541"/>
      <c r="AA52" s="541"/>
      <c r="AB52" s="541"/>
      <c r="AC52" s="542"/>
      <c r="AD52" s="542"/>
      <c r="AE52" s="542"/>
      <c r="AF52" s="542"/>
      <c r="AG52" s="542"/>
      <c r="AH52" s="542"/>
      <c r="AI52" s="542"/>
      <c r="AJ52" s="542"/>
      <c r="AK52" s="542"/>
      <c r="AL52" s="542"/>
      <c r="AM52" s="542"/>
      <c r="AN52" s="542"/>
      <c r="AO52" s="542"/>
      <c r="AP52" s="542">
        <f>IF(Table_NFI[[#This Row],[Winter Clothes Adult]]+Table_NFI[[#This Row],[Winter Clothes Children]]+Table_NFI[[#This Row],[Winter Items Other]]+Table_NFI[[#This Row],[Winter Blanket]]&gt;0,1,0)</f>
        <v>0</v>
      </c>
      <c r="AQ52" s="542"/>
      <c r="AR52" s="542"/>
      <c r="AS52" s="542"/>
      <c r="AT52" s="205" t="str">
        <f>IFERROR(VLOOKUP(Table_NFI[[#This Row],[Location]],CL,2,0),"")</f>
        <v>MMR001CMP239</v>
      </c>
      <c r="AU52" s="183" t="s">
        <v>1250</v>
      </c>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row>
    <row r="53" spans="2:120" s="183" customFormat="1" ht="18.75" customHeight="1" x14ac:dyDescent="0.25">
      <c r="B53" s="540">
        <v>42823</v>
      </c>
      <c r="C53" s="540" t="str">
        <f>MONTH(Table_NFI[[#This Row],[Distribution Date]]) &amp; "/" &amp; YEAR(Table_NFI[[#This Row],[Distribution Date]])</f>
        <v>3/2017</v>
      </c>
      <c r="D53" s="197" t="s">
        <v>420</v>
      </c>
      <c r="E53" s="198" t="s">
        <v>462</v>
      </c>
      <c r="F53" s="198" t="s">
        <v>378</v>
      </c>
      <c r="G53" s="198" t="s">
        <v>309</v>
      </c>
      <c r="H53" s="198" t="s">
        <v>342</v>
      </c>
      <c r="J53" s="541"/>
      <c r="K53" s="541"/>
      <c r="L53" s="541">
        <v>5</v>
      </c>
      <c r="M53" s="541">
        <v>5</v>
      </c>
      <c r="N53" s="541">
        <v>10</v>
      </c>
      <c r="O53" s="541">
        <v>5</v>
      </c>
      <c r="P53" s="541">
        <v>10</v>
      </c>
      <c r="Q53" s="541">
        <v>5</v>
      </c>
      <c r="R53" s="541"/>
      <c r="S53" s="541">
        <v>5</v>
      </c>
      <c r="T53" s="541">
        <v>28</v>
      </c>
      <c r="U53" s="541"/>
      <c r="V53" s="541"/>
      <c r="W53" s="541"/>
      <c r="X53" s="541"/>
      <c r="Y53" s="541">
        <v>5</v>
      </c>
      <c r="Z53" s="541"/>
      <c r="AA53" s="541"/>
      <c r="AB53" s="541"/>
      <c r="AC53" s="542"/>
      <c r="AD53" s="542"/>
      <c r="AE53" s="542"/>
      <c r="AF53" s="542"/>
      <c r="AG53" s="542"/>
      <c r="AH53" s="542"/>
      <c r="AI53" s="542"/>
      <c r="AJ53" s="542"/>
      <c r="AK53" s="542"/>
      <c r="AL53" s="542"/>
      <c r="AM53" s="542"/>
      <c r="AN53" s="542"/>
      <c r="AO53" s="542"/>
      <c r="AP53" s="542">
        <f>IF(Table_NFI[[#This Row],[Winter Clothes Adult]]+Table_NFI[[#This Row],[Winter Clothes Children]]+Table_NFI[[#This Row],[Winter Items Other]]+Table_NFI[[#This Row],[Winter Blanket]]&gt;0,1,0)</f>
        <v>0</v>
      </c>
      <c r="AQ53" s="542"/>
      <c r="AR53" s="542"/>
      <c r="AS53" s="542"/>
      <c r="AT53" s="205" t="str">
        <f>IFERROR(VLOOKUP(Table_NFI[[#This Row],[Location]],CL,2,0),"")</f>
        <v>MMR001CMP033</v>
      </c>
      <c r="AU53" s="183" t="s">
        <v>1237</v>
      </c>
    </row>
    <row r="54" spans="2:120" s="183" customFormat="1" ht="18.75" customHeight="1" x14ac:dyDescent="0.25">
      <c r="B54" s="540">
        <v>42825</v>
      </c>
      <c r="C54" s="540" t="str">
        <f>MONTH(Table_NFI[[#This Row],[Distribution Date]]) &amp; "/" &amp; YEAR(Table_NFI[[#This Row],[Distribution Date]])</f>
        <v>3/2017</v>
      </c>
      <c r="D54" s="198" t="s">
        <v>1258</v>
      </c>
      <c r="E54" s="198" t="s">
        <v>1258</v>
      </c>
      <c r="F54" s="198" t="s">
        <v>506</v>
      </c>
      <c r="G54" s="198" t="s">
        <v>146</v>
      </c>
      <c r="H54" s="198" t="s">
        <v>368</v>
      </c>
      <c r="J54" s="541"/>
      <c r="K54" s="541"/>
      <c r="L54" s="541"/>
      <c r="M54" s="541"/>
      <c r="N54" s="541"/>
      <c r="O54" s="541"/>
      <c r="P54" s="541"/>
      <c r="Q54" s="541"/>
      <c r="R54" s="541"/>
      <c r="S54" s="541"/>
      <c r="T54" s="541"/>
      <c r="U54" s="541">
        <v>540</v>
      </c>
      <c r="V54" s="541"/>
      <c r="W54" s="541"/>
      <c r="X54" s="541">
        <v>135</v>
      </c>
      <c r="Y54" s="541"/>
      <c r="Z54" s="541"/>
      <c r="AA54" s="541"/>
      <c r="AB54" s="541"/>
      <c r="AC54" s="542"/>
      <c r="AD54" s="542"/>
      <c r="AE54" s="542"/>
      <c r="AF54" s="542"/>
      <c r="AG54" s="542"/>
      <c r="AH54" s="542"/>
      <c r="AI54" s="542"/>
      <c r="AJ54" s="542"/>
      <c r="AK54" s="542"/>
      <c r="AL54" s="542"/>
      <c r="AM54" s="542"/>
      <c r="AN54" s="542"/>
      <c r="AO54" s="542"/>
      <c r="AP54" s="542">
        <f>IF(Table_NFI[[#This Row],[Winter Clothes Adult]]+Table_NFI[[#This Row],[Winter Clothes Children]]+Table_NFI[[#This Row],[Winter Items Other]]+Table_NFI[[#This Row],[Winter Blanket]]&gt;0,1,0)</f>
        <v>1</v>
      </c>
      <c r="AQ54" s="542"/>
      <c r="AR54" s="542"/>
      <c r="AS54" s="542"/>
      <c r="AT54" s="205" t="str">
        <f>IFERROR(VLOOKUP(Table_NFI[[#This Row],[Location]],CL,2,0),"")</f>
        <v>MMR015CMP017</v>
      </c>
      <c r="AU54" s="183" t="s">
        <v>1259</v>
      </c>
    </row>
    <row r="55" spans="2:120" s="183" customFormat="1" ht="18.75" customHeight="1" x14ac:dyDescent="0.25">
      <c r="B55" s="540">
        <v>42829</v>
      </c>
      <c r="C55" s="540" t="str">
        <f>MONTH(Table_NFI[[#This Row],[Distribution Date]]) &amp; "/" &amp; YEAR(Table_NFI[[#This Row],[Distribution Date]])</f>
        <v>4/2017</v>
      </c>
      <c r="D55" s="197" t="s">
        <v>1258</v>
      </c>
      <c r="E55" s="198" t="s">
        <v>1258</v>
      </c>
      <c r="F55" s="198" t="s">
        <v>378</v>
      </c>
      <c r="G55" s="198" t="s">
        <v>151</v>
      </c>
      <c r="H55" s="198" t="s">
        <v>846</v>
      </c>
      <c r="J55" s="541"/>
      <c r="K55" s="541"/>
      <c r="L55" s="541"/>
      <c r="M55" s="541"/>
      <c r="N55" s="541"/>
      <c r="O55" s="541"/>
      <c r="P55" s="541"/>
      <c r="Q55" s="541"/>
      <c r="R55" s="541"/>
      <c r="S55" s="541"/>
      <c r="T55" s="541"/>
      <c r="U55" s="541">
        <v>144</v>
      </c>
      <c r="V55" s="541"/>
      <c r="W55" s="541"/>
      <c r="X55" s="541">
        <v>36</v>
      </c>
      <c r="Y55" s="541"/>
      <c r="Z55" s="541"/>
      <c r="AA55" s="541"/>
      <c r="AB55" s="541"/>
      <c r="AC55" s="542"/>
      <c r="AD55" s="542"/>
      <c r="AE55" s="542"/>
      <c r="AF55" s="542"/>
      <c r="AG55" s="542"/>
      <c r="AH55" s="542"/>
      <c r="AI55" s="542"/>
      <c r="AJ55" s="542"/>
      <c r="AK55" s="542"/>
      <c r="AL55" s="542"/>
      <c r="AM55" s="542"/>
      <c r="AN55" s="542"/>
      <c r="AO55" s="542"/>
      <c r="AP55" s="542">
        <f>IF(Table_NFI[[#This Row],[Winter Clothes Adult]]+Table_NFI[[#This Row],[Winter Clothes Children]]+Table_NFI[[#This Row],[Winter Items Other]]+Table_NFI[[#This Row],[Winter Blanket]]&gt;0,1,0)</f>
        <v>1</v>
      </c>
      <c r="AQ55" s="542"/>
      <c r="AR55" s="542"/>
      <c r="AS55" s="542"/>
      <c r="AT55" s="205" t="str">
        <f>IFERROR(VLOOKUP(Table_NFI[[#This Row],[Location]],CL,2,0),"")</f>
        <v>MMR001CMP223</v>
      </c>
      <c r="AU55" s="183" t="s">
        <v>1259</v>
      </c>
    </row>
    <row r="56" spans="2:120" s="183" customFormat="1" ht="18.75" customHeight="1" x14ac:dyDescent="0.25">
      <c r="B56" s="540">
        <v>42838</v>
      </c>
      <c r="C56" s="540" t="str">
        <f>MONTH(Table_NFI[[#This Row],[Distribution Date]]) &amp; "/" &amp; YEAR(Table_NFI[[#This Row],[Distribution Date]])</f>
        <v>4/2017</v>
      </c>
      <c r="D56" s="198" t="s">
        <v>420</v>
      </c>
      <c r="E56" s="198" t="s">
        <v>462</v>
      </c>
      <c r="F56" s="198" t="s">
        <v>378</v>
      </c>
      <c r="G56" s="198" t="s">
        <v>309</v>
      </c>
      <c r="H56" s="198" t="s">
        <v>317</v>
      </c>
      <c r="J56" s="541"/>
      <c r="K56" s="541"/>
      <c r="L56" s="541">
        <v>17</v>
      </c>
      <c r="M56" s="541">
        <v>17</v>
      </c>
      <c r="N56" s="541">
        <v>58</v>
      </c>
      <c r="O56" s="541">
        <v>17</v>
      </c>
      <c r="P56" s="541">
        <v>58</v>
      </c>
      <c r="Q56" s="541">
        <v>17</v>
      </c>
      <c r="R56" s="541"/>
      <c r="S56" s="541">
        <v>17</v>
      </c>
      <c r="T56" s="541">
        <v>76</v>
      </c>
      <c r="U56" s="541"/>
      <c r="V56" s="541"/>
      <c r="W56" s="541"/>
      <c r="X56" s="541"/>
      <c r="Y56" s="541">
        <v>17</v>
      </c>
      <c r="Z56" s="541"/>
      <c r="AA56" s="541"/>
      <c r="AB56" s="541">
        <v>15</v>
      </c>
      <c r="AC56" s="542"/>
      <c r="AD56" s="542"/>
      <c r="AE56" s="542"/>
      <c r="AF56" s="542"/>
      <c r="AG56" s="542"/>
      <c r="AH56" s="542"/>
      <c r="AI56" s="542"/>
      <c r="AJ56" s="542"/>
      <c r="AK56" s="542"/>
      <c r="AL56" s="542"/>
      <c r="AM56" s="542"/>
      <c r="AN56" s="542"/>
      <c r="AO56" s="542"/>
      <c r="AP56" s="542">
        <f>IF(Table_NFI[[#This Row],[Winter Clothes Adult]]+Table_NFI[[#This Row],[Winter Clothes Children]]+Table_NFI[[#This Row],[Winter Items Other]]+Table_NFI[[#This Row],[Winter Blanket]]&gt;0,1,0)</f>
        <v>0</v>
      </c>
      <c r="AQ56" s="542"/>
      <c r="AR56" s="542"/>
      <c r="AS56" s="542"/>
      <c r="AT56" s="205" t="str">
        <f>IFERROR(VLOOKUP(Table_NFI[[#This Row],[Location]],CL,2,0),"")</f>
        <v>MMR001CMP032</v>
      </c>
      <c r="AU56" s="183" t="s">
        <v>1251</v>
      </c>
    </row>
    <row r="57" spans="2:120" s="183" customFormat="1" ht="18.75" customHeight="1" x14ac:dyDescent="0.25">
      <c r="B57" s="540">
        <v>42852</v>
      </c>
      <c r="C57" s="540" t="str">
        <f>MONTH(Table_NFI[[#This Row],[Distribution Date]]) &amp; "/" &amp; YEAR(Table_NFI[[#This Row],[Distribution Date]])</f>
        <v>4/2017</v>
      </c>
      <c r="D57" s="197" t="s">
        <v>1380</v>
      </c>
      <c r="E57" s="197" t="s">
        <v>1380</v>
      </c>
      <c r="F57" s="198" t="s">
        <v>378</v>
      </c>
      <c r="G57" s="198" t="s">
        <v>309</v>
      </c>
      <c r="H57" s="198" t="s">
        <v>317</v>
      </c>
      <c r="J57" s="541">
        <v>10</v>
      </c>
      <c r="K57" s="541"/>
      <c r="L57" s="541"/>
      <c r="M57" s="541">
        <v>90</v>
      </c>
      <c r="N57" s="541"/>
      <c r="O57" s="541"/>
      <c r="P57" s="541"/>
      <c r="Q57" s="541"/>
      <c r="R57" s="541"/>
      <c r="S57" s="541">
        <v>10</v>
      </c>
      <c r="T57" s="541"/>
      <c r="U57" s="541"/>
      <c r="V57" s="541"/>
      <c r="W57" s="541"/>
      <c r="X57" s="541"/>
      <c r="Y57" s="541">
        <v>10</v>
      </c>
      <c r="Z57" s="541"/>
      <c r="AA57" s="541"/>
      <c r="AB57" s="541"/>
      <c r="AC57" s="542"/>
      <c r="AD57" s="542"/>
      <c r="AE57" s="542"/>
      <c r="AF57" s="542"/>
      <c r="AG57" s="542"/>
      <c r="AH57" s="542"/>
      <c r="AI57" s="542"/>
      <c r="AJ57" s="542"/>
      <c r="AK57" s="542"/>
      <c r="AL57" s="542"/>
      <c r="AM57" s="542"/>
      <c r="AN57" s="542"/>
      <c r="AO57" s="542"/>
      <c r="AP57" s="542">
        <f>IF(Table_NFI[[#This Row],[Winter Clothes Adult]]+Table_NFI[[#This Row],[Winter Clothes Children]]+Table_NFI[[#This Row],[Winter Items Other]]+Table_NFI[[#This Row],[Winter Blanket]]&gt;0,1,0)</f>
        <v>0</v>
      </c>
      <c r="AQ57" s="542"/>
      <c r="AR57" s="542"/>
      <c r="AS57" s="542"/>
      <c r="AT57" s="205" t="str">
        <f>IFERROR(VLOOKUP(Table_NFI[[#This Row],[Location]],CL,2,0),"")</f>
        <v>MMR001CMP032</v>
      </c>
      <c r="AU57" s="183" t="s">
        <v>1255</v>
      </c>
    </row>
    <row r="58" spans="2:120" ht="18.75" customHeight="1" x14ac:dyDescent="0.25">
      <c r="B58" s="540">
        <v>42860</v>
      </c>
      <c r="C58" s="540" t="str">
        <f>MONTH(Table_NFI[[#This Row],[Distribution Date]]) &amp; "/" &amp; YEAR(Table_NFI[[#This Row],[Distribution Date]])</f>
        <v>5/2017</v>
      </c>
      <c r="D58" s="198" t="s">
        <v>420</v>
      </c>
      <c r="E58" s="198" t="s">
        <v>462</v>
      </c>
      <c r="F58" s="198" t="s">
        <v>378</v>
      </c>
      <c r="G58" s="198" t="s">
        <v>309</v>
      </c>
      <c r="H58" s="198" t="s">
        <v>312</v>
      </c>
      <c r="I58" s="183"/>
      <c r="J58" s="541"/>
      <c r="K58" s="541"/>
      <c r="L58" s="541">
        <v>3</v>
      </c>
      <c r="M58" s="541">
        <v>3</v>
      </c>
      <c r="N58" s="541">
        <v>9</v>
      </c>
      <c r="O58" s="541">
        <v>3</v>
      </c>
      <c r="P58" s="541">
        <v>10</v>
      </c>
      <c r="Q58" s="541">
        <v>5</v>
      </c>
      <c r="R58" s="541"/>
      <c r="S58" s="541">
        <v>5</v>
      </c>
      <c r="T58" s="541">
        <v>28</v>
      </c>
      <c r="U58" s="541"/>
      <c r="V58" s="541"/>
      <c r="W58" s="541"/>
      <c r="X58" s="541"/>
      <c r="Y58" s="541"/>
      <c r="Z58" s="541"/>
      <c r="AA58" s="541"/>
      <c r="AB58" s="541"/>
      <c r="AC58" s="542"/>
      <c r="AD58" s="542"/>
      <c r="AE58" s="542"/>
      <c r="AF58" s="542"/>
      <c r="AG58" s="542"/>
      <c r="AH58" s="542"/>
      <c r="AI58" s="542"/>
      <c r="AJ58" s="542"/>
      <c r="AK58" s="542"/>
      <c r="AL58" s="542"/>
      <c r="AM58" s="542"/>
      <c r="AN58" s="542"/>
      <c r="AO58" s="542"/>
      <c r="AP58" s="542">
        <f>IF(Table_NFI[[#This Row],[Winter Clothes Adult]]+Table_NFI[[#This Row],[Winter Clothes Children]]+Table_NFI[[#This Row],[Winter Items Other]]+Table_NFI[[#This Row],[Winter Blanket]]&gt;0,1,0)</f>
        <v>0</v>
      </c>
      <c r="AQ58" s="542"/>
      <c r="AR58" s="542"/>
      <c r="AS58" s="542"/>
      <c r="AT58" s="205" t="str">
        <f>IFERROR(VLOOKUP(Table_NFI[[#This Row],[Location]],CL,2,0),"")</f>
        <v>MMR001CMP028</v>
      </c>
      <c r="AU58" s="183"/>
      <c r="AV58" s="183"/>
      <c r="DP58" s="534"/>
    </row>
    <row r="59" spans="2:120" ht="18.75" customHeight="1" x14ac:dyDescent="0.25">
      <c r="B59" s="540">
        <v>42860</v>
      </c>
      <c r="C59" s="540" t="str">
        <f>MONTH(Table_NFI[[#This Row],[Distribution Date]]) &amp; "/" &amp; YEAR(Table_NFI[[#This Row],[Distribution Date]])</f>
        <v>5/2017</v>
      </c>
      <c r="D59" s="198" t="s">
        <v>420</v>
      </c>
      <c r="E59" s="198" t="s">
        <v>462</v>
      </c>
      <c r="F59" s="198" t="s">
        <v>378</v>
      </c>
      <c r="G59" s="198" t="s">
        <v>309</v>
      </c>
      <c r="H59" s="198" t="s">
        <v>347</v>
      </c>
      <c r="I59" s="183"/>
      <c r="J59" s="541"/>
      <c r="K59" s="541"/>
      <c r="L59" s="541">
        <v>1</v>
      </c>
      <c r="M59" s="541">
        <v>1</v>
      </c>
      <c r="N59" s="541">
        <v>3</v>
      </c>
      <c r="O59" s="541">
        <v>1</v>
      </c>
      <c r="P59" s="541">
        <v>3</v>
      </c>
      <c r="Q59" s="541">
        <v>1</v>
      </c>
      <c r="R59" s="541"/>
      <c r="S59" s="541">
        <v>1</v>
      </c>
      <c r="T59" s="541">
        <v>3</v>
      </c>
      <c r="U59" s="541"/>
      <c r="V59" s="541"/>
      <c r="W59" s="541"/>
      <c r="X59" s="541"/>
      <c r="Y59" s="541"/>
      <c r="Z59" s="541"/>
      <c r="AA59" s="541"/>
      <c r="AB59" s="541"/>
      <c r="AC59" s="542"/>
      <c r="AD59" s="542"/>
      <c r="AE59" s="542"/>
      <c r="AF59" s="542"/>
      <c r="AG59" s="542"/>
      <c r="AH59" s="542"/>
      <c r="AI59" s="542"/>
      <c r="AJ59" s="542"/>
      <c r="AK59" s="542"/>
      <c r="AL59" s="542"/>
      <c r="AM59" s="542"/>
      <c r="AN59" s="542"/>
      <c r="AO59" s="542"/>
      <c r="AP59" s="542">
        <f>IF(Table_NFI[[#This Row],[Winter Clothes Adult]]+Table_NFI[[#This Row],[Winter Clothes Children]]+Table_NFI[[#This Row],[Winter Items Other]]+Table_NFI[[#This Row],[Winter Blanket]]&gt;0,1,0)</f>
        <v>0</v>
      </c>
      <c r="AQ59" s="542"/>
      <c r="AR59" s="542"/>
      <c r="AS59" s="542"/>
      <c r="AT59" s="205" t="str">
        <f>IFERROR(VLOOKUP(Table_NFI[[#This Row],[Location]],CL,2,0),"")</f>
        <v>MMR001CMP037</v>
      </c>
      <c r="AU59" s="183"/>
      <c r="AV59" s="183"/>
      <c r="DP59" s="534"/>
    </row>
    <row r="60" spans="2:120" ht="18.75" customHeight="1" x14ac:dyDescent="0.25">
      <c r="B60" s="540">
        <v>42860</v>
      </c>
      <c r="C60" s="540" t="str">
        <f>MONTH(Table_NFI[[#This Row],[Distribution Date]]) &amp; "/" &amp; YEAR(Table_NFI[[#This Row],[Distribution Date]])</f>
        <v>5/2017</v>
      </c>
      <c r="D60" s="198" t="s">
        <v>420</v>
      </c>
      <c r="E60" s="198" t="s">
        <v>462</v>
      </c>
      <c r="F60" s="198" t="s">
        <v>378</v>
      </c>
      <c r="G60" s="198" t="s">
        <v>309</v>
      </c>
      <c r="H60" s="198" t="s">
        <v>342</v>
      </c>
      <c r="I60" s="183"/>
      <c r="J60" s="541"/>
      <c r="K60" s="541"/>
      <c r="L60" s="541">
        <v>1</v>
      </c>
      <c r="M60" s="541">
        <v>1</v>
      </c>
      <c r="N60" s="541">
        <v>2</v>
      </c>
      <c r="O60" s="541">
        <v>1</v>
      </c>
      <c r="P60" s="541">
        <v>2</v>
      </c>
      <c r="Q60" s="541">
        <v>1</v>
      </c>
      <c r="R60" s="541"/>
      <c r="S60" s="541">
        <v>1</v>
      </c>
      <c r="T60" s="541">
        <v>3</v>
      </c>
      <c r="U60" s="541"/>
      <c r="V60" s="541"/>
      <c r="W60" s="541"/>
      <c r="X60" s="541"/>
      <c r="Y60" s="541"/>
      <c r="Z60" s="541"/>
      <c r="AA60" s="541"/>
      <c r="AB60" s="541"/>
      <c r="AC60" s="542"/>
      <c r="AD60" s="542"/>
      <c r="AE60" s="542"/>
      <c r="AF60" s="542"/>
      <c r="AG60" s="542"/>
      <c r="AH60" s="542"/>
      <c r="AI60" s="542"/>
      <c r="AJ60" s="542"/>
      <c r="AK60" s="542"/>
      <c r="AL60" s="542"/>
      <c r="AM60" s="542"/>
      <c r="AN60" s="542"/>
      <c r="AO60" s="542"/>
      <c r="AP60" s="542">
        <f>IF(Table_NFI[[#This Row],[Winter Clothes Adult]]+Table_NFI[[#This Row],[Winter Clothes Children]]+Table_NFI[[#This Row],[Winter Items Other]]+Table_NFI[[#This Row],[Winter Blanket]]&gt;0,1,0)</f>
        <v>0</v>
      </c>
      <c r="AQ60" s="542"/>
      <c r="AR60" s="542"/>
      <c r="AS60" s="542"/>
      <c r="AT60" s="205" t="str">
        <f>IFERROR(VLOOKUP(Table_NFI[[#This Row],[Location]],CL,2,0),"")</f>
        <v>MMR001CMP033</v>
      </c>
      <c r="AU60" s="183"/>
      <c r="AV60" s="183"/>
      <c r="DP60" s="534"/>
    </row>
    <row r="61" spans="2:120" ht="18.75" customHeight="1" x14ac:dyDescent="0.25">
      <c r="B61" s="540">
        <v>42860</v>
      </c>
      <c r="C61" s="540" t="str">
        <f>MONTH(Table_NFI[[#This Row],[Distribution Date]]) &amp; "/" &amp; YEAR(Table_NFI[[#This Row],[Distribution Date]])</f>
        <v>5/2017</v>
      </c>
      <c r="D61" s="198" t="s">
        <v>420</v>
      </c>
      <c r="E61" s="198" t="s">
        <v>462</v>
      </c>
      <c r="F61" s="198" t="s">
        <v>378</v>
      </c>
      <c r="G61" s="198" t="s">
        <v>309</v>
      </c>
      <c r="H61" s="198" t="s">
        <v>315</v>
      </c>
      <c r="I61" s="183"/>
      <c r="J61" s="541"/>
      <c r="K61" s="541"/>
      <c r="L61" s="541">
        <v>2</v>
      </c>
      <c r="M61" s="541">
        <v>2</v>
      </c>
      <c r="N61" s="541">
        <v>7</v>
      </c>
      <c r="O61" s="541">
        <v>6</v>
      </c>
      <c r="P61" s="541">
        <v>7</v>
      </c>
      <c r="Q61" s="541">
        <v>2</v>
      </c>
      <c r="R61" s="541"/>
      <c r="S61" s="541">
        <v>2</v>
      </c>
      <c r="T61" s="541">
        <v>9</v>
      </c>
      <c r="U61" s="541"/>
      <c r="V61" s="541"/>
      <c r="W61" s="541"/>
      <c r="X61" s="541"/>
      <c r="Y61" s="541"/>
      <c r="Z61" s="541"/>
      <c r="AA61" s="541"/>
      <c r="AB61" s="541"/>
      <c r="AC61" s="542"/>
      <c r="AD61" s="542"/>
      <c r="AE61" s="542"/>
      <c r="AF61" s="542"/>
      <c r="AG61" s="542"/>
      <c r="AH61" s="542"/>
      <c r="AI61" s="542"/>
      <c r="AJ61" s="542"/>
      <c r="AK61" s="542"/>
      <c r="AL61" s="542"/>
      <c r="AM61" s="542"/>
      <c r="AN61" s="542"/>
      <c r="AO61" s="542"/>
      <c r="AP61" s="542">
        <f>IF(Table_NFI[[#This Row],[Winter Clothes Adult]]+Table_NFI[[#This Row],[Winter Clothes Children]]+Table_NFI[[#This Row],[Winter Items Other]]+Table_NFI[[#This Row],[Winter Blanket]]&gt;0,1,0)</f>
        <v>0</v>
      </c>
      <c r="AQ61" s="542"/>
      <c r="AR61" s="542"/>
      <c r="AS61" s="542"/>
      <c r="AT61" s="205" t="str">
        <f>IFERROR(VLOOKUP(Table_NFI[[#This Row],[Location]],CL,2,0),"")</f>
        <v>MMR001CMP038</v>
      </c>
      <c r="AU61" s="183"/>
      <c r="AV61" s="183"/>
      <c r="DP61" s="534"/>
    </row>
    <row r="62" spans="2:120" ht="18.75" customHeight="1" x14ac:dyDescent="0.25">
      <c r="B62" s="540">
        <v>42865</v>
      </c>
      <c r="C62" s="540" t="str">
        <f>MONTH(Table_NFI[[#This Row],[Distribution Date]]) &amp; "/" &amp; YEAR(Table_NFI[[#This Row],[Distribution Date]])</f>
        <v>5/2017</v>
      </c>
      <c r="D62" s="198" t="s">
        <v>1258</v>
      </c>
      <c r="E62" s="198" t="s">
        <v>1258</v>
      </c>
      <c r="F62" s="198" t="s">
        <v>378</v>
      </c>
      <c r="G62" s="198" t="s">
        <v>5</v>
      </c>
      <c r="H62" s="198" t="s">
        <v>1271</v>
      </c>
      <c r="I62" s="183"/>
      <c r="J62" s="541"/>
      <c r="K62" s="541"/>
      <c r="L62" s="541"/>
      <c r="M62" s="541"/>
      <c r="N62" s="541">
        <v>54</v>
      </c>
      <c r="O62" s="541">
        <v>6</v>
      </c>
      <c r="P62" s="541">
        <v>108</v>
      </c>
      <c r="Q62" s="541">
        <v>54</v>
      </c>
      <c r="R62" s="541"/>
      <c r="S62" s="541"/>
      <c r="T62" s="541">
        <v>54</v>
      </c>
      <c r="U62" s="541"/>
      <c r="V62" s="541"/>
      <c r="W62" s="541"/>
      <c r="X62" s="541"/>
      <c r="Y62" s="541"/>
      <c r="Z62" s="541"/>
      <c r="AA62" s="541"/>
      <c r="AB62" s="541"/>
      <c r="AC62" s="542"/>
      <c r="AD62" s="542"/>
      <c r="AE62" s="542"/>
      <c r="AF62" s="542"/>
      <c r="AG62" s="542"/>
      <c r="AH62" s="542"/>
      <c r="AI62" s="542"/>
      <c r="AJ62" s="542"/>
      <c r="AK62" s="542"/>
      <c r="AL62" s="542"/>
      <c r="AM62" s="542"/>
      <c r="AN62" s="542"/>
      <c r="AO62" s="542"/>
      <c r="AP62" s="542">
        <f>IF(Table_NFI[[#This Row],[Winter Clothes Adult]]+Table_NFI[[#This Row],[Winter Clothes Children]]+Table_NFI[[#This Row],[Winter Items Other]]+Table_NFI[[#This Row],[Winter Blanket]]&gt;0,1,0)</f>
        <v>0</v>
      </c>
      <c r="AQ62" s="542"/>
      <c r="AR62" s="542"/>
      <c r="AS62" s="542"/>
      <c r="AT62" s="205" t="str">
        <f>IFERROR(VLOOKUP(Table_NFI[[#This Row],[Location]],CL,2,0),"")</f>
        <v/>
      </c>
      <c r="AU62" s="183" t="s">
        <v>1272</v>
      </c>
      <c r="AV62" s="183"/>
      <c r="DP62" s="534"/>
    </row>
    <row r="63" spans="2:120" ht="18.75" customHeight="1" x14ac:dyDescent="0.25">
      <c r="B63" s="540">
        <v>42867</v>
      </c>
      <c r="C63" s="540" t="str">
        <f>MONTH(Table_NFI[[#This Row],[Distribution Date]]) &amp; "/" &amp; YEAR(Table_NFI[[#This Row],[Distribution Date]])</f>
        <v>5/2017</v>
      </c>
      <c r="D63" s="197" t="s">
        <v>1258</v>
      </c>
      <c r="E63" s="198" t="s">
        <v>1258</v>
      </c>
      <c r="F63" s="198" t="s">
        <v>378</v>
      </c>
      <c r="G63" s="198" t="s">
        <v>151</v>
      </c>
      <c r="H63" s="197" t="s">
        <v>801</v>
      </c>
      <c r="I63" s="199"/>
      <c r="J63" s="541"/>
      <c r="K63" s="541"/>
      <c r="L63" s="541"/>
      <c r="M63" s="541"/>
      <c r="N63" s="541"/>
      <c r="O63" s="541"/>
      <c r="P63" s="541">
        <v>350</v>
      </c>
      <c r="Q63" s="541">
        <v>38</v>
      </c>
      <c r="R63" s="541"/>
      <c r="S63" s="541"/>
      <c r="T63" s="541">
        <v>175</v>
      </c>
      <c r="U63" s="541"/>
      <c r="V63" s="541"/>
      <c r="W63" s="541"/>
      <c r="X63" s="541"/>
      <c r="Y63" s="541"/>
      <c r="Z63" s="541"/>
      <c r="AA63" s="541"/>
      <c r="AB63" s="541"/>
      <c r="AC63" s="542"/>
      <c r="AD63" s="542"/>
      <c r="AE63" s="542"/>
      <c r="AF63" s="542"/>
      <c r="AG63" s="542"/>
      <c r="AH63" s="542"/>
      <c r="AI63" s="542"/>
      <c r="AJ63" s="542"/>
      <c r="AK63" s="542"/>
      <c r="AL63" s="542"/>
      <c r="AM63" s="542"/>
      <c r="AN63" s="542"/>
      <c r="AO63" s="542"/>
      <c r="AP63" s="542">
        <f>IF(Table_NFI[[#This Row],[Winter Clothes Adult]]+Table_NFI[[#This Row],[Winter Clothes Children]]+Table_NFI[[#This Row],[Winter Items Other]]+Table_NFI[[#This Row],[Winter Blanket]]&gt;0,1,0)</f>
        <v>0</v>
      </c>
      <c r="AQ63" s="542"/>
      <c r="AR63" s="542"/>
      <c r="AS63" s="542"/>
      <c r="AT63" s="205" t="str">
        <f>IFERROR(VLOOKUP(Table_NFI[[#This Row],[Location]],CL,2,0),"")</f>
        <v>MMR001CMP213</v>
      </c>
      <c r="AU63" s="199"/>
      <c r="AV63" s="183"/>
      <c r="DP63" s="534"/>
    </row>
    <row r="64" spans="2:120" ht="18.75" customHeight="1" x14ac:dyDescent="0.25">
      <c r="B64" s="540">
        <v>42880</v>
      </c>
      <c r="C64" s="540" t="str">
        <f>MONTH(Table_NFI[[#This Row],[Distribution Date]]) &amp; "/" &amp; YEAR(Table_NFI[[#This Row],[Distribution Date]])</f>
        <v>5/2017</v>
      </c>
      <c r="D64" s="197" t="s">
        <v>1258</v>
      </c>
      <c r="E64" s="198" t="s">
        <v>1258</v>
      </c>
      <c r="F64" s="197" t="s">
        <v>506</v>
      </c>
      <c r="G64" s="197" t="s">
        <v>719</v>
      </c>
      <c r="H64" s="197" t="s">
        <v>1059</v>
      </c>
      <c r="I64" s="199"/>
      <c r="J64" s="541"/>
      <c r="K64" s="541"/>
      <c r="L64" s="541"/>
      <c r="M64" s="541"/>
      <c r="N64" s="541">
        <v>57</v>
      </c>
      <c r="O64" s="541"/>
      <c r="P64" s="541"/>
      <c r="Q64" s="541">
        <v>57</v>
      </c>
      <c r="R64" s="541"/>
      <c r="S64" s="541"/>
      <c r="T64" s="541">
        <v>57</v>
      </c>
      <c r="U64" s="541"/>
      <c r="V64" s="541"/>
      <c r="W64" s="541"/>
      <c r="X64" s="541"/>
      <c r="Y64" s="541"/>
      <c r="Z64" s="541"/>
      <c r="AA64" s="541"/>
      <c r="AB64" s="541"/>
      <c r="AC64" s="542"/>
      <c r="AD64" s="542"/>
      <c r="AE64" s="542"/>
      <c r="AF64" s="542"/>
      <c r="AG64" s="542"/>
      <c r="AH64" s="542"/>
      <c r="AI64" s="542"/>
      <c r="AJ64" s="542"/>
      <c r="AK64" s="542"/>
      <c r="AL64" s="542"/>
      <c r="AM64" s="542"/>
      <c r="AN64" s="542"/>
      <c r="AO64" s="542"/>
      <c r="AP64" s="542">
        <f>IF(Table_NFI[[#This Row],[Winter Clothes Adult]]+Table_NFI[[#This Row],[Winter Clothes Children]]+Table_NFI[[#This Row],[Winter Items Other]]+Table_NFI[[#This Row],[Winter Blanket]]&gt;0,1,0)</f>
        <v>0</v>
      </c>
      <c r="AQ64" s="542"/>
      <c r="AR64" s="542"/>
      <c r="AS64" s="542"/>
      <c r="AT64" s="205" t="str">
        <f>IFERROR(VLOOKUP(Table_NFI[[#This Row],[Location]],CL,2,0),"")</f>
        <v>MMR015CMP218</v>
      </c>
      <c r="AU64" s="199" t="s">
        <v>1273</v>
      </c>
      <c r="AV64" s="183"/>
      <c r="DP64" s="534"/>
    </row>
    <row r="65" spans="2:120" ht="18.75" customHeight="1" x14ac:dyDescent="0.25">
      <c r="B65" s="540">
        <v>42881</v>
      </c>
      <c r="C65" s="540" t="str">
        <f>MONTH(Table_NFI[[#This Row],[Distribution Date]]) &amp; "/" &amp; YEAR(Table_NFI[[#This Row],[Distribution Date]])</f>
        <v>5/2017</v>
      </c>
      <c r="D65" s="197" t="s">
        <v>1258</v>
      </c>
      <c r="E65" s="198" t="s">
        <v>1258</v>
      </c>
      <c r="F65" s="197" t="s">
        <v>506</v>
      </c>
      <c r="G65" s="197" t="s">
        <v>146</v>
      </c>
      <c r="H65" s="197" t="s">
        <v>1231</v>
      </c>
      <c r="I65" s="197"/>
      <c r="J65" s="541"/>
      <c r="K65" s="541"/>
      <c r="L65" s="541"/>
      <c r="M65" s="541"/>
      <c r="N65" s="541">
        <v>46</v>
      </c>
      <c r="O65" s="541">
        <v>12</v>
      </c>
      <c r="P65" s="541">
        <v>92</v>
      </c>
      <c r="Q65" s="541">
        <v>46</v>
      </c>
      <c r="R65" s="541"/>
      <c r="S65" s="541"/>
      <c r="T65" s="541">
        <v>46</v>
      </c>
      <c r="U65" s="541"/>
      <c r="V65" s="541"/>
      <c r="W65" s="541"/>
      <c r="X65" s="541"/>
      <c r="Y65" s="541"/>
      <c r="Z65" s="541"/>
      <c r="AA65" s="541"/>
      <c r="AB65" s="541"/>
      <c r="AC65" s="542"/>
      <c r="AD65" s="542"/>
      <c r="AE65" s="542"/>
      <c r="AF65" s="542"/>
      <c r="AG65" s="542"/>
      <c r="AH65" s="542"/>
      <c r="AI65" s="542"/>
      <c r="AJ65" s="542"/>
      <c r="AK65" s="542"/>
      <c r="AL65" s="542"/>
      <c r="AM65" s="542"/>
      <c r="AN65" s="542"/>
      <c r="AO65" s="542"/>
      <c r="AP65" s="542">
        <f>IF(Table_NFI[[#This Row],[Winter Clothes Adult]]+Table_NFI[[#This Row],[Winter Clothes Children]]+Table_NFI[[#This Row],[Winter Items Other]]+Table_NFI[[#This Row],[Winter Blanket]]&gt;0,1,0)</f>
        <v>0</v>
      </c>
      <c r="AQ65" s="542"/>
      <c r="AR65" s="542"/>
      <c r="AS65" s="542"/>
      <c r="AT65" s="205" t="str">
        <f>IFERROR(VLOOKUP(Table_NFI[[#This Row],[Location]],CL,2,0),"")</f>
        <v>MMR015CMP245</v>
      </c>
      <c r="AU65" s="199" t="s">
        <v>1273</v>
      </c>
      <c r="AV65" s="183"/>
      <c r="DP65" s="534"/>
    </row>
    <row r="66" spans="2:120" ht="18.75" customHeight="1" x14ac:dyDescent="0.25">
      <c r="B66" s="540">
        <v>42882</v>
      </c>
      <c r="C66" s="540" t="str">
        <f>MONTH(Table_NFI[[#This Row],[Distribution Date]]) &amp; "/" &amp; YEAR(Table_NFI[[#This Row],[Distribution Date]])</f>
        <v>5/2017</v>
      </c>
      <c r="D66" s="198" t="s">
        <v>1258</v>
      </c>
      <c r="E66" s="198" t="s">
        <v>1258</v>
      </c>
      <c r="F66" s="198" t="s">
        <v>506</v>
      </c>
      <c r="G66" s="198" t="s">
        <v>146</v>
      </c>
      <c r="H66" s="197" t="s">
        <v>1238</v>
      </c>
      <c r="I66" s="197"/>
      <c r="J66" s="541"/>
      <c r="K66" s="541"/>
      <c r="L66" s="541"/>
      <c r="M66" s="541"/>
      <c r="N66" s="541">
        <v>24</v>
      </c>
      <c r="O66" s="541">
        <v>9</v>
      </c>
      <c r="P66" s="541">
        <v>48</v>
      </c>
      <c r="Q66" s="541">
        <v>24</v>
      </c>
      <c r="R66" s="541"/>
      <c r="S66" s="541"/>
      <c r="T66" s="541">
        <v>24</v>
      </c>
      <c r="U66" s="541"/>
      <c r="V66" s="541"/>
      <c r="W66" s="541"/>
      <c r="X66" s="541"/>
      <c r="Y66" s="541"/>
      <c r="Z66" s="541"/>
      <c r="AA66" s="541"/>
      <c r="AB66" s="541"/>
      <c r="AC66" s="542"/>
      <c r="AD66" s="542"/>
      <c r="AE66" s="542"/>
      <c r="AF66" s="542"/>
      <c r="AG66" s="542"/>
      <c r="AH66" s="542"/>
      <c r="AI66" s="542"/>
      <c r="AJ66" s="542"/>
      <c r="AK66" s="542"/>
      <c r="AL66" s="542"/>
      <c r="AM66" s="542"/>
      <c r="AN66" s="542"/>
      <c r="AO66" s="542"/>
      <c r="AP66" s="542">
        <f>IF(Table_NFI[[#This Row],[Winter Clothes Adult]]+Table_NFI[[#This Row],[Winter Clothes Children]]+Table_NFI[[#This Row],[Winter Items Other]]+Table_NFI[[#This Row],[Winter Blanket]]&gt;0,1,0)</f>
        <v>0</v>
      </c>
      <c r="AQ66" s="542"/>
      <c r="AR66" s="542"/>
      <c r="AS66" s="542"/>
      <c r="AT66" s="205" t="str">
        <f>IFERROR(VLOOKUP(Table_NFI[[#This Row],[Location]],CL,2,0),"")</f>
        <v>MMR015CMP246</v>
      </c>
      <c r="AU66" s="199" t="s">
        <v>1273</v>
      </c>
      <c r="AV66" s="183"/>
      <c r="DP66" s="534"/>
    </row>
    <row r="67" spans="2:120" ht="18.75" customHeight="1" x14ac:dyDescent="0.25">
      <c r="B67" s="540">
        <v>42882</v>
      </c>
      <c r="C67" s="540" t="str">
        <f>MONTH(Table_NFI[[#This Row],[Distribution Date]]) &amp; "/" &amp; YEAR(Table_NFI[[#This Row],[Distribution Date]])</f>
        <v>5/2017</v>
      </c>
      <c r="D67" s="198" t="s">
        <v>1258</v>
      </c>
      <c r="E67" s="198" t="s">
        <v>1258</v>
      </c>
      <c r="F67" s="198" t="s">
        <v>506</v>
      </c>
      <c r="G67" s="198" t="s">
        <v>146</v>
      </c>
      <c r="H67" s="197" t="s">
        <v>1231</v>
      </c>
      <c r="I67" s="199"/>
      <c r="J67" s="541"/>
      <c r="K67" s="541"/>
      <c r="L67" s="541"/>
      <c r="M67" s="541"/>
      <c r="N67" s="541"/>
      <c r="O67" s="541">
        <v>24</v>
      </c>
      <c r="P67" s="541"/>
      <c r="Q67" s="541"/>
      <c r="R67" s="541"/>
      <c r="S67" s="541"/>
      <c r="T67" s="541"/>
      <c r="U67" s="541"/>
      <c r="V67" s="541"/>
      <c r="W67" s="541"/>
      <c r="X67" s="541"/>
      <c r="Y67" s="541"/>
      <c r="Z67" s="541"/>
      <c r="AA67" s="541"/>
      <c r="AB67" s="541"/>
      <c r="AC67" s="542"/>
      <c r="AD67" s="542"/>
      <c r="AE67" s="542"/>
      <c r="AF67" s="542"/>
      <c r="AG67" s="542"/>
      <c r="AH67" s="542"/>
      <c r="AI67" s="542"/>
      <c r="AJ67" s="542"/>
      <c r="AK67" s="542"/>
      <c r="AL67" s="542"/>
      <c r="AM67" s="542"/>
      <c r="AN67" s="542"/>
      <c r="AO67" s="542"/>
      <c r="AP67" s="542">
        <f>IF(Table_NFI[[#This Row],[Winter Clothes Adult]]+Table_NFI[[#This Row],[Winter Clothes Children]]+Table_NFI[[#This Row],[Winter Items Other]]+Table_NFI[[#This Row],[Winter Blanket]]&gt;0,1,0)</f>
        <v>0</v>
      </c>
      <c r="AQ67" s="542"/>
      <c r="AR67" s="542"/>
      <c r="AS67" s="542"/>
      <c r="AT67" s="205" t="str">
        <f>IFERROR(VLOOKUP(Table_NFI[[#This Row],[Location]],CL,2,0),"")</f>
        <v>MMR015CMP245</v>
      </c>
      <c r="AU67" s="199"/>
      <c r="AV67" s="183"/>
      <c r="DP67" s="534"/>
    </row>
    <row r="68" spans="2:120" ht="18.75" customHeight="1" x14ac:dyDescent="0.25">
      <c r="B68" s="540">
        <v>42883</v>
      </c>
      <c r="C68" s="540" t="str">
        <f>MONTH(Table_NFI[[#This Row],[Distribution Date]]) &amp; "/" &amp; YEAR(Table_NFI[[#This Row],[Distribution Date]])</f>
        <v>5/2017</v>
      </c>
      <c r="D68" s="198" t="s">
        <v>1258</v>
      </c>
      <c r="E68" s="198" t="s">
        <v>1258</v>
      </c>
      <c r="F68" s="198" t="s">
        <v>506</v>
      </c>
      <c r="G68" s="198" t="s">
        <v>146</v>
      </c>
      <c r="H68" s="197" t="s">
        <v>1615</v>
      </c>
      <c r="I68" s="197"/>
      <c r="J68" s="541"/>
      <c r="K68" s="541"/>
      <c r="L68" s="541"/>
      <c r="M68" s="541"/>
      <c r="N68" s="541">
        <v>143</v>
      </c>
      <c r="O68" s="541">
        <v>62</v>
      </c>
      <c r="P68" s="541">
        <v>286</v>
      </c>
      <c r="Q68" s="541">
        <v>143</v>
      </c>
      <c r="R68" s="541"/>
      <c r="S68" s="541"/>
      <c r="T68" s="541">
        <v>143</v>
      </c>
      <c r="U68" s="541"/>
      <c r="V68" s="541"/>
      <c r="W68" s="541"/>
      <c r="X68" s="541"/>
      <c r="Y68" s="541"/>
      <c r="Z68" s="541"/>
      <c r="AA68" s="541"/>
      <c r="AB68" s="541"/>
      <c r="AC68" s="542"/>
      <c r="AD68" s="542"/>
      <c r="AE68" s="542"/>
      <c r="AF68" s="542"/>
      <c r="AG68" s="542"/>
      <c r="AH68" s="542"/>
      <c r="AI68" s="542"/>
      <c r="AJ68" s="542"/>
      <c r="AK68" s="542"/>
      <c r="AL68" s="542"/>
      <c r="AM68" s="542"/>
      <c r="AN68" s="542"/>
      <c r="AO68" s="542"/>
      <c r="AP68" s="542">
        <f>IF(Table_NFI[[#This Row],[Winter Clothes Adult]]+Table_NFI[[#This Row],[Winter Clothes Children]]+Table_NFI[[#This Row],[Winter Items Other]]+Table_NFI[[#This Row],[Winter Blanket]]&gt;0,1,0)</f>
        <v>0</v>
      </c>
      <c r="AQ68" s="542"/>
      <c r="AR68" s="542"/>
      <c r="AS68" s="542"/>
      <c r="AT68" s="205" t="str">
        <f>IFERROR(VLOOKUP(Table_NFI[[#This Row],[Location]],CL,2,0),"")</f>
        <v>MMR015CMP220</v>
      </c>
      <c r="AU68" s="199" t="s">
        <v>1273</v>
      </c>
      <c r="AV68" s="183"/>
      <c r="DP68" s="534"/>
    </row>
    <row r="69" spans="2:120" ht="18.75" customHeight="1" x14ac:dyDescent="0.25">
      <c r="B69" s="540">
        <v>42885</v>
      </c>
      <c r="C69" s="540" t="str">
        <f>MONTH(Table_NFI[[#This Row],[Distribution Date]]) &amp; "/" &amp; YEAR(Table_NFI[[#This Row],[Distribution Date]])</f>
        <v>5/2017</v>
      </c>
      <c r="D69" s="198" t="s">
        <v>1258</v>
      </c>
      <c r="E69" s="198" t="s">
        <v>1258</v>
      </c>
      <c r="F69" s="198" t="s">
        <v>506</v>
      </c>
      <c r="G69" s="198" t="s">
        <v>297</v>
      </c>
      <c r="H69" s="197" t="s">
        <v>759</v>
      </c>
      <c r="I69" s="197"/>
      <c r="J69" s="541"/>
      <c r="K69" s="541"/>
      <c r="L69" s="541"/>
      <c r="M69" s="541"/>
      <c r="N69" s="541">
        <v>46</v>
      </c>
      <c r="O69" s="541">
        <v>9</v>
      </c>
      <c r="P69" s="541">
        <v>46</v>
      </c>
      <c r="Q69" s="541">
        <v>46</v>
      </c>
      <c r="R69" s="541"/>
      <c r="S69" s="541"/>
      <c r="T69" s="541">
        <v>46</v>
      </c>
      <c r="U69" s="541"/>
      <c r="V69" s="541"/>
      <c r="W69" s="541"/>
      <c r="X69" s="541"/>
      <c r="Y69" s="541"/>
      <c r="Z69" s="541"/>
      <c r="AA69" s="541"/>
      <c r="AB69" s="541"/>
      <c r="AC69" s="542"/>
      <c r="AD69" s="542"/>
      <c r="AE69" s="542"/>
      <c r="AF69" s="542"/>
      <c r="AG69" s="542"/>
      <c r="AH69" s="542"/>
      <c r="AI69" s="542"/>
      <c r="AJ69" s="542"/>
      <c r="AK69" s="542"/>
      <c r="AL69" s="542"/>
      <c r="AM69" s="542"/>
      <c r="AN69" s="542"/>
      <c r="AO69" s="542"/>
      <c r="AP69" s="542">
        <f>IF(Table_NFI[[#This Row],[Winter Clothes Adult]]+Table_NFI[[#This Row],[Winter Clothes Children]]+Table_NFI[[#This Row],[Winter Items Other]]+Table_NFI[[#This Row],[Winter Blanket]]&gt;0,1,0)</f>
        <v>0</v>
      </c>
      <c r="AQ69" s="542"/>
      <c r="AR69" s="542"/>
      <c r="AS69" s="542"/>
      <c r="AT69" s="205" t="str">
        <f>IFERROR(VLOOKUP(Table_NFI[[#This Row],[Location]],CL,2,0),"")</f>
        <v>MMR015CMP014</v>
      </c>
      <c r="AU69" s="199" t="s">
        <v>1273</v>
      </c>
      <c r="AV69" s="183"/>
      <c r="DP69" s="534"/>
    </row>
    <row r="70" spans="2:120" ht="18.75" customHeight="1" x14ac:dyDescent="0.25">
      <c r="B70" s="540">
        <v>42885</v>
      </c>
      <c r="C70" s="540" t="str">
        <f>MONTH(Table_NFI[[#This Row],[Distribution Date]]) &amp; "/" &amp; YEAR(Table_NFI[[#This Row],[Distribution Date]])</f>
        <v>5/2017</v>
      </c>
      <c r="D70" s="198" t="s">
        <v>1258</v>
      </c>
      <c r="E70" s="198" t="s">
        <v>1258</v>
      </c>
      <c r="F70" s="198" t="s">
        <v>506</v>
      </c>
      <c r="G70" s="198" t="s">
        <v>297</v>
      </c>
      <c r="H70" s="197" t="s">
        <v>1190</v>
      </c>
      <c r="I70" s="197"/>
      <c r="J70" s="541"/>
      <c r="K70" s="541"/>
      <c r="L70" s="541"/>
      <c r="M70" s="541"/>
      <c r="N70" s="541">
        <v>25</v>
      </c>
      <c r="O70" s="541">
        <v>5</v>
      </c>
      <c r="P70" s="541">
        <v>25</v>
      </c>
      <c r="Q70" s="541">
        <v>25</v>
      </c>
      <c r="R70" s="541"/>
      <c r="S70" s="541"/>
      <c r="T70" s="541">
        <v>25</v>
      </c>
      <c r="U70" s="541"/>
      <c r="V70" s="541"/>
      <c r="W70" s="541"/>
      <c r="X70" s="541"/>
      <c r="Y70" s="541"/>
      <c r="Z70" s="541"/>
      <c r="AA70" s="541"/>
      <c r="AB70" s="541"/>
      <c r="AC70" s="542"/>
      <c r="AD70" s="542"/>
      <c r="AE70" s="542"/>
      <c r="AF70" s="542"/>
      <c r="AG70" s="542"/>
      <c r="AH70" s="542"/>
      <c r="AI70" s="542"/>
      <c r="AJ70" s="542"/>
      <c r="AK70" s="542"/>
      <c r="AL70" s="542"/>
      <c r="AM70" s="542"/>
      <c r="AN70" s="542"/>
      <c r="AO70" s="542"/>
      <c r="AP70" s="542">
        <f>IF(Table_NFI[[#This Row],[Winter Clothes Adult]]+Table_NFI[[#This Row],[Winter Clothes Children]]+Table_NFI[[#This Row],[Winter Items Other]]+Table_NFI[[#This Row],[Winter Blanket]]&gt;0,1,0)</f>
        <v>0</v>
      </c>
      <c r="AQ70" s="542"/>
      <c r="AR70" s="542"/>
      <c r="AS70" s="542"/>
      <c r="AT70" s="205" t="str">
        <f>IFERROR(VLOOKUP(Table_NFI[[#This Row],[Location]],CL,2,0),"")</f>
        <v>MMR015CMP232</v>
      </c>
      <c r="AU70" s="199" t="s">
        <v>1273</v>
      </c>
      <c r="AV70" s="183"/>
      <c r="DP70" s="534"/>
    </row>
    <row r="71" spans="2:120" ht="18.75" customHeight="1" x14ac:dyDescent="0.25">
      <c r="B71" s="540">
        <v>42885</v>
      </c>
      <c r="C71" s="540" t="str">
        <f>MONTH(Table_NFI[[#This Row],[Distribution Date]]) &amp; "/" &amp; YEAR(Table_NFI[[#This Row],[Distribution Date]])</f>
        <v>5/2017</v>
      </c>
      <c r="D71" s="198" t="s">
        <v>1258</v>
      </c>
      <c r="E71" s="198" t="s">
        <v>1258</v>
      </c>
      <c r="F71" s="198" t="s">
        <v>506</v>
      </c>
      <c r="G71" s="198" t="s">
        <v>297</v>
      </c>
      <c r="H71" s="197" t="s">
        <v>1136</v>
      </c>
      <c r="I71" s="197"/>
      <c r="J71" s="541"/>
      <c r="K71" s="541"/>
      <c r="L71" s="541"/>
      <c r="M71" s="541"/>
      <c r="N71" s="541">
        <v>16</v>
      </c>
      <c r="O71" s="541">
        <v>3</v>
      </c>
      <c r="P71" s="541">
        <v>16</v>
      </c>
      <c r="Q71" s="541">
        <v>16</v>
      </c>
      <c r="R71" s="541"/>
      <c r="S71" s="541"/>
      <c r="T71" s="541">
        <v>16</v>
      </c>
      <c r="U71" s="541"/>
      <c r="V71" s="541"/>
      <c r="W71" s="541"/>
      <c r="X71" s="541"/>
      <c r="Y71" s="541"/>
      <c r="Z71" s="541"/>
      <c r="AA71" s="541"/>
      <c r="AB71" s="541"/>
      <c r="AC71" s="542"/>
      <c r="AD71" s="542"/>
      <c r="AE71" s="542"/>
      <c r="AF71" s="542"/>
      <c r="AG71" s="542"/>
      <c r="AH71" s="542"/>
      <c r="AI71" s="542"/>
      <c r="AJ71" s="542"/>
      <c r="AK71" s="542"/>
      <c r="AL71" s="542"/>
      <c r="AM71" s="542"/>
      <c r="AN71" s="542"/>
      <c r="AO71" s="542"/>
      <c r="AP71" s="542">
        <f>IF(Table_NFI[[#This Row],[Winter Clothes Adult]]+Table_NFI[[#This Row],[Winter Clothes Children]]+Table_NFI[[#This Row],[Winter Items Other]]+Table_NFI[[#This Row],[Winter Blanket]]&gt;0,1,0)</f>
        <v>0</v>
      </c>
      <c r="AQ71" s="542"/>
      <c r="AR71" s="542"/>
      <c r="AS71" s="542"/>
      <c r="AT71" s="205" t="str">
        <f>IFERROR(VLOOKUP(Table_NFI[[#This Row],[Location]],CL,2,0),"")</f>
        <v>MMR015CMP221</v>
      </c>
      <c r="AU71" s="199" t="s">
        <v>1273</v>
      </c>
      <c r="AV71" s="183"/>
      <c r="DP71" s="534"/>
    </row>
    <row r="72" spans="2:120" ht="18.75" customHeight="1" x14ac:dyDescent="0.25">
      <c r="B72" s="540">
        <v>42885</v>
      </c>
      <c r="C72" s="540" t="str">
        <f>MONTH(Table_NFI[[#This Row],[Distribution Date]]) &amp; "/" &amp; YEAR(Table_NFI[[#This Row],[Distribution Date]])</f>
        <v>5/2017</v>
      </c>
      <c r="D72" s="198" t="s">
        <v>1258</v>
      </c>
      <c r="E72" s="198" t="s">
        <v>1258</v>
      </c>
      <c r="F72" s="198" t="s">
        <v>506</v>
      </c>
      <c r="G72" s="198" t="s">
        <v>297</v>
      </c>
      <c r="H72" s="197" t="s">
        <v>1275</v>
      </c>
      <c r="I72" s="197"/>
      <c r="J72" s="541"/>
      <c r="K72" s="541"/>
      <c r="L72" s="541"/>
      <c r="M72" s="541"/>
      <c r="N72" s="541">
        <v>60</v>
      </c>
      <c r="O72" s="541"/>
      <c r="P72" s="541">
        <v>60</v>
      </c>
      <c r="Q72" s="541">
        <v>60</v>
      </c>
      <c r="R72" s="541"/>
      <c r="S72" s="541"/>
      <c r="T72" s="541">
        <v>60</v>
      </c>
      <c r="U72" s="541"/>
      <c r="V72" s="541"/>
      <c r="W72" s="541"/>
      <c r="X72" s="541"/>
      <c r="Y72" s="541"/>
      <c r="Z72" s="541"/>
      <c r="AA72" s="541"/>
      <c r="AB72" s="541"/>
      <c r="AC72" s="542"/>
      <c r="AD72" s="542"/>
      <c r="AE72" s="542"/>
      <c r="AF72" s="542"/>
      <c r="AG72" s="542"/>
      <c r="AH72" s="542"/>
      <c r="AI72" s="542"/>
      <c r="AJ72" s="542"/>
      <c r="AK72" s="542"/>
      <c r="AL72" s="542"/>
      <c r="AM72" s="542"/>
      <c r="AN72" s="542"/>
      <c r="AO72" s="542"/>
      <c r="AP72" s="542">
        <f>IF(Table_NFI[[#This Row],[Winter Clothes Adult]]+Table_NFI[[#This Row],[Winter Clothes Children]]+Table_NFI[[#This Row],[Winter Items Other]]+Table_NFI[[#This Row],[Winter Blanket]]&gt;0,1,0)</f>
        <v>0</v>
      </c>
      <c r="AQ72" s="542"/>
      <c r="AR72" s="542"/>
      <c r="AS72" s="542"/>
      <c r="AT72" s="205" t="str">
        <f>IFERROR(VLOOKUP(Table_NFI[[#This Row],[Location]],CL,2,0),"")</f>
        <v>MMR015CMP248</v>
      </c>
      <c r="AU72" s="199" t="s">
        <v>1273</v>
      </c>
      <c r="AV72" s="183"/>
      <c r="DP72" s="534"/>
    </row>
    <row r="73" spans="2:120" ht="18.75" customHeight="1" x14ac:dyDescent="0.25">
      <c r="B73" s="546">
        <v>42893</v>
      </c>
      <c r="C73" s="546" t="str">
        <f>MONTH(Table_NFI[[#This Row],[Distribution Date]]) &amp; "/" &amp; YEAR(Table_NFI[[#This Row],[Distribution Date]])</f>
        <v>6/2017</v>
      </c>
      <c r="D73" s="544" t="s">
        <v>1258</v>
      </c>
      <c r="E73" s="544" t="s">
        <v>424</v>
      </c>
      <c r="F73" s="544" t="s">
        <v>378</v>
      </c>
      <c r="G73" s="544" t="s">
        <v>5</v>
      </c>
      <c r="H73" s="544" t="s">
        <v>12</v>
      </c>
      <c r="I73" s="547"/>
      <c r="J73" s="548"/>
      <c r="K73" s="548"/>
      <c r="L73" s="548"/>
      <c r="M73" s="548"/>
      <c r="N73" s="548">
        <v>79</v>
      </c>
      <c r="O73" s="548"/>
      <c r="P73" s="548">
        <v>158</v>
      </c>
      <c r="Q73" s="548">
        <v>79</v>
      </c>
      <c r="R73" s="548"/>
      <c r="S73" s="548"/>
      <c r="T73" s="548">
        <v>79</v>
      </c>
      <c r="U73" s="548"/>
      <c r="V73" s="548"/>
      <c r="W73" s="548"/>
      <c r="X73" s="548"/>
      <c r="Y73" s="548"/>
      <c r="Z73" s="548"/>
      <c r="AA73" s="548"/>
      <c r="AB73" s="548"/>
      <c r="AC73" s="549"/>
      <c r="AD73" s="549"/>
      <c r="AE73" s="549"/>
      <c r="AF73" s="549"/>
      <c r="AG73" s="549"/>
      <c r="AH73" s="549"/>
      <c r="AI73" s="549"/>
      <c r="AJ73" s="549"/>
      <c r="AK73" s="549"/>
      <c r="AL73" s="549"/>
      <c r="AM73" s="549"/>
      <c r="AN73" s="549"/>
      <c r="AO73" s="549"/>
      <c r="AP73" s="549">
        <f>IF(Table_NFI[[#This Row],[Winter Clothes Adult]]+Table_NFI[[#This Row],[Winter Clothes Children]]+Table_NFI[[#This Row],[Winter Items Other]]+Table_NFI[[#This Row],[Winter Blanket]]&gt;0,1,0)</f>
        <v>0</v>
      </c>
      <c r="AQ73" s="549"/>
      <c r="AR73" s="549"/>
      <c r="AS73" s="549"/>
      <c r="AT73" s="550" t="str">
        <f>IFERROR(VLOOKUP(Table_NFI[[#This Row],[Location]],CL,2,0),"")</f>
        <v>MMR001CMP163</v>
      </c>
      <c r="AU73" s="551"/>
      <c r="AV73" s="183"/>
      <c r="DP73" s="534"/>
    </row>
    <row r="74" spans="2:120" ht="18.75" customHeight="1" x14ac:dyDescent="0.25">
      <c r="B74" s="546">
        <v>42900</v>
      </c>
      <c r="C74" s="546" t="str">
        <f>MONTH(Table_NFI[[#This Row],[Distribution Date]]) &amp; "/" &amp; YEAR(Table_NFI[[#This Row],[Distribution Date]])</f>
        <v>6/2017</v>
      </c>
      <c r="D74" s="544" t="s">
        <v>1258</v>
      </c>
      <c r="E74" s="544" t="s">
        <v>424</v>
      </c>
      <c r="F74" s="198" t="s">
        <v>378</v>
      </c>
      <c r="G74" s="198" t="s">
        <v>151</v>
      </c>
      <c r="H74" s="544" t="s">
        <v>910</v>
      </c>
      <c r="I74" s="547"/>
      <c r="J74" s="548"/>
      <c r="K74" s="548"/>
      <c r="L74" s="548"/>
      <c r="M74" s="548"/>
      <c r="N74" s="548">
        <v>143</v>
      </c>
      <c r="O74" s="548"/>
      <c r="P74" s="548">
        <v>27</v>
      </c>
      <c r="Q74" s="548">
        <v>83</v>
      </c>
      <c r="R74" s="548"/>
      <c r="S74" s="548"/>
      <c r="T74" s="548">
        <v>143</v>
      </c>
      <c r="U74" s="548"/>
      <c r="V74" s="548"/>
      <c r="W74" s="548"/>
      <c r="X74" s="548"/>
      <c r="Y74" s="548"/>
      <c r="Z74" s="548">
        <v>167</v>
      </c>
      <c r="AA74" s="548"/>
      <c r="AB74" s="548"/>
      <c r="AC74" s="549"/>
      <c r="AD74" s="549"/>
      <c r="AE74" s="549"/>
      <c r="AF74" s="549"/>
      <c r="AG74" s="549"/>
      <c r="AH74" s="549"/>
      <c r="AI74" s="549"/>
      <c r="AJ74" s="549"/>
      <c r="AK74" s="549"/>
      <c r="AL74" s="549"/>
      <c r="AM74" s="549"/>
      <c r="AN74" s="549"/>
      <c r="AO74" s="549"/>
      <c r="AP74" s="549">
        <f>IF(Table_NFI[[#This Row],[Winter Clothes Adult]]+Table_NFI[[#This Row],[Winter Clothes Children]]+Table_NFI[[#This Row],[Winter Items Other]]+Table_NFI[[#This Row],[Winter Blanket]]&gt;0,1,0)</f>
        <v>0</v>
      </c>
      <c r="AQ74" s="549"/>
      <c r="AR74" s="549"/>
      <c r="AS74" s="549"/>
      <c r="AT74" s="550" t="str">
        <f>IFERROR(VLOOKUP(Table_NFI[[#This Row],[Location]],CL,2,0),"")</f>
        <v>MMR001CMP228</v>
      </c>
      <c r="AU74" s="551"/>
      <c r="AV74" s="183"/>
      <c r="DP74" s="534"/>
    </row>
    <row r="75" spans="2:120" ht="18.75" customHeight="1" x14ac:dyDescent="0.25">
      <c r="B75" s="546">
        <v>42900</v>
      </c>
      <c r="C75" s="546" t="str">
        <f>MONTH(Table_NFI[[#This Row],[Distribution Date]]) &amp; "/" &amp; YEAR(Table_NFI[[#This Row],[Distribution Date]])</f>
        <v>6/2017</v>
      </c>
      <c r="D75" s="544" t="s">
        <v>1258</v>
      </c>
      <c r="E75" s="544" t="s">
        <v>424</v>
      </c>
      <c r="F75" s="198" t="s">
        <v>378</v>
      </c>
      <c r="G75" s="198" t="s">
        <v>151</v>
      </c>
      <c r="H75" s="544" t="s">
        <v>160</v>
      </c>
      <c r="I75" s="547"/>
      <c r="J75" s="548"/>
      <c r="K75" s="548"/>
      <c r="L75" s="548"/>
      <c r="M75" s="548"/>
      <c r="N75" s="548">
        <v>40</v>
      </c>
      <c r="O75" s="548"/>
      <c r="P75" s="548"/>
      <c r="Q75" s="548"/>
      <c r="R75" s="548"/>
      <c r="S75" s="548"/>
      <c r="T75" s="548">
        <v>39</v>
      </c>
      <c r="U75" s="548"/>
      <c r="V75" s="548"/>
      <c r="W75" s="548"/>
      <c r="X75" s="548"/>
      <c r="Y75" s="548"/>
      <c r="Z75" s="548">
        <v>139</v>
      </c>
      <c r="AA75" s="548"/>
      <c r="AB75" s="548"/>
      <c r="AC75" s="549"/>
      <c r="AD75" s="549"/>
      <c r="AE75" s="549"/>
      <c r="AF75" s="549"/>
      <c r="AG75" s="549"/>
      <c r="AH75" s="549"/>
      <c r="AI75" s="549"/>
      <c r="AJ75" s="549"/>
      <c r="AK75" s="549"/>
      <c r="AL75" s="549"/>
      <c r="AM75" s="549"/>
      <c r="AN75" s="549"/>
      <c r="AO75" s="549"/>
      <c r="AP75" s="549">
        <f>IF(Table_NFI[[#This Row],[Winter Clothes Adult]]+Table_NFI[[#This Row],[Winter Clothes Children]]+Table_NFI[[#This Row],[Winter Items Other]]+Table_NFI[[#This Row],[Winter Blanket]]&gt;0,1,0)</f>
        <v>0</v>
      </c>
      <c r="AQ75" s="549"/>
      <c r="AR75" s="549"/>
      <c r="AS75" s="549"/>
      <c r="AT75" s="550" t="str">
        <f>IFERROR(VLOOKUP(Table_NFI[[#This Row],[Location]],CL,2,0),"")</f>
        <v>MMR001CMP133</v>
      </c>
      <c r="AU75" s="551"/>
      <c r="AV75" s="183"/>
      <c r="DP75" s="534"/>
    </row>
    <row r="76" spans="2:120" ht="18.75" customHeight="1" x14ac:dyDescent="0.25">
      <c r="B76" s="552">
        <v>42903</v>
      </c>
      <c r="C76" s="552" t="str">
        <f>MONTH(Table_NFI[[#This Row],[Distribution Date]]) &amp; "/" &amp; YEAR(Table_NFI[[#This Row],[Distribution Date]])</f>
        <v>6/2017</v>
      </c>
      <c r="D76" s="544" t="s">
        <v>778</v>
      </c>
      <c r="E76" s="198"/>
      <c r="F76" s="198" t="s">
        <v>378</v>
      </c>
      <c r="G76" s="198" t="s">
        <v>1135</v>
      </c>
      <c r="H76" s="197" t="s">
        <v>1135</v>
      </c>
      <c r="I76" s="547">
        <v>288</v>
      </c>
      <c r="J76" s="548"/>
      <c r="K76" s="548"/>
      <c r="L76" s="548"/>
      <c r="M76" s="548"/>
      <c r="N76" s="548"/>
      <c r="O76" s="548"/>
      <c r="P76" s="548"/>
      <c r="Q76" s="548"/>
      <c r="R76" s="548"/>
      <c r="S76" s="548"/>
      <c r="T76" s="548"/>
      <c r="U76" s="548"/>
      <c r="V76" s="548"/>
      <c r="W76" s="548"/>
      <c r="X76" s="548"/>
      <c r="Y76" s="548"/>
      <c r="Z76" s="548"/>
      <c r="AA76" s="548"/>
      <c r="AB76" s="548"/>
      <c r="AC76" s="549"/>
      <c r="AD76" s="549"/>
      <c r="AE76" s="549"/>
      <c r="AF76" s="549"/>
      <c r="AG76" s="549"/>
      <c r="AH76" s="549"/>
      <c r="AI76" s="549"/>
      <c r="AJ76" s="549"/>
      <c r="AK76" s="549"/>
      <c r="AL76" s="549"/>
      <c r="AM76" s="549"/>
      <c r="AN76" s="549"/>
      <c r="AO76" s="549"/>
      <c r="AP76" s="549">
        <f>IF(Table_NFI[[#This Row],[Winter Clothes Adult]]+Table_NFI[[#This Row],[Winter Clothes Children]]+Table_NFI[[#This Row],[Winter Items Other]]+Table_NFI[[#This Row],[Winter Blanket]]&gt;0,1,0)</f>
        <v>0</v>
      </c>
      <c r="AQ76" s="549"/>
      <c r="AR76" s="549"/>
      <c r="AS76" s="549"/>
      <c r="AT76" s="550" t="str">
        <f>IFERROR(VLOOKUP(Table_NFI[[#This Row],[Location]],CL,2,0),"")</f>
        <v/>
      </c>
      <c r="AU76" s="544" t="s">
        <v>1379</v>
      </c>
      <c r="AV76" s="183"/>
      <c r="DP76" s="534"/>
    </row>
    <row r="77" spans="2:120" ht="18.75" customHeight="1" x14ac:dyDescent="0.25">
      <c r="B77" s="552">
        <v>42903</v>
      </c>
      <c r="C77" s="552" t="str">
        <f>MONTH(Table_NFI[[#This Row],[Distribution Date]]) &amp; "/" &amp; YEAR(Table_NFI[[#This Row],[Distribution Date]])</f>
        <v>6/2017</v>
      </c>
      <c r="D77" s="198" t="s">
        <v>825</v>
      </c>
      <c r="E77" s="198"/>
      <c r="F77" s="198" t="s">
        <v>378</v>
      </c>
      <c r="G77" s="198" t="s">
        <v>1135</v>
      </c>
      <c r="H77" s="197" t="s">
        <v>1135</v>
      </c>
      <c r="I77" s="197"/>
      <c r="J77" s="548"/>
      <c r="K77" s="548"/>
      <c r="L77" s="548"/>
      <c r="M77" s="548"/>
      <c r="N77" s="548">
        <v>255</v>
      </c>
      <c r="O77" s="548">
        <v>255</v>
      </c>
      <c r="P77" s="548">
        <v>255</v>
      </c>
      <c r="Q77" s="548"/>
      <c r="R77" s="548"/>
      <c r="S77" s="548"/>
      <c r="T77" s="548"/>
      <c r="U77" s="548"/>
      <c r="V77" s="548"/>
      <c r="W77" s="548"/>
      <c r="X77" s="548"/>
      <c r="Y77" s="548"/>
      <c r="Z77" s="548"/>
      <c r="AA77" s="548"/>
      <c r="AB77" s="548"/>
      <c r="AC77" s="549"/>
      <c r="AD77" s="549"/>
      <c r="AE77" s="549"/>
      <c r="AF77" s="549"/>
      <c r="AG77" s="549"/>
      <c r="AH77" s="549"/>
      <c r="AI77" s="549"/>
      <c r="AJ77" s="549"/>
      <c r="AK77" s="549"/>
      <c r="AL77" s="549"/>
      <c r="AM77" s="549"/>
      <c r="AN77" s="549"/>
      <c r="AO77" s="549"/>
      <c r="AP77" s="549">
        <f>IF(Table_NFI[[#This Row],[Winter Clothes Adult]]+Table_NFI[[#This Row],[Winter Clothes Children]]+Table_NFI[[#This Row],[Winter Items Other]]+Table_NFI[[#This Row],[Winter Blanket]]&gt;0,1,0)</f>
        <v>0</v>
      </c>
      <c r="AQ77" s="549"/>
      <c r="AR77" s="549"/>
      <c r="AS77" s="549"/>
      <c r="AT77" s="550" t="str">
        <f>IFERROR(VLOOKUP(Table_NFI[[#This Row],[Location]],CL,2,0),"")</f>
        <v/>
      </c>
      <c r="AU77" s="544" t="s">
        <v>1378</v>
      </c>
      <c r="AV77" s="183"/>
      <c r="DP77" s="534"/>
    </row>
    <row r="78" spans="2:120" ht="18.75" customHeight="1" x14ac:dyDescent="0.25">
      <c r="B78" s="546">
        <v>42914</v>
      </c>
      <c r="C78" s="546" t="str">
        <f>MONTH(Table_NFI[[#This Row],[Distribution Date]]) &amp; "/" &amp; YEAR(Table_NFI[[#This Row],[Distribution Date]])</f>
        <v>6/2017</v>
      </c>
      <c r="D78" s="544" t="s">
        <v>1258</v>
      </c>
      <c r="E78" s="544" t="s">
        <v>424</v>
      </c>
      <c r="F78" s="544" t="s">
        <v>378</v>
      </c>
      <c r="G78" s="544" t="s">
        <v>5</v>
      </c>
      <c r="H78" s="544" t="s">
        <v>24</v>
      </c>
      <c r="I78" s="547"/>
      <c r="J78" s="548"/>
      <c r="K78" s="548"/>
      <c r="L78" s="548"/>
      <c r="M78" s="548"/>
      <c r="N78" s="548">
        <v>20</v>
      </c>
      <c r="O78" s="548"/>
      <c r="P78" s="548">
        <v>40</v>
      </c>
      <c r="Q78" s="548">
        <v>20</v>
      </c>
      <c r="R78" s="548"/>
      <c r="S78" s="548"/>
      <c r="T78" s="548">
        <v>20</v>
      </c>
      <c r="U78" s="548"/>
      <c r="V78" s="548"/>
      <c r="W78" s="548"/>
      <c r="X78" s="548"/>
      <c r="Y78" s="548"/>
      <c r="Z78" s="548"/>
      <c r="AA78" s="548"/>
      <c r="AB78" s="548"/>
      <c r="AC78" s="549"/>
      <c r="AD78" s="549"/>
      <c r="AE78" s="549"/>
      <c r="AF78" s="549"/>
      <c r="AG78" s="549"/>
      <c r="AH78" s="549"/>
      <c r="AI78" s="549"/>
      <c r="AJ78" s="549"/>
      <c r="AK78" s="549"/>
      <c r="AL78" s="549"/>
      <c r="AM78" s="549"/>
      <c r="AN78" s="549"/>
      <c r="AO78" s="549"/>
      <c r="AP78" s="549">
        <f>IF(Table_NFI[[#This Row],[Winter Clothes Adult]]+Table_NFI[[#This Row],[Winter Clothes Children]]+Table_NFI[[#This Row],[Winter Items Other]]+Table_NFI[[#This Row],[Winter Blanket]]&gt;0,1,0)</f>
        <v>0</v>
      </c>
      <c r="AQ78" s="549"/>
      <c r="AR78" s="549"/>
      <c r="AS78" s="549"/>
      <c r="AT78" s="550" t="str">
        <f>IFERROR(VLOOKUP(Table_NFI[[#This Row],[Location]],CL,2,0),"")</f>
        <v>MMR001CMP055</v>
      </c>
      <c r="AU78" s="551"/>
      <c r="AV78" s="183"/>
      <c r="DP78" s="534"/>
    </row>
    <row r="79" spans="2:120" ht="18.75" customHeight="1" x14ac:dyDescent="0.25">
      <c r="B79" s="546">
        <v>42915</v>
      </c>
      <c r="C79" s="546" t="str">
        <f>MONTH(Table_NFI[[#This Row],[Distribution Date]]) &amp; "/" &amp; YEAR(Table_NFI[[#This Row],[Distribution Date]])</f>
        <v>6/2017</v>
      </c>
      <c r="D79" s="544" t="s">
        <v>1258</v>
      </c>
      <c r="E79" s="544" t="s">
        <v>424</v>
      </c>
      <c r="F79" s="544" t="s">
        <v>378</v>
      </c>
      <c r="G79" s="544" t="s">
        <v>5</v>
      </c>
      <c r="H79" s="544" t="s">
        <v>20</v>
      </c>
      <c r="I79" s="547"/>
      <c r="J79" s="548"/>
      <c r="K79" s="548"/>
      <c r="L79" s="548"/>
      <c r="M79" s="548"/>
      <c r="N79" s="548"/>
      <c r="O79" s="548"/>
      <c r="P79" s="548"/>
      <c r="Q79" s="548">
        <v>22</v>
      </c>
      <c r="R79" s="548"/>
      <c r="S79" s="548"/>
      <c r="T79" s="548"/>
      <c r="U79" s="548"/>
      <c r="V79" s="548"/>
      <c r="W79" s="548"/>
      <c r="X79" s="548"/>
      <c r="Y79" s="548"/>
      <c r="Z79" s="548"/>
      <c r="AA79" s="548"/>
      <c r="AB79" s="548"/>
      <c r="AC79" s="549"/>
      <c r="AD79" s="549"/>
      <c r="AE79" s="549"/>
      <c r="AF79" s="549"/>
      <c r="AG79" s="549"/>
      <c r="AH79" s="549"/>
      <c r="AI79" s="549"/>
      <c r="AJ79" s="549"/>
      <c r="AK79" s="549"/>
      <c r="AL79" s="549"/>
      <c r="AM79" s="549"/>
      <c r="AN79" s="549"/>
      <c r="AO79" s="549"/>
      <c r="AP79" s="549">
        <f>IF(Table_NFI[[#This Row],[Winter Clothes Adult]]+Table_NFI[[#This Row],[Winter Clothes Children]]+Table_NFI[[#This Row],[Winter Items Other]]+Table_NFI[[#This Row],[Winter Blanket]]&gt;0,1,0)</f>
        <v>0</v>
      </c>
      <c r="AQ79" s="549"/>
      <c r="AR79" s="549"/>
      <c r="AS79" s="549"/>
      <c r="AT79" s="550" t="str">
        <f>IFERROR(VLOOKUP(Table_NFI[[#This Row],[Location]],CL,2,0),"")</f>
        <v>MMR001CMP054</v>
      </c>
      <c r="AU79" s="551"/>
      <c r="AV79" s="183"/>
      <c r="DP79" s="534"/>
    </row>
    <row r="80" spans="2:120" ht="18.75" customHeight="1" x14ac:dyDescent="0.25">
      <c r="B80" s="546">
        <v>42915</v>
      </c>
      <c r="C80" s="546" t="str">
        <f>MONTH(Table_NFI[[#This Row],[Distribution Date]]) &amp; "/" &amp; YEAR(Table_NFI[[#This Row],[Distribution Date]])</f>
        <v>6/2017</v>
      </c>
      <c r="D80" s="544" t="s">
        <v>1258</v>
      </c>
      <c r="E80" s="544" t="s">
        <v>424</v>
      </c>
      <c r="F80" s="544" t="s">
        <v>378</v>
      </c>
      <c r="G80" s="544" t="s">
        <v>5</v>
      </c>
      <c r="H80" s="544" t="s">
        <v>26</v>
      </c>
      <c r="I80" s="547"/>
      <c r="J80" s="548"/>
      <c r="K80" s="548"/>
      <c r="L80" s="548"/>
      <c r="M80" s="548"/>
      <c r="N80" s="548"/>
      <c r="O80" s="548"/>
      <c r="P80" s="548"/>
      <c r="Q80" s="548">
        <v>14</v>
      </c>
      <c r="R80" s="548"/>
      <c r="S80" s="548"/>
      <c r="T80" s="548"/>
      <c r="U80" s="548"/>
      <c r="V80" s="548"/>
      <c r="W80" s="548"/>
      <c r="X80" s="548"/>
      <c r="Y80" s="548"/>
      <c r="Z80" s="548"/>
      <c r="AA80" s="548"/>
      <c r="AB80" s="548"/>
      <c r="AC80" s="549"/>
      <c r="AD80" s="549"/>
      <c r="AE80" s="549"/>
      <c r="AF80" s="549"/>
      <c r="AG80" s="549"/>
      <c r="AH80" s="549"/>
      <c r="AI80" s="549"/>
      <c r="AJ80" s="549"/>
      <c r="AK80" s="549"/>
      <c r="AL80" s="549"/>
      <c r="AM80" s="549"/>
      <c r="AN80" s="549"/>
      <c r="AO80" s="549"/>
      <c r="AP80" s="549">
        <f>IF(Table_NFI[[#This Row],[Winter Clothes Adult]]+Table_NFI[[#This Row],[Winter Clothes Children]]+Table_NFI[[#This Row],[Winter Items Other]]+Table_NFI[[#This Row],[Winter Blanket]]&gt;0,1,0)</f>
        <v>0</v>
      </c>
      <c r="AQ80" s="549"/>
      <c r="AR80" s="549"/>
      <c r="AS80" s="549"/>
      <c r="AT80" s="550" t="str">
        <f>IFERROR(VLOOKUP(Table_NFI[[#This Row],[Location]],CL,2,0),"")</f>
        <v>MMR001CMP053</v>
      </c>
      <c r="AU80" s="551"/>
      <c r="AV80" s="183"/>
      <c r="DP80" s="534"/>
    </row>
    <row r="81" spans="2:120" ht="18.75" customHeight="1" x14ac:dyDescent="0.25">
      <c r="B81" s="553">
        <v>42944</v>
      </c>
      <c r="C81" s="553" t="str">
        <f>MONTH(Table_NFI[[#This Row],[Distribution Date]]) &amp; "/" &amp; YEAR(Table_NFI[[#This Row],[Distribution Date]])</f>
        <v>7/2017</v>
      </c>
      <c r="D81" s="544" t="s">
        <v>420</v>
      </c>
      <c r="E81" s="544" t="s">
        <v>462</v>
      </c>
      <c r="F81" s="544" t="s">
        <v>378</v>
      </c>
      <c r="G81" s="544" t="s">
        <v>237</v>
      </c>
      <c r="H81" s="544" t="s">
        <v>1512</v>
      </c>
      <c r="I81" s="547"/>
      <c r="J81" s="548"/>
      <c r="K81" s="548"/>
      <c r="L81" s="548">
        <v>17</v>
      </c>
      <c r="M81" s="548">
        <v>14</v>
      </c>
      <c r="N81" s="548">
        <v>25</v>
      </c>
      <c r="O81" s="548">
        <v>17</v>
      </c>
      <c r="P81" s="548">
        <v>38</v>
      </c>
      <c r="Q81" s="548">
        <v>17</v>
      </c>
      <c r="R81" s="548"/>
      <c r="S81" s="548">
        <v>17</v>
      </c>
      <c r="T81" s="548">
        <v>26</v>
      </c>
      <c r="U81" s="548"/>
      <c r="V81" s="548"/>
      <c r="W81" s="548"/>
      <c r="X81" s="548"/>
      <c r="Y81" s="548">
        <v>17</v>
      </c>
      <c r="Z81" s="548"/>
      <c r="AA81" s="548"/>
      <c r="AB81" s="548">
        <v>17</v>
      </c>
      <c r="AC81" s="549"/>
      <c r="AD81" s="549"/>
      <c r="AE81" s="549"/>
      <c r="AF81" s="549"/>
      <c r="AG81" s="549"/>
      <c r="AH81" s="549"/>
      <c r="AI81" s="549"/>
      <c r="AJ81" s="549"/>
      <c r="AK81" s="549"/>
      <c r="AL81" s="549"/>
      <c r="AM81" s="549"/>
      <c r="AN81" s="549"/>
      <c r="AO81" s="549"/>
      <c r="AP81" s="549">
        <f>IF(Table_NFI[[#This Row],[Winter Clothes Adult]]+Table_NFI[[#This Row],[Winter Clothes Children]]+Table_NFI[[#This Row],[Winter Items Other]]+Table_NFI[[#This Row],[Winter Blanket]]&gt;0,1,0)</f>
        <v>0</v>
      </c>
      <c r="AQ81" s="549"/>
      <c r="AR81" s="549"/>
      <c r="AS81" s="549"/>
      <c r="AT81" s="550" t="str">
        <f>IFERROR(VLOOKUP(Table_NFI[[#This Row],[Location]],CL,2,0),"")</f>
        <v>MMR001CMP256</v>
      </c>
      <c r="AU81" s="551"/>
      <c r="AV81" s="183"/>
      <c r="DP81" s="534"/>
    </row>
    <row r="82" spans="2:120" ht="18.75" customHeight="1" x14ac:dyDescent="0.25">
      <c r="B82" s="553">
        <v>42948</v>
      </c>
      <c r="C82" s="553" t="str">
        <f>MONTH(Table_NFI[[#This Row],[Distribution Date]]) &amp; "/" &amp; YEAR(Table_NFI[[#This Row],[Distribution Date]])</f>
        <v>8/2017</v>
      </c>
      <c r="D82" s="219" t="s">
        <v>1258</v>
      </c>
      <c r="E82" s="198" t="s">
        <v>1258</v>
      </c>
      <c r="F82" s="219" t="s">
        <v>378</v>
      </c>
      <c r="G82" s="197" t="s">
        <v>185</v>
      </c>
      <c r="H82" s="219" t="s">
        <v>190</v>
      </c>
      <c r="I82" s="547"/>
      <c r="J82" s="548"/>
      <c r="K82" s="548"/>
      <c r="L82" s="548"/>
      <c r="M82" s="548"/>
      <c r="N82" s="548"/>
      <c r="O82" s="548">
        <v>2</v>
      </c>
      <c r="P82" s="548"/>
      <c r="Q82" s="548"/>
      <c r="R82" s="548"/>
      <c r="S82" s="548"/>
      <c r="T82" s="548"/>
      <c r="U82" s="548"/>
      <c r="V82" s="548"/>
      <c r="W82" s="548"/>
      <c r="X82" s="548"/>
      <c r="Y82" s="548"/>
      <c r="Z82" s="548"/>
      <c r="AA82" s="548"/>
      <c r="AB82" s="548"/>
      <c r="AC82" s="549"/>
      <c r="AD82" s="549"/>
      <c r="AE82" s="549"/>
      <c r="AF82" s="549"/>
      <c r="AG82" s="549"/>
      <c r="AH82" s="549"/>
      <c r="AI82" s="549"/>
      <c r="AJ82" s="549"/>
      <c r="AK82" s="549"/>
      <c r="AL82" s="549"/>
      <c r="AM82" s="549"/>
      <c r="AN82" s="549"/>
      <c r="AO82" s="549"/>
      <c r="AP82" s="549">
        <f>IF(Table_NFI[[#This Row],[Winter Clothes Adult]]+Table_NFI[[#This Row],[Winter Clothes Children]]+Table_NFI[[#This Row],[Winter Items Other]]+Table_NFI[[#This Row],[Winter Blanket]]&gt;0,1,0)</f>
        <v>0</v>
      </c>
      <c r="AQ82" s="549"/>
      <c r="AR82" s="549"/>
      <c r="AS82" s="549"/>
      <c r="AT82" s="550" t="str">
        <f>IFERROR(VLOOKUP(Table_NFI[[#This Row],[Location]],CL,2,0),"")</f>
        <v>MMR001CMP070</v>
      </c>
      <c r="AU82" s="551"/>
      <c r="AV82" s="183"/>
      <c r="DP82" s="534"/>
    </row>
    <row r="83" spans="2:120" ht="18.75" customHeight="1" x14ac:dyDescent="0.25">
      <c r="B83" s="553">
        <v>42948</v>
      </c>
      <c r="C83" s="553" t="str">
        <f>MONTH(Table_NFI[[#This Row],[Distribution Date]]) &amp; "/" &amp; YEAR(Table_NFI[[#This Row],[Distribution Date]])</f>
        <v>8/2017</v>
      </c>
      <c r="D83" s="219" t="s">
        <v>1258</v>
      </c>
      <c r="E83" s="198" t="s">
        <v>1258</v>
      </c>
      <c r="F83" s="219" t="s">
        <v>378</v>
      </c>
      <c r="G83" s="219" t="s">
        <v>5</v>
      </c>
      <c r="H83" s="219" t="s">
        <v>24</v>
      </c>
      <c r="I83" s="547"/>
      <c r="J83" s="548"/>
      <c r="K83" s="548"/>
      <c r="L83" s="548"/>
      <c r="M83" s="548"/>
      <c r="N83" s="548"/>
      <c r="O83" s="548">
        <v>2</v>
      </c>
      <c r="P83" s="548"/>
      <c r="Q83" s="548"/>
      <c r="R83" s="548"/>
      <c r="S83" s="548"/>
      <c r="T83" s="548"/>
      <c r="U83" s="548"/>
      <c r="V83" s="548"/>
      <c r="W83" s="548"/>
      <c r="X83" s="548"/>
      <c r="Y83" s="548"/>
      <c r="Z83" s="548"/>
      <c r="AA83" s="548"/>
      <c r="AB83" s="548"/>
      <c r="AC83" s="549"/>
      <c r="AD83" s="549"/>
      <c r="AE83" s="549"/>
      <c r="AF83" s="549"/>
      <c r="AG83" s="549"/>
      <c r="AH83" s="549"/>
      <c r="AI83" s="549"/>
      <c r="AJ83" s="549"/>
      <c r="AK83" s="549"/>
      <c r="AL83" s="549"/>
      <c r="AM83" s="549"/>
      <c r="AN83" s="549"/>
      <c r="AO83" s="549"/>
      <c r="AP83" s="549">
        <f>IF(Table_NFI[[#This Row],[Winter Clothes Adult]]+Table_NFI[[#This Row],[Winter Clothes Children]]+Table_NFI[[#This Row],[Winter Items Other]]+Table_NFI[[#This Row],[Winter Blanket]]&gt;0,1,0)</f>
        <v>0</v>
      </c>
      <c r="AQ83" s="549"/>
      <c r="AR83" s="549"/>
      <c r="AS83" s="549"/>
      <c r="AT83" s="550" t="str">
        <f>IFERROR(VLOOKUP(Table_NFI[[#This Row],[Location]],CL,2,0),"")</f>
        <v>MMR001CMP055</v>
      </c>
      <c r="AU83" s="551"/>
      <c r="AV83" s="183"/>
      <c r="DP83" s="534"/>
    </row>
    <row r="84" spans="2:120" ht="18.75" customHeight="1" x14ac:dyDescent="0.25">
      <c r="B84" s="553">
        <v>42954</v>
      </c>
      <c r="C84" s="553" t="str">
        <f>MONTH(Table_NFI[[#This Row],[Distribution Date]]) &amp; "/" &amp; YEAR(Table_NFI[[#This Row],[Distribution Date]])</f>
        <v>8/2017</v>
      </c>
      <c r="D84" s="219" t="s">
        <v>1258</v>
      </c>
      <c r="E84" s="219" t="s">
        <v>424</v>
      </c>
      <c r="F84" s="219" t="s">
        <v>378</v>
      </c>
      <c r="G84" s="198" t="s">
        <v>301</v>
      </c>
      <c r="H84" s="219" t="s">
        <v>1516</v>
      </c>
      <c r="I84" s="547"/>
      <c r="J84" s="548"/>
      <c r="K84" s="548"/>
      <c r="L84" s="548"/>
      <c r="M84" s="548"/>
      <c r="N84" s="548">
        <v>60</v>
      </c>
      <c r="O84" s="548">
        <v>10</v>
      </c>
      <c r="P84" s="548">
        <v>60</v>
      </c>
      <c r="Q84" s="548"/>
      <c r="R84" s="548">
        <v>60</v>
      </c>
      <c r="S84" s="548">
        <v>30</v>
      </c>
      <c r="T84" s="548">
        <v>60</v>
      </c>
      <c r="U84" s="548"/>
      <c r="V84" s="548"/>
      <c r="W84" s="548"/>
      <c r="X84" s="548"/>
      <c r="Y84" s="548"/>
      <c r="Z84" s="548">
        <v>60</v>
      </c>
      <c r="AA84" s="548"/>
      <c r="AB84" s="548"/>
      <c r="AC84" s="549"/>
      <c r="AD84" s="549"/>
      <c r="AE84" s="549"/>
      <c r="AF84" s="549"/>
      <c r="AG84" s="549"/>
      <c r="AH84" s="549"/>
      <c r="AI84" s="549"/>
      <c r="AJ84" s="549"/>
      <c r="AK84" s="549"/>
      <c r="AL84" s="549"/>
      <c r="AM84" s="549"/>
      <c r="AN84" s="549"/>
      <c r="AO84" s="549"/>
      <c r="AP84" s="549">
        <f>IF(Table_NFI[[#This Row],[Winter Clothes Adult]]+Table_NFI[[#This Row],[Winter Clothes Children]]+Table_NFI[[#This Row],[Winter Items Other]]+Table_NFI[[#This Row],[Winter Blanket]]&gt;0,1,0)</f>
        <v>0</v>
      </c>
      <c r="AQ84" s="549"/>
      <c r="AR84" s="549"/>
      <c r="AS84" s="549"/>
      <c r="AT84" s="550" t="str">
        <f>IFERROR(VLOOKUP(Table_NFI[[#This Row],[Location]],CL,2,0),"")</f>
        <v/>
      </c>
      <c r="AU84" s="551"/>
      <c r="AV84" s="183"/>
      <c r="DP84" s="534"/>
    </row>
    <row r="85" spans="2:120" ht="18.75" customHeight="1" x14ac:dyDescent="0.25">
      <c r="B85" s="546">
        <v>42962</v>
      </c>
      <c r="C85" s="546" t="str">
        <f>MONTH(Table_NFI[[#This Row],[Distribution Date]]) &amp; "/" &amp; YEAR(Table_NFI[[#This Row],[Distribution Date]])</f>
        <v>8/2017</v>
      </c>
      <c r="D85" s="544" t="s">
        <v>1380</v>
      </c>
      <c r="E85" s="197" t="s">
        <v>1380</v>
      </c>
      <c r="F85" s="544" t="s">
        <v>378</v>
      </c>
      <c r="G85" s="198" t="s">
        <v>301</v>
      </c>
      <c r="H85" s="544" t="s">
        <v>1525</v>
      </c>
      <c r="I85" s="547"/>
      <c r="J85" s="548"/>
      <c r="K85" s="548"/>
      <c r="L85" s="548"/>
      <c r="M85" s="548"/>
      <c r="N85" s="548">
        <v>10</v>
      </c>
      <c r="O85" s="548"/>
      <c r="P85" s="548">
        <v>10</v>
      </c>
      <c r="Q85" s="548">
        <v>5</v>
      </c>
      <c r="R85" s="548"/>
      <c r="S85" s="548"/>
      <c r="T85" s="548">
        <v>10</v>
      </c>
      <c r="U85" s="548"/>
      <c r="V85" s="548"/>
      <c r="W85" s="548"/>
      <c r="X85" s="548"/>
      <c r="Y85" s="548"/>
      <c r="Z85" s="548"/>
      <c r="AA85" s="548"/>
      <c r="AB85" s="548"/>
      <c r="AC85" s="549"/>
      <c r="AD85" s="549"/>
      <c r="AE85" s="549"/>
      <c r="AF85" s="549"/>
      <c r="AG85" s="549"/>
      <c r="AH85" s="549"/>
      <c r="AI85" s="549"/>
      <c r="AJ85" s="549"/>
      <c r="AK85" s="549"/>
      <c r="AL85" s="549"/>
      <c r="AM85" s="549"/>
      <c r="AN85" s="549"/>
      <c r="AO85" s="549"/>
      <c r="AP85" s="549">
        <f>IF(Table_NFI[[#This Row],[Winter Clothes Adult]]+Table_NFI[[#This Row],[Winter Clothes Children]]+Table_NFI[[#This Row],[Winter Items Other]]+Table_NFI[[#This Row],[Winter Blanket]]&gt;0,1,0)</f>
        <v>0</v>
      </c>
      <c r="AQ85" s="549"/>
      <c r="AR85" s="549"/>
      <c r="AS85" s="549"/>
      <c r="AT85" s="550" t="str">
        <f>IFERROR(VLOOKUP(Table_NFI[[#This Row],[Location]],CL,2,0),"")</f>
        <v/>
      </c>
      <c r="AU85" s="551"/>
      <c r="AV85" s="183"/>
      <c r="DP85" s="534"/>
    </row>
    <row r="86" spans="2:120" ht="18.75" customHeight="1" x14ac:dyDescent="0.25">
      <c r="B86" s="546">
        <v>42962</v>
      </c>
      <c r="C86" s="546" t="str">
        <f>MONTH(Table_NFI[[#This Row],[Distribution Date]]) &amp; "/" &amp; YEAR(Table_NFI[[#This Row],[Distribution Date]])</f>
        <v>8/2017</v>
      </c>
      <c r="D86" s="544" t="s">
        <v>1380</v>
      </c>
      <c r="E86" s="197" t="s">
        <v>1380</v>
      </c>
      <c r="F86" s="544" t="s">
        <v>378</v>
      </c>
      <c r="G86" s="198" t="s">
        <v>301</v>
      </c>
      <c r="H86" s="544" t="s">
        <v>1524</v>
      </c>
      <c r="I86" s="547"/>
      <c r="J86" s="548"/>
      <c r="K86" s="548"/>
      <c r="L86" s="548"/>
      <c r="M86" s="548"/>
      <c r="N86" s="548">
        <v>4</v>
      </c>
      <c r="O86" s="548"/>
      <c r="P86" s="548">
        <v>4</v>
      </c>
      <c r="Q86" s="548">
        <v>2</v>
      </c>
      <c r="R86" s="548"/>
      <c r="S86" s="548"/>
      <c r="T86" s="548">
        <v>4</v>
      </c>
      <c r="U86" s="548"/>
      <c r="V86" s="548"/>
      <c r="W86" s="548"/>
      <c r="X86" s="548"/>
      <c r="Y86" s="548"/>
      <c r="Z86" s="548"/>
      <c r="AA86" s="548"/>
      <c r="AB86" s="548"/>
      <c r="AC86" s="549"/>
      <c r="AD86" s="549"/>
      <c r="AE86" s="549"/>
      <c r="AF86" s="549"/>
      <c r="AG86" s="549"/>
      <c r="AH86" s="549"/>
      <c r="AI86" s="549"/>
      <c r="AJ86" s="549"/>
      <c r="AK86" s="549"/>
      <c r="AL86" s="549"/>
      <c r="AM86" s="549"/>
      <c r="AN86" s="549"/>
      <c r="AO86" s="549"/>
      <c r="AP86" s="549">
        <f>IF(Table_NFI[[#This Row],[Winter Clothes Adult]]+Table_NFI[[#This Row],[Winter Clothes Children]]+Table_NFI[[#This Row],[Winter Items Other]]+Table_NFI[[#This Row],[Winter Blanket]]&gt;0,1,0)</f>
        <v>0</v>
      </c>
      <c r="AQ86" s="549"/>
      <c r="AR86" s="549"/>
      <c r="AS86" s="549"/>
      <c r="AT86" s="550" t="str">
        <f>IFERROR(VLOOKUP(Table_NFI[[#This Row],[Location]],CL,2,0),"")</f>
        <v/>
      </c>
      <c r="AU86" s="551"/>
      <c r="AV86" s="183"/>
      <c r="DP86" s="534"/>
    </row>
    <row r="87" spans="2:120" ht="18.75" customHeight="1" x14ac:dyDescent="0.25">
      <c r="B87" s="553">
        <v>42962</v>
      </c>
      <c r="C87" s="553" t="str">
        <f>MONTH(Table_NFI[[#This Row],[Distribution Date]]) &amp; "/" &amp; YEAR(Table_NFI[[#This Row],[Distribution Date]])</f>
        <v>8/2017</v>
      </c>
      <c r="D87" s="219" t="s">
        <v>1258</v>
      </c>
      <c r="E87" s="219" t="s">
        <v>1258</v>
      </c>
      <c r="F87" s="198" t="s">
        <v>378</v>
      </c>
      <c r="G87" s="198" t="s">
        <v>151</v>
      </c>
      <c r="H87" s="219" t="s">
        <v>811</v>
      </c>
      <c r="I87" s="547"/>
      <c r="J87" s="548"/>
      <c r="K87" s="548"/>
      <c r="L87" s="548"/>
      <c r="M87" s="548"/>
      <c r="N87" s="548"/>
      <c r="O87" s="548"/>
      <c r="P87" s="548"/>
      <c r="Q87" s="548"/>
      <c r="R87" s="548"/>
      <c r="S87" s="548"/>
      <c r="T87" s="548"/>
      <c r="U87" s="548"/>
      <c r="V87" s="548"/>
      <c r="W87" s="548"/>
      <c r="X87" s="548"/>
      <c r="Y87" s="548"/>
      <c r="Z87" s="548">
        <v>166</v>
      </c>
      <c r="AA87" s="548"/>
      <c r="AB87" s="548"/>
      <c r="AC87" s="549"/>
      <c r="AD87" s="549"/>
      <c r="AE87" s="549"/>
      <c r="AF87" s="549"/>
      <c r="AG87" s="549"/>
      <c r="AH87" s="549"/>
      <c r="AI87" s="549"/>
      <c r="AJ87" s="549"/>
      <c r="AK87" s="549"/>
      <c r="AL87" s="549"/>
      <c r="AM87" s="549"/>
      <c r="AN87" s="549"/>
      <c r="AO87" s="549"/>
      <c r="AP87" s="549">
        <f>IF(Table_NFI[[#This Row],[Winter Clothes Adult]]+Table_NFI[[#This Row],[Winter Clothes Children]]+Table_NFI[[#This Row],[Winter Items Other]]+Table_NFI[[#This Row],[Winter Blanket]]&gt;0,1,0)</f>
        <v>0</v>
      </c>
      <c r="AQ87" s="549"/>
      <c r="AR87" s="549"/>
      <c r="AS87" s="549"/>
      <c r="AT87" s="550" t="str">
        <f>IFERROR(VLOOKUP(Table_NFI[[#This Row],[Location]],CL,2,0),"")</f>
        <v>MMR001CMP218</v>
      </c>
      <c r="AU87" s="551"/>
      <c r="AV87" s="183"/>
      <c r="DP87" s="534"/>
    </row>
    <row r="88" spans="2:120" ht="18.75" customHeight="1" x14ac:dyDescent="0.25">
      <c r="B88" s="553">
        <v>42962</v>
      </c>
      <c r="C88" s="553" t="str">
        <f>MONTH(Table_NFI[[#This Row],[Distribution Date]]) &amp; "/" &amp; YEAR(Table_NFI[[#This Row],[Distribution Date]])</f>
        <v>8/2017</v>
      </c>
      <c r="D88" s="219" t="s">
        <v>1258</v>
      </c>
      <c r="E88" s="219" t="s">
        <v>1258</v>
      </c>
      <c r="F88" s="219" t="s">
        <v>378</v>
      </c>
      <c r="G88" s="198" t="s">
        <v>151</v>
      </c>
      <c r="H88" s="219" t="s">
        <v>1515</v>
      </c>
      <c r="I88" s="547"/>
      <c r="J88" s="548"/>
      <c r="K88" s="548"/>
      <c r="L88" s="548"/>
      <c r="M88" s="548"/>
      <c r="N88" s="548"/>
      <c r="O88" s="548"/>
      <c r="P88" s="548"/>
      <c r="Q88" s="548"/>
      <c r="R88" s="548"/>
      <c r="S88" s="548"/>
      <c r="T88" s="548"/>
      <c r="U88" s="548"/>
      <c r="V88" s="548"/>
      <c r="W88" s="548"/>
      <c r="X88" s="548"/>
      <c r="Y88" s="548"/>
      <c r="Z88" s="548">
        <v>64</v>
      </c>
      <c r="AA88" s="548"/>
      <c r="AB88" s="548"/>
      <c r="AC88" s="549"/>
      <c r="AD88" s="549"/>
      <c r="AE88" s="549"/>
      <c r="AF88" s="549"/>
      <c r="AG88" s="549"/>
      <c r="AH88" s="549"/>
      <c r="AI88" s="549"/>
      <c r="AJ88" s="549"/>
      <c r="AK88" s="549"/>
      <c r="AL88" s="549"/>
      <c r="AM88" s="549"/>
      <c r="AN88" s="549"/>
      <c r="AO88" s="549"/>
      <c r="AP88" s="549">
        <f>IF(Table_NFI[[#This Row],[Winter Clothes Adult]]+Table_NFI[[#This Row],[Winter Clothes Children]]+Table_NFI[[#This Row],[Winter Items Other]]+Table_NFI[[#This Row],[Winter Blanket]]&gt;0,1,0)</f>
        <v>0</v>
      </c>
      <c r="AQ88" s="549"/>
      <c r="AR88" s="549"/>
      <c r="AS88" s="549"/>
      <c r="AT88" s="550" t="str">
        <f>IFERROR(VLOOKUP(Table_NFI[[#This Row],[Location]],CL,2,0),"")</f>
        <v/>
      </c>
      <c r="AU88" s="551"/>
      <c r="AV88" s="183"/>
      <c r="DP88" s="534"/>
    </row>
    <row r="89" spans="2:120" ht="18.75" customHeight="1" x14ac:dyDescent="0.25">
      <c r="B89" s="546">
        <v>42963</v>
      </c>
      <c r="C89" s="546" t="str">
        <f>MONTH(Table_NFI[[#This Row],[Distribution Date]]) &amp; "/" &amp; YEAR(Table_NFI[[#This Row],[Distribution Date]])</f>
        <v>8/2017</v>
      </c>
      <c r="D89" s="544" t="s">
        <v>1380</v>
      </c>
      <c r="E89" s="197" t="s">
        <v>1380</v>
      </c>
      <c r="F89" s="544" t="s">
        <v>378</v>
      </c>
      <c r="G89" s="198" t="s">
        <v>301</v>
      </c>
      <c r="H89" s="544" t="s">
        <v>1523</v>
      </c>
      <c r="I89" s="547"/>
      <c r="J89" s="548"/>
      <c r="K89" s="548"/>
      <c r="L89" s="548"/>
      <c r="M89" s="548"/>
      <c r="N89" s="548">
        <v>14</v>
      </c>
      <c r="O89" s="548"/>
      <c r="P89" s="548">
        <v>14</v>
      </c>
      <c r="Q89" s="548">
        <v>7</v>
      </c>
      <c r="R89" s="548"/>
      <c r="S89" s="548"/>
      <c r="T89" s="548">
        <v>14</v>
      </c>
      <c r="U89" s="548"/>
      <c r="V89" s="548"/>
      <c r="W89" s="548"/>
      <c r="X89" s="548"/>
      <c r="Y89" s="548"/>
      <c r="Z89" s="548"/>
      <c r="AA89" s="548"/>
      <c r="AB89" s="548"/>
      <c r="AC89" s="549"/>
      <c r="AD89" s="549"/>
      <c r="AE89" s="549"/>
      <c r="AF89" s="549"/>
      <c r="AG89" s="549"/>
      <c r="AH89" s="549"/>
      <c r="AI89" s="549"/>
      <c r="AJ89" s="549"/>
      <c r="AK89" s="549"/>
      <c r="AL89" s="549"/>
      <c r="AM89" s="549"/>
      <c r="AN89" s="549"/>
      <c r="AO89" s="549"/>
      <c r="AP89" s="549">
        <f>IF(Table_NFI[[#This Row],[Winter Clothes Adult]]+Table_NFI[[#This Row],[Winter Clothes Children]]+Table_NFI[[#This Row],[Winter Items Other]]+Table_NFI[[#This Row],[Winter Blanket]]&gt;0,1,0)</f>
        <v>0</v>
      </c>
      <c r="AQ89" s="549"/>
      <c r="AR89" s="549"/>
      <c r="AS89" s="549"/>
      <c r="AT89" s="550" t="str">
        <f>IFERROR(VLOOKUP(Table_NFI[[#This Row],[Location]],CL,2,0),"")</f>
        <v/>
      </c>
      <c r="AU89" s="551"/>
      <c r="AV89" s="183"/>
      <c r="DP89" s="534"/>
    </row>
    <row r="90" spans="2:120" ht="18.75" customHeight="1" x14ac:dyDescent="0.25">
      <c r="B90" s="546">
        <v>42963</v>
      </c>
      <c r="C90" s="546" t="str">
        <f>MONTH(Table_NFI[[#This Row],[Distribution Date]]) &amp; "/" &amp; YEAR(Table_NFI[[#This Row],[Distribution Date]])</f>
        <v>8/2017</v>
      </c>
      <c r="D90" s="544" t="s">
        <v>1380</v>
      </c>
      <c r="E90" s="197" t="s">
        <v>1380</v>
      </c>
      <c r="F90" s="544" t="s">
        <v>378</v>
      </c>
      <c r="G90" s="198" t="s">
        <v>301</v>
      </c>
      <c r="H90" s="544" t="s">
        <v>1522</v>
      </c>
      <c r="I90" s="547"/>
      <c r="J90" s="548"/>
      <c r="K90" s="548"/>
      <c r="L90" s="548"/>
      <c r="M90" s="548"/>
      <c r="N90" s="548">
        <v>8</v>
      </c>
      <c r="O90" s="548"/>
      <c r="P90" s="548">
        <v>8</v>
      </c>
      <c r="Q90" s="548">
        <v>4</v>
      </c>
      <c r="R90" s="548"/>
      <c r="S90" s="548"/>
      <c r="T90" s="548">
        <v>8</v>
      </c>
      <c r="U90" s="548"/>
      <c r="V90" s="548"/>
      <c r="W90" s="548"/>
      <c r="X90" s="548"/>
      <c r="Y90" s="548"/>
      <c r="Z90" s="548"/>
      <c r="AA90" s="548"/>
      <c r="AB90" s="548"/>
      <c r="AC90" s="549"/>
      <c r="AD90" s="549"/>
      <c r="AE90" s="549"/>
      <c r="AF90" s="549"/>
      <c r="AG90" s="549"/>
      <c r="AH90" s="549"/>
      <c r="AI90" s="549"/>
      <c r="AJ90" s="549"/>
      <c r="AK90" s="549"/>
      <c r="AL90" s="549"/>
      <c r="AM90" s="549"/>
      <c r="AN90" s="549"/>
      <c r="AO90" s="549"/>
      <c r="AP90" s="549">
        <f>IF(Table_NFI[[#This Row],[Winter Clothes Adult]]+Table_NFI[[#This Row],[Winter Clothes Children]]+Table_NFI[[#This Row],[Winter Items Other]]+Table_NFI[[#This Row],[Winter Blanket]]&gt;0,1,0)</f>
        <v>0</v>
      </c>
      <c r="AQ90" s="549"/>
      <c r="AR90" s="549"/>
      <c r="AS90" s="549"/>
      <c r="AT90" s="550" t="str">
        <f>IFERROR(VLOOKUP(Table_NFI[[#This Row],[Location]],CL,2,0),"")</f>
        <v/>
      </c>
      <c r="AU90" s="551"/>
      <c r="AV90" s="183"/>
      <c r="DP90" s="534"/>
    </row>
    <row r="91" spans="2:120" ht="18.75" customHeight="1" x14ac:dyDescent="0.25">
      <c r="B91" s="546">
        <v>42963</v>
      </c>
      <c r="C91" s="546" t="str">
        <f>MONTH(Table_NFI[[#This Row],[Distribution Date]]) &amp; "/" &amp; YEAR(Table_NFI[[#This Row],[Distribution Date]])</f>
        <v>8/2017</v>
      </c>
      <c r="D91" s="544" t="s">
        <v>1380</v>
      </c>
      <c r="E91" s="197" t="s">
        <v>1380</v>
      </c>
      <c r="F91" s="544" t="s">
        <v>378</v>
      </c>
      <c r="G91" s="544" t="s">
        <v>5</v>
      </c>
      <c r="H91" s="544" t="s">
        <v>1520</v>
      </c>
      <c r="I91" s="547"/>
      <c r="J91" s="548"/>
      <c r="K91" s="548"/>
      <c r="L91" s="548"/>
      <c r="M91" s="548"/>
      <c r="N91" s="548">
        <v>12</v>
      </c>
      <c r="O91" s="548"/>
      <c r="P91" s="548">
        <v>12</v>
      </c>
      <c r="Q91" s="548">
        <v>6</v>
      </c>
      <c r="R91" s="548"/>
      <c r="S91" s="548"/>
      <c r="T91" s="548">
        <v>12</v>
      </c>
      <c r="U91" s="548"/>
      <c r="V91" s="548"/>
      <c r="W91" s="548"/>
      <c r="X91" s="548"/>
      <c r="Y91" s="548"/>
      <c r="Z91" s="548"/>
      <c r="AA91" s="548"/>
      <c r="AB91" s="548"/>
      <c r="AC91" s="549"/>
      <c r="AD91" s="549"/>
      <c r="AE91" s="549"/>
      <c r="AF91" s="549"/>
      <c r="AG91" s="549"/>
      <c r="AH91" s="549"/>
      <c r="AI91" s="549"/>
      <c r="AJ91" s="549"/>
      <c r="AK91" s="549"/>
      <c r="AL91" s="549"/>
      <c r="AM91" s="549"/>
      <c r="AN91" s="549"/>
      <c r="AO91" s="549"/>
      <c r="AP91" s="549">
        <f>IF(Table_NFI[[#This Row],[Winter Clothes Adult]]+Table_NFI[[#This Row],[Winter Clothes Children]]+Table_NFI[[#This Row],[Winter Items Other]]+Table_NFI[[#This Row],[Winter Blanket]]&gt;0,1,0)</f>
        <v>0</v>
      </c>
      <c r="AQ91" s="549"/>
      <c r="AR91" s="549"/>
      <c r="AS91" s="549"/>
      <c r="AT91" s="550" t="str">
        <f>IFERROR(VLOOKUP(Table_NFI[[#This Row],[Location]],CL,2,0),"")</f>
        <v/>
      </c>
      <c r="AU91" s="551"/>
      <c r="AV91" s="183"/>
      <c r="DP91" s="534"/>
    </row>
    <row r="92" spans="2:120" ht="18.75" customHeight="1" x14ac:dyDescent="0.25">
      <c r="B92" s="546">
        <v>42963</v>
      </c>
      <c r="C92" s="546" t="str">
        <f>MONTH(Table_NFI[[#This Row],[Distribution Date]]) &amp; "/" &amp; YEAR(Table_NFI[[#This Row],[Distribution Date]])</f>
        <v>8/2017</v>
      </c>
      <c r="D92" s="544" t="s">
        <v>1380</v>
      </c>
      <c r="E92" s="197" t="s">
        <v>1380</v>
      </c>
      <c r="F92" s="544" t="s">
        <v>378</v>
      </c>
      <c r="G92" s="544" t="s">
        <v>5</v>
      </c>
      <c r="H92" s="544" t="s">
        <v>583</v>
      </c>
      <c r="I92" s="547"/>
      <c r="J92" s="548"/>
      <c r="K92" s="548"/>
      <c r="L92" s="548"/>
      <c r="M92" s="548"/>
      <c r="N92" s="548">
        <v>68</v>
      </c>
      <c r="O92" s="548"/>
      <c r="P92" s="548">
        <v>68</v>
      </c>
      <c r="Q92" s="548">
        <v>34</v>
      </c>
      <c r="R92" s="548"/>
      <c r="S92" s="548"/>
      <c r="T92" s="548">
        <v>68</v>
      </c>
      <c r="U92" s="548"/>
      <c r="V92" s="548"/>
      <c r="W92" s="548"/>
      <c r="X92" s="548"/>
      <c r="Y92" s="548"/>
      <c r="Z92" s="548"/>
      <c r="AA92" s="548"/>
      <c r="AB92" s="548"/>
      <c r="AC92" s="549"/>
      <c r="AD92" s="549"/>
      <c r="AE92" s="549"/>
      <c r="AF92" s="549"/>
      <c r="AG92" s="549"/>
      <c r="AH92" s="549"/>
      <c r="AI92" s="549"/>
      <c r="AJ92" s="549"/>
      <c r="AK92" s="549"/>
      <c r="AL92" s="549"/>
      <c r="AM92" s="549"/>
      <c r="AN92" s="549"/>
      <c r="AO92" s="549"/>
      <c r="AP92" s="549">
        <f>IF(Table_NFI[[#This Row],[Winter Clothes Adult]]+Table_NFI[[#This Row],[Winter Clothes Children]]+Table_NFI[[#This Row],[Winter Items Other]]+Table_NFI[[#This Row],[Winter Blanket]]&gt;0,1,0)</f>
        <v>0</v>
      </c>
      <c r="AQ92" s="549"/>
      <c r="AR92" s="549"/>
      <c r="AS92" s="549"/>
      <c r="AT92" s="550" t="str">
        <f>IFERROR(VLOOKUP(Table_NFI[[#This Row],[Location]],CL,2,0),"")</f>
        <v/>
      </c>
      <c r="AU92" s="551"/>
      <c r="AV92" s="183"/>
      <c r="DP92" s="534"/>
    </row>
    <row r="93" spans="2:120" ht="18.75" customHeight="1" x14ac:dyDescent="0.25">
      <c r="B93" s="546">
        <v>42963</v>
      </c>
      <c r="C93" s="546" t="str">
        <f>MONTH(Table_NFI[[#This Row],[Distribution Date]]) &amp; "/" &amp; YEAR(Table_NFI[[#This Row],[Distribution Date]])</f>
        <v>8/2017</v>
      </c>
      <c r="D93" s="544" t="s">
        <v>1380</v>
      </c>
      <c r="E93" s="197" t="s">
        <v>1380</v>
      </c>
      <c r="F93" s="544" t="s">
        <v>378</v>
      </c>
      <c r="G93" s="544" t="s">
        <v>5</v>
      </c>
      <c r="H93" s="544" t="s">
        <v>1519</v>
      </c>
      <c r="I93" s="547"/>
      <c r="J93" s="548"/>
      <c r="K93" s="548"/>
      <c r="L93" s="548"/>
      <c r="M93" s="548"/>
      <c r="N93" s="548">
        <v>166</v>
      </c>
      <c r="O93" s="548"/>
      <c r="P93" s="548">
        <v>166</v>
      </c>
      <c r="Q93" s="548">
        <v>83</v>
      </c>
      <c r="R93" s="548"/>
      <c r="S93" s="548"/>
      <c r="T93" s="548">
        <v>166</v>
      </c>
      <c r="U93" s="548"/>
      <c r="V93" s="548"/>
      <c r="W93" s="548"/>
      <c r="X93" s="548"/>
      <c r="Y93" s="548"/>
      <c r="Z93" s="548"/>
      <c r="AA93" s="548"/>
      <c r="AB93" s="548"/>
      <c r="AC93" s="549"/>
      <c r="AD93" s="549"/>
      <c r="AE93" s="549"/>
      <c r="AF93" s="549"/>
      <c r="AG93" s="549"/>
      <c r="AH93" s="549"/>
      <c r="AI93" s="549"/>
      <c r="AJ93" s="549"/>
      <c r="AK93" s="549"/>
      <c r="AL93" s="549"/>
      <c r="AM93" s="549"/>
      <c r="AN93" s="549"/>
      <c r="AO93" s="549"/>
      <c r="AP93" s="549">
        <f>IF(Table_NFI[[#This Row],[Winter Clothes Adult]]+Table_NFI[[#This Row],[Winter Clothes Children]]+Table_NFI[[#This Row],[Winter Items Other]]+Table_NFI[[#This Row],[Winter Blanket]]&gt;0,1,0)</f>
        <v>0</v>
      </c>
      <c r="AQ93" s="549"/>
      <c r="AR93" s="549"/>
      <c r="AS93" s="549"/>
      <c r="AT93" s="550" t="str">
        <f>IFERROR(VLOOKUP(Table_NFI[[#This Row],[Location]],CL,2,0),"")</f>
        <v/>
      </c>
      <c r="AU93" s="551"/>
      <c r="AV93" s="183"/>
      <c r="DP93" s="534"/>
    </row>
    <row r="94" spans="2:120" ht="18.75" customHeight="1" x14ac:dyDescent="0.25">
      <c r="B94" s="553">
        <v>42966</v>
      </c>
      <c r="C94" s="553" t="str">
        <f>MONTH(Table_NFI[[#This Row],[Distribution Date]]) &amp; "/" &amp; YEAR(Table_NFI[[#This Row],[Distribution Date]])</f>
        <v>8/2017</v>
      </c>
      <c r="D94" s="544" t="s">
        <v>1380</v>
      </c>
      <c r="E94" s="197" t="s">
        <v>1380</v>
      </c>
      <c r="F94" s="219" t="s">
        <v>378</v>
      </c>
      <c r="G94" s="219" t="s">
        <v>5</v>
      </c>
      <c r="H94" s="219" t="s">
        <v>12</v>
      </c>
      <c r="I94" s="183"/>
      <c r="J94" s="541">
        <v>131</v>
      </c>
      <c r="K94" s="541"/>
      <c r="L94" s="541">
        <v>141</v>
      </c>
      <c r="M94" s="548"/>
      <c r="N94" s="548"/>
      <c r="O94" s="548"/>
      <c r="P94" s="548"/>
      <c r="Q94" s="548"/>
      <c r="R94" s="548"/>
      <c r="S94" s="548"/>
      <c r="T94" s="548"/>
      <c r="U94" s="548"/>
      <c r="V94" s="548"/>
      <c r="W94" s="548"/>
      <c r="X94" s="548"/>
      <c r="Y94" s="548"/>
      <c r="Z94" s="548"/>
      <c r="AA94" s="548"/>
      <c r="AB94" s="548"/>
      <c r="AC94" s="549"/>
      <c r="AD94" s="549"/>
      <c r="AE94" s="549"/>
      <c r="AF94" s="549"/>
      <c r="AG94" s="549"/>
      <c r="AH94" s="549"/>
      <c r="AI94" s="549"/>
      <c r="AJ94" s="549"/>
      <c r="AK94" s="549"/>
      <c r="AL94" s="549"/>
      <c r="AM94" s="549"/>
      <c r="AN94" s="549"/>
      <c r="AO94" s="549"/>
      <c r="AP94" s="549">
        <f>IF(Table_NFI[[#This Row],[Winter Clothes Adult]]+Table_NFI[[#This Row],[Winter Clothes Children]]+Table_NFI[[#This Row],[Winter Items Other]]+Table_NFI[[#This Row],[Winter Blanket]]&gt;0,1,0)</f>
        <v>0</v>
      </c>
      <c r="AQ94" s="549"/>
      <c r="AR94" s="549"/>
      <c r="AS94" s="549"/>
      <c r="AT94" s="550" t="str">
        <f>IFERROR(VLOOKUP(Table_NFI[[#This Row],[Location]],CL,2,0),"")</f>
        <v>MMR001CMP163</v>
      </c>
      <c r="AU94" s="551"/>
      <c r="AV94" s="183"/>
      <c r="DP94" s="534"/>
    </row>
    <row r="95" spans="2:120" ht="18.75" customHeight="1" x14ac:dyDescent="0.25">
      <c r="B95" s="553">
        <v>42976</v>
      </c>
      <c r="C95" s="553" t="str">
        <f>MONTH(Table_NFI[[#This Row],[Distribution Date]]) &amp; "/" &amp; YEAR(Table_NFI[[#This Row],[Distribution Date]])</f>
        <v>8/2017</v>
      </c>
      <c r="D95" s="544" t="s">
        <v>1380</v>
      </c>
      <c r="E95" s="197" t="s">
        <v>1380</v>
      </c>
      <c r="F95" s="219" t="s">
        <v>378</v>
      </c>
      <c r="G95" s="219" t="s">
        <v>237</v>
      </c>
      <c r="H95" s="219" t="s">
        <v>1514</v>
      </c>
      <c r="I95" s="183"/>
      <c r="J95" s="541">
        <v>29</v>
      </c>
      <c r="K95" s="541"/>
      <c r="L95" s="548"/>
      <c r="M95" s="548"/>
      <c r="N95" s="548"/>
      <c r="O95" s="548"/>
      <c r="P95" s="548"/>
      <c r="Q95" s="548"/>
      <c r="R95" s="548"/>
      <c r="S95" s="548"/>
      <c r="T95" s="548"/>
      <c r="U95" s="548"/>
      <c r="V95" s="548"/>
      <c r="W95" s="548"/>
      <c r="X95" s="548"/>
      <c r="Y95" s="548"/>
      <c r="Z95" s="548"/>
      <c r="AA95" s="548"/>
      <c r="AB95" s="548"/>
      <c r="AC95" s="549"/>
      <c r="AD95" s="549"/>
      <c r="AE95" s="549"/>
      <c r="AF95" s="549"/>
      <c r="AG95" s="549"/>
      <c r="AH95" s="549"/>
      <c r="AI95" s="549"/>
      <c r="AJ95" s="549"/>
      <c r="AK95" s="549"/>
      <c r="AL95" s="549"/>
      <c r="AM95" s="549"/>
      <c r="AN95" s="549"/>
      <c r="AO95" s="549"/>
      <c r="AP95" s="549">
        <f>IF(Table_NFI[[#This Row],[Winter Clothes Adult]]+Table_NFI[[#This Row],[Winter Clothes Children]]+Table_NFI[[#This Row],[Winter Items Other]]+Table_NFI[[#This Row],[Winter Blanket]]&gt;0,1,0)</f>
        <v>0</v>
      </c>
      <c r="AQ95" s="549"/>
      <c r="AR95" s="549"/>
      <c r="AS95" s="549"/>
      <c r="AT95" s="550" t="str">
        <f>IFERROR(VLOOKUP(Table_NFI[[#This Row],[Location]],CL,2,0),"")</f>
        <v/>
      </c>
      <c r="AU95" s="551"/>
      <c r="AV95" s="183"/>
      <c r="DP95" s="534"/>
    </row>
    <row r="96" spans="2:120" ht="18.75" customHeight="1" x14ac:dyDescent="0.25">
      <c r="B96" s="546">
        <v>42985</v>
      </c>
      <c r="C96" s="546" t="str">
        <f>MONTH(Table_NFI[[#This Row],[Distribution Date]]) &amp; "/" &amp; YEAR(Table_NFI[[#This Row],[Distribution Date]])</f>
        <v>9/2017</v>
      </c>
      <c r="D96" s="544" t="s">
        <v>420</v>
      </c>
      <c r="E96" s="544" t="s">
        <v>1589</v>
      </c>
      <c r="F96" s="544" t="s">
        <v>378</v>
      </c>
      <c r="G96" s="544" t="s">
        <v>5</v>
      </c>
      <c r="H96" s="544" t="s">
        <v>1532</v>
      </c>
      <c r="I96" s="547"/>
      <c r="J96" s="548"/>
      <c r="K96" s="548"/>
      <c r="L96" s="548"/>
      <c r="M96" s="548"/>
      <c r="N96" s="548"/>
      <c r="O96" s="548">
        <v>15</v>
      </c>
      <c r="P96" s="548"/>
      <c r="Q96" s="548"/>
      <c r="R96" s="548"/>
      <c r="S96" s="548"/>
      <c r="T96" s="548"/>
      <c r="U96" s="548"/>
      <c r="V96" s="548"/>
      <c r="W96" s="548"/>
      <c r="X96" s="548"/>
      <c r="Y96" s="548"/>
      <c r="Z96" s="548"/>
      <c r="AA96" s="548"/>
      <c r="AB96" s="548"/>
      <c r="AC96" s="549"/>
      <c r="AD96" s="549"/>
      <c r="AE96" s="549"/>
      <c r="AF96" s="549"/>
      <c r="AG96" s="549"/>
      <c r="AH96" s="549"/>
      <c r="AI96" s="549"/>
      <c r="AJ96" s="549"/>
      <c r="AK96" s="549"/>
      <c r="AL96" s="549"/>
      <c r="AM96" s="549"/>
      <c r="AN96" s="549"/>
      <c r="AO96" s="549"/>
      <c r="AP96" s="549">
        <f>IF(Table_NFI[[#This Row],[Winter Clothes Adult]]+Table_NFI[[#This Row],[Winter Clothes Children]]+Table_NFI[[#This Row],[Winter Items Other]]+Table_NFI[[#This Row],[Winter Blanket]]&gt;0,1,0)</f>
        <v>0</v>
      </c>
      <c r="AQ96" s="549"/>
      <c r="AR96" s="549"/>
      <c r="AS96" s="549"/>
      <c r="AT96" s="550" t="str">
        <f>IFERROR(VLOOKUP(Table_NFI[[#This Row],[Location]],CL,2,0),"")</f>
        <v/>
      </c>
      <c r="AU96" s="551"/>
      <c r="AV96" s="183"/>
      <c r="DP96" s="534"/>
    </row>
    <row r="97" spans="2:120" ht="18.75" customHeight="1" x14ac:dyDescent="0.25">
      <c r="B97" s="546">
        <v>43007</v>
      </c>
      <c r="C97" s="546" t="str">
        <f>MONTH(Table_NFI[[#This Row],[Distribution Date]]) &amp; "/" &amp; YEAR(Table_NFI[[#This Row],[Distribution Date]])</f>
        <v>9/2017</v>
      </c>
      <c r="D97" s="544" t="s">
        <v>420</v>
      </c>
      <c r="E97" s="544" t="s">
        <v>462</v>
      </c>
      <c r="F97" s="198" t="s">
        <v>378</v>
      </c>
      <c r="G97" s="198" t="s">
        <v>309</v>
      </c>
      <c r="H97" s="544" t="s">
        <v>1534</v>
      </c>
      <c r="I97" s="547"/>
      <c r="J97" s="548"/>
      <c r="K97" s="548"/>
      <c r="L97" s="548">
        <v>4</v>
      </c>
      <c r="M97" s="548">
        <v>4</v>
      </c>
      <c r="N97" s="548">
        <v>6</v>
      </c>
      <c r="O97" s="548">
        <v>4</v>
      </c>
      <c r="P97" s="548">
        <v>4</v>
      </c>
      <c r="Q97" s="548">
        <v>3</v>
      </c>
      <c r="R97" s="548"/>
      <c r="S97" s="548">
        <v>3</v>
      </c>
      <c r="T97" s="548">
        <v>5</v>
      </c>
      <c r="U97" s="548"/>
      <c r="V97" s="548"/>
      <c r="W97" s="548"/>
      <c r="X97" s="548"/>
      <c r="Y97" s="548">
        <v>4</v>
      </c>
      <c r="Z97" s="548"/>
      <c r="AA97" s="548"/>
      <c r="AB97" s="548"/>
      <c r="AC97" s="549"/>
      <c r="AD97" s="549"/>
      <c r="AE97" s="549"/>
      <c r="AF97" s="549"/>
      <c r="AG97" s="549"/>
      <c r="AH97" s="549"/>
      <c r="AI97" s="549"/>
      <c r="AJ97" s="549"/>
      <c r="AK97" s="549"/>
      <c r="AL97" s="549"/>
      <c r="AM97" s="549"/>
      <c r="AN97" s="549"/>
      <c r="AO97" s="549"/>
      <c r="AP97" s="549">
        <f>IF(Table_NFI[[#This Row],[Winter Clothes Adult]]+Table_NFI[[#This Row],[Winter Clothes Children]]+Table_NFI[[#This Row],[Winter Items Other]]+Table_NFI[[#This Row],[Winter Blanket]]&gt;0,1,0)</f>
        <v>0</v>
      </c>
      <c r="AQ97" s="549"/>
      <c r="AR97" s="549"/>
      <c r="AS97" s="549"/>
      <c r="AT97" s="550" t="str">
        <f>IFERROR(VLOOKUP(Table_NFI[[#This Row],[Location]],CL,2,0),"")</f>
        <v/>
      </c>
      <c r="AU97" s="551"/>
      <c r="AV97" s="183"/>
      <c r="DP97" s="534"/>
    </row>
    <row r="98" spans="2:120" ht="18.75" customHeight="1" x14ac:dyDescent="0.25">
      <c r="B98" s="546">
        <v>43007</v>
      </c>
      <c r="C98" s="546" t="str">
        <f>MONTH(Table_NFI[[#This Row],[Distribution Date]]) &amp; "/" &amp; YEAR(Table_NFI[[#This Row],[Distribution Date]])</f>
        <v>9/2017</v>
      </c>
      <c r="D98" s="544" t="s">
        <v>420</v>
      </c>
      <c r="E98" s="544" t="s">
        <v>462</v>
      </c>
      <c r="F98" s="198" t="s">
        <v>378</v>
      </c>
      <c r="G98" s="198" t="s">
        <v>309</v>
      </c>
      <c r="H98" s="544" t="s">
        <v>1535</v>
      </c>
      <c r="I98" s="547"/>
      <c r="J98" s="548"/>
      <c r="K98" s="548"/>
      <c r="L98" s="548">
        <v>3</v>
      </c>
      <c r="M98" s="548">
        <v>3</v>
      </c>
      <c r="N98" s="548">
        <v>6</v>
      </c>
      <c r="O98" s="548">
        <v>3</v>
      </c>
      <c r="P98" s="548">
        <v>8</v>
      </c>
      <c r="Q98" s="548">
        <v>2</v>
      </c>
      <c r="R98" s="548"/>
      <c r="S98" s="548">
        <v>2</v>
      </c>
      <c r="T98" s="548">
        <v>8</v>
      </c>
      <c r="U98" s="548"/>
      <c r="V98" s="548"/>
      <c r="W98" s="548"/>
      <c r="X98" s="548"/>
      <c r="Y98" s="548">
        <v>3</v>
      </c>
      <c r="Z98" s="548"/>
      <c r="AA98" s="548"/>
      <c r="AB98" s="548"/>
      <c r="AC98" s="549"/>
      <c r="AD98" s="549"/>
      <c r="AE98" s="549"/>
      <c r="AF98" s="549"/>
      <c r="AG98" s="549"/>
      <c r="AH98" s="549"/>
      <c r="AI98" s="549"/>
      <c r="AJ98" s="549"/>
      <c r="AK98" s="549"/>
      <c r="AL98" s="549"/>
      <c r="AM98" s="549"/>
      <c r="AN98" s="549"/>
      <c r="AO98" s="549"/>
      <c r="AP98" s="549">
        <f>IF(Table_NFI[[#This Row],[Winter Clothes Adult]]+Table_NFI[[#This Row],[Winter Clothes Children]]+Table_NFI[[#This Row],[Winter Items Other]]+Table_NFI[[#This Row],[Winter Blanket]]&gt;0,1,0)</f>
        <v>0</v>
      </c>
      <c r="AQ98" s="549"/>
      <c r="AR98" s="549"/>
      <c r="AS98" s="549"/>
      <c r="AT98" s="550" t="str">
        <f>IFERROR(VLOOKUP(Table_NFI[[#This Row],[Location]],CL,2,0),"")</f>
        <v/>
      </c>
      <c r="AU98" s="551"/>
      <c r="AV98" s="183"/>
      <c r="DP98" s="534"/>
    </row>
    <row r="99" spans="2:120" ht="18.75" customHeight="1" x14ac:dyDescent="0.25">
      <c r="B99" s="546">
        <v>43008</v>
      </c>
      <c r="C99" s="546" t="str">
        <f>MONTH(Table_NFI[[#This Row],[Distribution Date]]) &amp; "/" &amp; YEAR(Table_NFI[[#This Row],[Distribution Date]])</f>
        <v>9/2017</v>
      </c>
      <c r="D99" s="544" t="s">
        <v>1380</v>
      </c>
      <c r="E99" s="197" t="s">
        <v>1380</v>
      </c>
      <c r="F99" s="544" t="s">
        <v>378</v>
      </c>
      <c r="G99" s="544" t="s">
        <v>1135</v>
      </c>
      <c r="H99" s="544" t="s">
        <v>1531</v>
      </c>
      <c r="I99" s="547"/>
      <c r="J99" s="548">
        <v>31</v>
      </c>
      <c r="K99" s="548"/>
      <c r="L99" s="548"/>
      <c r="M99" s="548"/>
      <c r="N99" s="548"/>
      <c r="O99" s="548"/>
      <c r="P99" s="548"/>
      <c r="Q99" s="548"/>
      <c r="R99" s="548"/>
      <c r="S99" s="548"/>
      <c r="T99" s="548"/>
      <c r="U99" s="548"/>
      <c r="V99" s="548"/>
      <c r="W99" s="548"/>
      <c r="X99" s="548"/>
      <c r="Y99" s="548"/>
      <c r="Z99" s="548"/>
      <c r="AA99" s="548"/>
      <c r="AB99" s="548"/>
      <c r="AC99" s="549"/>
      <c r="AD99" s="549"/>
      <c r="AE99" s="549"/>
      <c r="AF99" s="549"/>
      <c r="AG99" s="549"/>
      <c r="AH99" s="549"/>
      <c r="AI99" s="549"/>
      <c r="AJ99" s="549"/>
      <c r="AK99" s="549"/>
      <c r="AL99" s="549"/>
      <c r="AM99" s="549"/>
      <c r="AN99" s="549"/>
      <c r="AO99" s="549"/>
      <c r="AP99" s="549">
        <f>IF(Table_NFI[[#This Row],[Winter Clothes Adult]]+Table_NFI[[#This Row],[Winter Clothes Children]]+Table_NFI[[#This Row],[Winter Items Other]]+Table_NFI[[#This Row],[Winter Blanket]]&gt;0,1,0)</f>
        <v>0</v>
      </c>
      <c r="AQ99" s="549"/>
      <c r="AR99" s="549"/>
      <c r="AS99" s="549"/>
      <c r="AT99" s="550" t="str">
        <f>IFERROR(VLOOKUP(Table_NFI[[#This Row],[Location]],CL,2,0),"")</f>
        <v/>
      </c>
      <c r="AU99" s="551"/>
      <c r="AV99" s="183"/>
      <c r="DP99" s="534"/>
    </row>
    <row r="100" spans="2:120" ht="18.75" customHeight="1" x14ac:dyDescent="0.25">
      <c r="B100" s="546">
        <v>43010</v>
      </c>
      <c r="C100" s="546" t="str">
        <f>MONTH(Table_NFI[[#This Row],[Distribution Date]]) &amp; "/" &amp; YEAR(Table_NFI[[#This Row],[Distribution Date]])</f>
        <v>10/2017</v>
      </c>
      <c r="D100" s="544" t="s">
        <v>462</v>
      </c>
      <c r="E100" s="544" t="s">
        <v>420</v>
      </c>
      <c r="F100" s="544" t="s">
        <v>378</v>
      </c>
      <c r="G100" s="544" t="s">
        <v>237</v>
      </c>
      <c r="H100" s="219" t="s">
        <v>262</v>
      </c>
      <c r="I100" s="547"/>
      <c r="J100" s="548"/>
      <c r="K100" s="548"/>
      <c r="L100" s="541">
        <v>1</v>
      </c>
      <c r="M100" s="541">
        <v>1</v>
      </c>
      <c r="N100" s="541">
        <v>3</v>
      </c>
      <c r="O100" s="541">
        <v>1</v>
      </c>
      <c r="P100" s="541" t="s">
        <v>541</v>
      </c>
      <c r="Q100" s="541">
        <v>1</v>
      </c>
      <c r="R100" s="548"/>
      <c r="S100" s="541">
        <v>1</v>
      </c>
      <c r="T100" s="541">
        <v>3</v>
      </c>
      <c r="U100" s="548"/>
      <c r="V100" s="548"/>
      <c r="W100" s="548"/>
      <c r="X100" s="548"/>
      <c r="Y100" s="541">
        <v>1</v>
      </c>
      <c r="Z100" s="548"/>
      <c r="AA100" s="548"/>
      <c r="AB100" s="548"/>
      <c r="AC100" s="549"/>
      <c r="AD100" s="549"/>
      <c r="AE100" s="549"/>
      <c r="AF100" s="549"/>
      <c r="AG100" s="549"/>
      <c r="AH100" s="549"/>
      <c r="AI100" s="549"/>
      <c r="AJ100" s="549"/>
      <c r="AK100" s="549"/>
      <c r="AL100" s="549"/>
      <c r="AM100" s="549"/>
      <c r="AN100" s="549"/>
      <c r="AO100" s="549"/>
      <c r="AP100" s="549">
        <f>IF(Table_NFI[[#This Row],[Winter Clothes Adult]]+Table_NFI[[#This Row],[Winter Clothes Children]]+Table_NFI[[#This Row],[Winter Items Other]]+Table_NFI[[#This Row],[Winter Blanket]]&gt;0,1,0)</f>
        <v>0</v>
      </c>
      <c r="AQ100" s="549"/>
      <c r="AR100" s="549"/>
      <c r="AS100" s="549"/>
      <c r="AT100" s="550" t="str">
        <f>IFERROR(VLOOKUP(Table_NFI[[#This Row],[Location]],CL,2,0),"")</f>
        <v>MMR001CMP020</v>
      </c>
      <c r="AU100" s="551"/>
      <c r="AV100" s="183"/>
      <c r="DP100" s="534"/>
    </row>
    <row r="101" spans="2:120" ht="18.75" customHeight="1" x14ac:dyDescent="0.25">
      <c r="B101" s="546">
        <v>43010</v>
      </c>
      <c r="C101" s="546" t="str">
        <f>MONTH(Table_NFI[[#This Row],[Distribution Date]]) &amp; "/" &amp; YEAR(Table_NFI[[#This Row],[Distribution Date]])</f>
        <v>10/2017</v>
      </c>
      <c r="D101" s="544" t="s">
        <v>462</v>
      </c>
      <c r="E101" s="544" t="s">
        <v>420</v>
      </c>
      <c r="F101" s="544" t="s">
        <v>378</v>
      </c>
      <c r="G101" s="544" t="s">
        <v>309</v>
      </c>
      <c r="H101" s="219" t="s">
        <v>317</v>
      </c>
      <c r="I101" s="547"/>
      <c r="J101" s="548"/>
      <c r="K101" s="548"/>
      <c r="L101" s="541">
        <v>4</v>
      </c>
      <c r="M101" s="541">
        <v>4</v>
      </c>
      <c r="N101" s="541">
        <v>6</v>
      </c>
      <c r="O101" s="541">
        <v>4</v>
      </c>
      <c r="P101" s="541">
        <v>4</v>
      </c>
      <c r="Q101" s="541">
        <v>3</v>
      </c>
      <c r="R101" s="548"/>
      <c r="S101" s="541">
        <v>3</v>
      </c>
      <c r="T101" s="541">
        <v>5</v>
      </c>
      <c r="U101" s="548"/>
      <c r="V101" s="548"/>
      <c r="W101" s="548"/>
      <c r="X101" s="548"/>
      <c r="Y101" s="541">
        <v>4</v>
      </c>
      <c r="Z101" s="548"/>
      <c r="AA101" s="548"/>
      <c r="AB101" s="548"/>
      <c r="AC101" s="549"/>
      <c r="AD101" s="549"/>
      <c r="AE101" s="549"/>
      <c r="AF101" s="549"/>
      <c r="AG101" s="549"/>
      <c r="AH101" s="549"/>
      <c r="AI101" s="549"/>
      <c r="AJ101" s="549"/>
      <c r="AK101" s="549"/>
      <c r="AL101" s="549"/>
      <c r="AM101" s="549"/>
      <c r="AN101" s="549"/>
      <c r="AO101" s="549"/>
      <c r="AP101" s="549">
        <f>IF(Table_NFI[[#This Row],[Winter Clothes Adult]]+Table_NFI[[#This Row],[Winter Clothes Children]]+Table_NFI[[#This Row],[Winter Items Other]]+Table_NFI[[#This Row],[Winter Blanket]]&gt;0,1,0)</f>
        <v>0</v>
      </c>
      <c r="AQ101" s="549"/>
      <c r="AR101" s="549"/>
      <c r="AS101" s="549"/>
      <c r="AT101" s="550" t="str">
        <f>IFERROR(VLOOKUP(Table_NFI[[#This Row],[Location]],CL,2,0),"")</f>
        <v>MMR001CMP032</v>
      </c>
      <c r="AU101" s="551"/>
      <c r="AV101" s="183"/>
      <c r="DP101" s="534"/>
    </row>
    <row r="102" spans="2:120" ht="18.75" customHeight="1" x14ac:dyDescent="0.25">
      <c r="B102" s="546">
        <v>43010</v>
      </c>
      <c r="C102" s="546" t="str">
        <f>MONTH(Table_NFI[[#This Row],[Distribution Date]]) &amp; "/" &amp; YEAR(Table_NFI[[#This Row],[Distribution Date]])</f>
        <v>10/2017</v>
      </c>
      <c r="D102" s="544" t="s">
        <v>462</v>
      </c>
      <c r="E102" s="544" t="s">
        <v>420</v>
      </c>
      <c r="F102" s="198" t="s">
        <v>378</v>
      </c>
      <c r="G102" s="544" t="s">
        <v>309</v>
      </c>
      <c r="H102" s="219" t="s">
        <v>315</v>
      </c>
      <c r="I102" s="547"/>
      <c r="J102" s="548"/>
      <c r="K102" s="548"/>
      <c r="L102" s="541">
        <v>2</v>
      </c>
      <c r="M102" s="541">
        <v>2</v>
      </c>
      <c r="N102" s="541">
        <v>3</v>
      </c>
      <c r="O102" s="541">
        <v>2</v>
      </c>
      <c r="P102" s="541">
        <v>5</v>
      </c>
      <c r="Q102" s="541">
        <v>1</v>
      </c>
      <c r="R102" s="548"/>
      <c r="S102" s="541">
        <v>1</v>
      </c>
      <c r="T102" s="541">
        <v>5</v>
      </c>
      <c r="U102" s="548"/>
      <c r="V102" s="548"/>
      <c r="W102" s="548"/>
      <c r="X102" s="548"/>
      <c r="Y102" s="541">
        <v>2</v>
      </c>
      <c r="Z102" s="548"/>
      <c r="AA102" s="548"/>
      <c r="AB102" s="548"/>
      <c r="AC102" s="549"/>
      <c r="AD102" s="549"/>
      <c r="AE102" s="549"/>
      <c r="AF102" s="549"/>
      <c r="AG102" s="549"/>
      <c r="AH102" s="549"/>
      <c r="AI102" s="549"/>
      <c r="AJ102" s="549"/>
      <c r="AK102" s="549"/>
      <c r="AL102" s="549"/>
      <c r="AM102" s="549"/>
      <c r="AN102" s="549"/>
      <c r="AO102" s="549"/>
      <c r="AP102" s="549">
        <f>IF(Table_NFI[[#This Row],[Winter Clothes Adult]]+Table_NFI[[#This Row],[Winter Clothes Children]]+Table_NFI[[#This Row],[Winter Items Other]]+Table_NFI[[#This Row],[Winter Blanket]]&gt;0,1,0)</f>
        <v>0</v>
      </c>
      <c r="AQ102" s="549"/>
      <c r="AR102" s="549"/>
      <c r="AS102" s="549"/>
      <c r="AT102" s="550" t="str">
        <f>IFERROR(VLOOKUP(Table_NFI[[#This Row],[Location]],CL,2,0),"")</f>
        <v>MMR001CMP038</v>
      </c>
      <c r="AU102" s="551"/>
      <c r="AV102" s="183"/>
      <c r="DP102" s="534"/>
    </row>
    <row r="103" spans="2:120" ht="18.75" customHeight="1" x14ac:dyDescent="0.25">
      <c r="B103" s="540">
        <v>43025</v>
      </c>
      <c r="C103" s="540" t="str">
        <f>MONTH(Table_NFI[[#This Row],[Distribution Date]]) &amp; "/" &amp; YEAR(Table_NFI[[#This Row],[Distribution Date]])</f>
        <v>10/2017</v>
      </c>
      <c r="D103" s="198" t="s">
        <v>1465</v>
      </c>
      <c r="E103" s="198" t="s">
        <v>420</v>
      </c>
      <c r="F103" s="198" t="s">
        <v>378</v>
      </c>
      <c r="G103" s="197" t="s">
        <v>185</v>
      </c>
      <c r="H103" s="198" t="s">
        <v>196</v>
      </c>
      <c r="I103" s="183"/>
      <c r="J103" s="541"/>
      <c r="K103" s="541"/>
      <c r="L103" s="541"/>
      <c r="M103" s="541"/>
      <c r="N103" s="541"/>
      <c r="O103" s="541"/>
      <c r="P103" s="541">
        <v>3170</v>
      </c>
      <c r="Q103" s="541"/>
      <c r="R103" s="541"/>
      <c r="S103" s="541"/>
      <c r="T103" s="541"/>
      <c r="U103" s="541"/>
      <c r="V103" s="541">
        <v>2536</v>
      </c>
      <c r="W103" s="541"/>
      <c r="X103" s="541"/>
      <c r="Y103" s="541"/>
      <c r="Z103" s="541"/>
      <c r="AA103" s="541"/>
      <c r="AB103" s="541"/>
      <c r="AC103" s="542"/>
      <c r="AD103" s="542"/>
      <c r="AE103" s="542"/>
      <c r="AF103" s="542"/>
      <c r="AG103" s="542"/>
      <c r="AH103" s="542"/>
      <c r="AI103" s="542"/>
      <c r="AJ103" s="542"/>
      <c r="AK103" s="542"/>
      <c r="AL103" s="542"/>
      <c r="AM103" s="542"/>
      <c r="AN103" s="542"/>
      <c r="AO103" s="542"/>
      <c r="AP103" s="542">
        <f>IF(Table_NFI[[#This Row],[Winter Clothes Adult]]+Table_NFI[[#This Row],[Winter Clothes Children]]+Table_NFI[[#This Row],[Winter Items Other]]+Table_NFI[[#This Row],[Winter Blanket]]&gt;0,1,0)</f>
        <v>1</v>
      </c>
      <c r="AQ103" s="542"/>
      <c r="AR103" s="542"/>
      <c r="AS103" s="542"/>
      <c r="AT103" s="205" t="str">
        <f>IFERROR(VLOOKUP(Table_NFI[[#This Row],[Location]],CL,2,0),"")</f>
        <v>MMR001CMP121</v>
      </c>
      <c r="AU103" s="183" t="s">
        <v>1538</v>
      </c>
      <c r="AV103" s="183"/>
      <c r="DP103" s="534"/>
    </row>
    <row r="104" spans="2:120" ht="18.75" customHeight="1" x14ac:dyDescent="0.25">
      <c r="B104" s="540">
        <v>43026</v>
      </c>
      <c r="C104" s="540" t="str">
        <f>MONTH(Table_NFI[[#This Row],[Distribution Date]]) &amp; "/" &amp; YEAR(Table_NFI[[#This Row],[Distribution Date]])</f>
        <v>10/2017</v>
      </c>
      <c r="D104" s="198" t="s">
        <v>1465</v>
      </c>
      <c r="E104" s="198" t="s">
        <v>420</v>
      </c>
      <c r="F104" s="198" t="s">
        <v>378</v>
      </c>
      <c r="G104" s="198" t="s">
        <v>309</v>
      </c>
      <c r="H104" s="198" t="s">
        <v>353</v>
      </c>
      <c r="I104" s="183"/>
      <c r="J104" s="541"/>
      <c r="K104" s="541"/>
      <c r="L104" s="541"/>
      <c r="M104" s="541"/>
      <c r="N104" s="541"/>
      <c r="O104" s="541"/>
      <c r="P104" s="541">
        <v>182</v>
      </c>
      <c r="Q104" s="541"/>
      <c r="R104" s="541"/>
      <c r="S104" s="541"/>
      <c r="T104" s="541"/>
      <c r="U104" s="541">
        <v>137</v>
      </c>
      <c r="V104" s="541">
        <v>264</v>
      </c>
      <c r="W104" s="541"/>
      <c r="X104" s="541"/>
      <c r="Y104" s="541"/>
      <c r="Z104" s="541"/>
      <c r="AA104" s="541"/>
      <c r="AB104" s="541"/>
      <c r="AC104" s="542"/>
      <c r="AD104" s="542"/>
      <c r="AE104" s="542"/>
      <c r="AF104" s="542"/>
      <c r="AG104" s="542"/>
      <c r="AH104" s="542"/>
      <c r="AI104" s="542"/>
      <c r="AJ104" s="542"/>
      <c r="AK104" s="542"/>
      <c r="AL104" s="542"/>
      <c r="AM104" s="542"/>
      <c r="AN104" s="542"/>
      <c r="AO104" s="542"/>
      <c r="AP104" s="542">
        <f>IF(Table_NFI[[#This Row],[Winter Clothes Adult]]+Table_NFI[[#This Row],[Winter Clothes Children]]+Table_NFI[[#This Row],[Winter Items Other]]+Table_NFI[[#This Row],[Winter Blanket]]&gt;0,1,0)</f>
        <v>1</v>
      </c>
      <c r="AQ104" s="542"/>
      <c r="AR104" s="542"/>
      <c r="AS104" s="542"/>
      <c r="AT104" s="205" t="str">
        <f>IFERROR(VLOOKUP(Table_NFI[[#This Row],[Location]],CL,2,0),"")</f>
        <v>MMR001CMP160</v>
      </c>
      <c r="AU104" s="183" t="s">
        <v>1538</v>
      </c>
      <c r="AV104" s="183"/>
      <c r="DP104" s="534"/>
    </row>
    <row r="105" spans="2:120" ht="18.75" customHeight="1" x14ac:dyDescent="0.25">
      <c r="B105" s="540">
        <v>43027</v>
      </c>
      <c r="C105" s="540" t="str">
        <f>MONTH(Table_NFI[[#This Row],[Distribution Date]]) &amp; "/" &amp; YEAR(Table_NFI[[#This Row],[Distribution Date]])</f>
        <v>10/2017</v>
      </c>
      <c r="D105" s="198" t="s">
        <v>1465</v>
      </c>
      <c r="E105" s="198" t="s">
        <v>420</v>
      </c>
      <c r="F105" s="198" t="s">
        <v>378</v>
      </c>
      <c r="G105" s="197" t="s">
        <v>185</v>
      </c>
      <c r="H105" s="198" t="s">
        <v>192</v>
      </c>
      <c r="I105" s="183"/>
      <c r="J105" s="541"/>
      <c r="K105" s="541"/>
      <c r="L105" s="541"/>
      <c r="M105" s="541"/>
      <c r="N105" s="541"/>
      <c r="O105" s="541"/>
      <c r="P105" s="541">
        <v>196</v>
      </c>
      <c r="Q105" s="541"/>
      <c r="R105" s="541"/>
      <c r="S105" s="541"/>
      <c r="T105" s="541"/>
      <c r="U105" s="541">
        <v>195</v>
      </c>
      <c r="V105" s="541">
        <v>214</v>
      </c>
      <c r="W105" s="541"/>
      <c r="X105" s="541"/>
      <c r="Y105" s="541"/>
      <c r="Z105" s="541"/>
      <c r="AA105" s="541"/>
      <c r="AB105" s="541"/>
      <c r="AC105" s="542"/>
      <c r="AD105" s="542"/>
      <c r="AE105" s="542"/>
      <c r="AF105" s="542"/>
      <c r="AG105" s="542"/>
      <c r="AH105" s="542"/>
      <c r="AI105" s="542"/>
      <c r="AJ105" s="542"/>
      <c r="AK105" s="542"/>
      <c r="AL105" s="542"/>
      <c r="AM105" s="542"/>
      <c r="AN105" s="542"/>
      <c r="AO105" s="542"/>
      <c r="AP105" s="542">
        <f>IF(Table_NFI[[#This Row],[Winter Clothes Adult]]+Table_NFI[[#This Row],[Winter Clothes Children]]+Table_NFI[[#This Row],[Winter Items Other]]+Table_NFI[[#This Row],[Winter Blanket]]&gt;0,1,0)</f>
        <v>1</v>
      </c>
      <c r="AQ105" s="542"/>
      <c r="AR105" s="542"/>
      <c r="AS105" s="542"/>
      <c r="AT105" s="205" t="str">
        <f>IFERROR(VLOOKUP(Table_NFI[[#This Row],[Location]],CL,2,0),"")</f>
        <v>MMR001CMP123</v>
      </c>
      <c r="AU105" s="183" t="s">
        <v>1538</v>
      </c>
      <c r="AV105" s="183"/>
      <c r="DP105" s="534"/>
    </row>
    <row r="106" spans="2:120" ht="18.75" customHeight="1" x14ac:dyDescent="0.25">
      <c r="B106" s="540">
        <v>43028</v>
      </c>
      <c r="C106" s="540" t="str">
        <f>MONTH(Table_NFI[[#This Row],[Distribution Date]]) &amp; "/" &amp; YEAR(Table_NFI[[#This Row],[Distribution Date]])</f>
        <v>10/2017</v>
      </c>
      <c r="D106" s="198" t="s">
        <v>1465</v>
      </c>
      <c r="E106" s="198" t="s">
        <v>420</v>
      </c>
      <c r="F106" s="198" t="s">
        <v>378</v>
      </c>
      <c r="G106" s="198" t="s">
        <v>309</v>
      </c>
      <c r="H106" s="198" t="s">
        <v>333</v>
      </c>
      <c r="I106" s="183"/>
      <c r="J106" s="541"/>
      <c r="K106" s="541"/>
      <c r="L106" s="541"/>
      <c r="M106" s="541"/>
      <c r="N106" s="541"/>
      <c r="O106" s="541"/>
      <c r="P106" s="541">
        <v>304</v>
      </c>
      <c r="Q106" s="541"/>
      <c r="R106" s="541"/>
      <c r="S106" s="541"/>
      <c r="T106" s="541"/>
      <c r="U106" s="541">
        <v>348</v>
      </c>
      <c r="V106" s="541">
        <v>269</v>
      </c>
      <c r="W106" s="541"/>
      <c r="X106" s="541"/>
      <c r="Y106" s="541"/>
      <c r="Z106" s="541"/>
      <c r="AA106" s="541"/>
      <c r="AB106" s="541"/>
      <c r="AC106" s="542"/>
      <c r="AD106" s="542"/>
      <c r="AE106" s="542"/>
      <c r="AF106" s="542"/>
      <c r="AG106" s="542"/>
      <c r="AH106" s="542"/>
      <c r="AI106" s="542"/>
      <c r="AJ106" s="542"/>
      <c r="AK106" s="542"/>
      <c r="AL106" s="542"/>
      <c r="AM106" s="542"/>
      <c r="AN106" s="542"/>
      <c r="AO106" s="542"/>
      <c r="AP106" s="542">
        <f>IF(Table_NFI[[#This Row],[Winter Clothes Adult]]+Table_NFI[[#This Row],[Winter Clothes Children]]+Table_NFI[[#This Row],[Winter Items Other]]+Table_NFI[[#This Row],[Winter Blanket]]&gt;0,1,0)</f>
        <v>1</v>
      </c>
      <c r="AQ106" s="542"/>
      <c r="AR106" s="542"/>
      <c r="AS106" s="542"/>
      <c r="AT106" s="205" t="str">
        <f>IFERROR(VLOOKUP(Table_NFI[[#This Row],[Location]],CL,2,0),"")</f>
        <v>MMR001CMP113</v>
      </c>
      <c r="AU106" s="183" t="s">
        <v>1538</v>
      </c>
      <c r="AV106" s="183"/>
      <c r="DP106" s="534"/>
    </row>
    <row r="107" spans="2:120" ht="18.75" customHeight="1" x14ac:dyDescent="0.25">
      <c r="B107" s="540">
        <v>43035</v>
      </c>
      <c r="C107" s="540" t="str">
        <f>MONTH(Table_NFI[[#This Row],[Distribution Date]]) &amp; "/" &amp; YEAR(Table_NFI[[#This Row],[Distribution Date]])</f>
        <v>10/2017</v>
      </c>
      <c r="D107" s="198" t="s">
        <v>1258</v>
      </c>
      <c r="E107" s="219" t="s">
        <v>1258</v>
      </c>
      <c r="F107" s="198" t="s">
        <v>378</v>
      </c>
      <c r="G107" s="197" t="s">
        <v>185</v>
      </c>
      <c r="H107" s="554" t="s">
        <v>1539</v>
      </c>
      <c r="I107" s="183">
        <v>69</v>
      </c>
      <c r="J107" s="541"/>
      <c r="K107" s="541"/>
      <c r="L107" s="541"/>
      <c r="M107" s="541"/>
      <c r="N107" s="541"/>
      <c r="O107" s="541"/>
      <c r="P107" s="541"/>
      <c r="Q107" s="541"/>
      <c r="R107" s="541"/>
      <c r="S107" s="541"/>
      <c r="T107" s="541"/>
      <c r="U107" s="541"/>
      <c r="V107" s="541"/>
      <c r="W107" s="541"/>
      <c r="X107" s="541"/>
      <c r="Y107" s="541"/>
      <c r="Z107" s="541"/>
      <c r="AA107" s="541"/>
      <c r="AB107" s="541"/>
      <c r="AC107" s="542"/>
      <c r="AD107" s="542"/>
      <c r="AE107" s="542"/>
      <c r="AF107" s="542"/>
      <c r="AG107" s="542"/>
      <c r="AH107" s="542"/>
      <c r="AI107" s="542"/>
      <c r="AJ107" s="542"/>
      <c r="AK107" s="542"/>
      <c r="AL107" s="542"/>
      <c r="AM107" s="542"/>
      <c r="AN107" s="542"/>
      <c r="AO107" s="542"/>
      <c r="AP107" s="542">
        <f>IF(Table_NFI[[#This Row],[Winter Clothes Adult]]+Table_NFI[[#This Row],[Winter Clothes Children]]+Table_NFI[[#This Row],[Winter Items Other]]+Table_NFI[[#This Row],[Winter Blanket]]&gt;0,1,0)</f>
        <v>0</v>
      </c>
      <c r="AQ107" s="542"/>
      <c r="AR107" s="542"/>
      <c r="AS107" s="542"/>
      <c r="AT107" s="205" t="str">
        <f>IFERROR(VLOOKUP(Table_NFI[[#This Row],[Location]],CL,2,0),"")</f>
        <v/>
      </c>
      <c r="AU107" s="183"/>
      <c r="AV107" s="183"/>
      <c r="DP107" s="534"/>
    </row>
    <row r="108" spans="2:120" ht="18.75" customHeight="1" x14ac:dyDescent="0.25">
      <c r="B108" s="540">
        <v>43066</v>
      </c>
      <c r="C108" s="540" t="str">
        <f>MONTH(Table_NFI[[#This Row],[Distribution Date]]) &amp; "/" &amp; YEAR(Table_NFI[[#This Row],[Distribution Date]])</f>
        <v>11/2017</v>
      </c>
      <c r="D108" s="198" t="s">
        <v>1564</v>
      </c>
      <c r="E108" s="198" t="s">
        <v>1564</v>
      </c>
      <c r="F108" s="198" t="s">
        <v>506</v>
      </c>
      <c r="G108" s="198" t="s">
        <v>297</v>
      </c>
      <c r="H108" s="198" t="s">
        <v>1275</v>
      </c>
      <c r="I108" s="183"/>
      <c r="J108" s="541"/>
      <c r="K108" s="541"/>
      <c r="L108" s="541"/>
      <c r="M108" s="541"/>
      <c r="N108" s="541"/>
      <c r="O108" s="541"/>
      <c r="P108" s="541"/>
      <c r="Q108" s="541"/>
      <c r="R108" s="541"/>
      <c r="S108" s="541"/>
      <c r="T108" s="541"/>
      <c r="U108" s="541"/>
      <c r="V108" s="541"/>
      <c r="W108" s="541">
        <v>60</v>
      </c>
      <c r="X108" s="541"/>
      <c r="Y108" s="541"/>
      <c r="Z108" s="541"/>
      <c r="AA108" s="541"/>
      <c r="AB108" s="541"/>
      <c r="AC108" s="542"/>
      <c r="AD108" s="542"/>
      <c r="AE108" s="542"/>
      <c r="AF108" s="542"/>
      <c r="AG108" s="542"/>
      <c r="AH108" s="542"/>
      <c r="AI108" s="542"/>
      <c r="AJ108" s="542"/>
      <c r="AK108" s="542"/>
      <c r="AL108" s="542"/>
      <c r="AM108" s="542"/>
      <c r="AN108" s="542"/>
      <c r="AO108" s="542"/>
      <c r="AP108" s="542">
        <f>IF(Table_NFI[[#This Row],[Winter Clothes Adult]]+Table_NFI[[#This Row],[Winter Clothes Children]]+Table_NFI[[#This Row],[Winter Items Other]]+Table_NFI[[#This Row],[Winter Blanket]]&gt;0,1,0)</f>
        <v>1</v>
      </c>
      <c r="AQ108" s="542"/>
      <c r="AR108" s="542"/>
      <c r="AS108" s="542"/>
      <c r="AT108" s="205" t="str">
        <f>IFERROR(VLOOKUP(Table_NFI[[#This Row],[Location]],CL,2,0),"")</f>
        <v>MMR015CMP248</v>
      </c>
      <c r="AU108" s="183"/>
      <c r="AV108" s="183"/>
      <c r="DP108" s="534"/>
    </row>
    <row r="109" spans="2:120" ht="18.75" customHeight="1" x14ac:dyDescent="0.25">
      <c r="B109" s="540">
        <v>43066</v>
      </c>
      <c r="C109" s="540" t="str">
        <f>MONTH(Table_NFI[[#This Row],[Distribution Date]]) &amp; "/" &amp; YEAR(Table_NFI[[#This Row],[Distribution Date]])</f>
        <v>11/2017</v>
      </c>
      <c r="D109" s="198" t="s">
        <v>1564</v>
      </c>
      <c r="E109" s="198" t="s">
        <v>1564</v>
      </c>
      <c r="F109" s="198" t="s">
        <v>506</v>
      </c>
      <c r="G109" s="198" t="s">
        <v>297</v>
      </c>
      <c r="H109" s="198" t="s">
        <v>759</v>
      </c>
      <c r="I109" s="183"/>
      <c r="J109" s="541"/>
      <c r="K109" s="541"/>
      <c r="L109" s="541"/>
      <c r="M109" s="541"/>
      <c r="N109" s="541"/>
      <c r="O109" s="541"/>
      <c r="P109" s="541"/>
      <c r="Q109" s="541"/>
      <c r="R109" s="541"/>
      <c r="S109" s="541"/>
      <c r="T109" s="541"/>
      <c r="U109" s="541"/>
      <c r="V109" s="541"/>
      <c r="W109" s="541">
        <v>46</v>
      </c>
      <c r="X109" s="541"/>
      <c r="Y109" s="541"/>
      <c r="Z109" s="541"/>
      <c r="AA109" s="541"/>
      <c r="AB109" s="541"/>
      <c r="AC109" s="542"/>
      <c r="AD109" s="542"/>
      <c r="AE109" s="542"/>
      <c r="AF109" s="542"/>
      <c r="AG109" s="542"/>
      <c r="AH109" s="542"/>
      <c r="AI109" s="542"/>
      <c r="AJ109" s="542"/>
      <c r="AK109" s="542"/>
      <c r="AL109" s="542"/>
      <c r="AM109" s="542"/>
      <c r="AN109" s="542"/>
      <c r="AO109" s="542"/>
      <c r="AP109" s="542">
        <f>IF(Table_NFI[[#This Row],[Winter Clothes Adult]]+Table_NFI[[#This Row],[Winter Clothes Children]]+Table_NFI[[#This Row],[Winter Items Other]]+Table_NFI[[#This Row],[Winter Blanket]]&gt;0,1,0)</f>
        <v>1</v>
      </c>
      <c r="AQ109" s="542"/>
      <c r="AR109" s="542"/>
      <c r="AS109" s="542"/>
      <c r="AT109" s="205" t="str">
        <f>IFERROR(VLOOKUP(Table_NFI[[#This Row],[Location]],CL,2,0),"")</f>
        <v>MMR015CMP014</v>
      </c>
      <c r="AU109" s="183"/>
      <c r="AV109" s="183"/>
      <c r="DP109" s="534"/>
    </row>
    <row r="110" spans="2:120" ht="18.75" customHeight="1" x14ac:dyDescent="0.25">
      <c r="B110" s="540">
        <v>43067</v>
      </c>
      <c r="C110" s="540" t="str">
        <f>MONTH(Table_NFI[[#This Row],[Distribution Date]]) &amp; "/" &amp; YEAR(Table_NFI[[#This Row],[Distribution Date]])</f>
        <v>11/2017</v>
      </c>
      <c r="D110" s="198" t="s">
        <v>420</v>
      </c>
      <c r="E110" s="198" t="s">
        <v>462</v>
      </c>
      <c r="F110" s="198" t="s">
        <v>378</v>
      </c>
      <c r="G110" s="197" t="s">
        <v>237</v>
      </c>
      <c r="H110" s="198" t="s">
        <v>1512</v>
      </c>
      <c r="I110" s="183"/>
      <c r="J110" s="541"/>
      <c r="K110" s="541"/>
      <c r="L110" s="541"/>
      <c r="M110" s="541"/>
      <c r="N110" s="541"/>
      <c r="O110" s="541"/>
      <c r="P110" s="541">
        <v>50</v>
      </c>
      <c r="Q110" s="541"/>
      <c r="R110" s="541"/>
      <c r="S110" s="541"/>
      <c r="T110" s="541"/>
      <c r="U110" s="541">
        <v>36</v>
      </c>
      <c r="V110" s="541">
        <v>13</v>
      </c>
      <c r="W110" s="541"/>
      <c r="X110" s="541"/>
      <c r="Y110" s="541"/>
      <c r="Z110" s="541"/>
      <c r="AA110" s="541"/>
      <c r="AB110" s="541"/>
      <c r="AC110" s="183"/>
      <c r="AD110" s="542"/>
      <c r="AE110" s="542"/>
      <c r="AF110" s="542"/>
      <c r="AG110" s="542"/>
      <c r="AH110" s="542"/>
      <c r="AI110" s="542"/>
      <c r="AJ110" s="542"/>
      <c r="AK110" s="542"/>
      <c r="AL110" s="542"/>
      <c r="AM110" s="542"/>
      <c r="AN110" s="542"/>
      <c r="AO110" s="542"/>
      <c r="AP110" s="542">
        <f>IF(Table_NFI[[#This Row],[Winter Clothes Adult]]+Table_NFI[[#This Row],[Winter Clothes Children]]+Table_NFI[[#This Row],[Winter Items Other]]+Table_NFI[[#This Row],[Winter Blanket]]&gt;0,1,0)</f>
        <v>1</v>
      </c>
      <c r="AQ110" s="542"/>
      <c r="AR110" s="542"/>
      <c r="AS110" s="542"/>
      <c r="AT110" s="205" t="str">
        <f>IFERROR(VLOOKUP(Table_NFI[[#This Row],[Location]],CL,2,0),"")</f>
        <v>MMR001CMP256</v>
      </c>
      <c r="AU110" s="183"/>
      <c r="AV110" s="183"/>
      <c r="DP110" s="534"/>
    </row>
    <row r="111" spans="2:120" ht="18.75" customHeight="1" x14ac:dyDescent="0.25">
      <c r="B111" s="540">
        <v>43068</v>
      </c>
      <c r="C111" s="540" t="str">
        <f>MONTH(Table_NFI[[#This Row],[Distribution Date]]) &amp; "/" &amp; YEAR(Table_NFI[[#This Row],[Distribution Date]])</f>
        <v>11/2017</v>
      </c>
      <c r="D111" s="198" t="s">
        <v>1564</v>
      </c>
      <c r="E111" s="198" t="s">
        <v>1564</v>
      </c>
      <c r="F111" s="198" t="s">
        <v>506</v>
      </c>
      <c r="G111" s="198" t="s">
        <v>230</v>
      </c>
      <c r="H111" s="198" t="s">
        <v>902</v>
      </c>
      <c r="I111" s="183"/>
      <c r="J111" s="541"/>
      <c r="K111" s="541"/>
      <c r="L111" s="541"/>
      <c r="M111" s="541"/>
      <c r="N111" s="541"/>
      <c r="O111" s="541"/>
      <c r="P111" s="541"/>
      <c r="Q111" s="541"/>
      <c r="R111" s="541"/>
      <c r="S111" s="541"/>
      <c r="T111" s="541"/>
      <c r="U111" s="541"/>
      <c r="V111" s="541"/>
      <c r="W111" s="541">
        <v>43</v>
      </c>
      <c r="X111" s="541"/>
      <c r="Y111" s="541"/>
      <c r="Z111" s="541"/>
      <c r="AA111" s="541"/>
      <c r="AB111" s="541"/>
      <c r="AC111" s="542"/>
      <c r="AD111" s="542"/>
      <c r="AE111" s="542"/>
      <c r="AF111" s="542"/>
      <c r="AG111" s="542"/>
      <c r="AH111" s="542"/>
      <c r="AI111" s="542"/>
      <c r="AJ111" s="542"/>
      <c r="AK111" s="542"/>
      <c r="AL111" s="542"/>
      <c r="AM111" s="542"/>
      <c r="AN111" s="542"/>
      <c r="AO111" s="542"/>
      <c r="AP111" s="542">
        <f>IF(Table_NFI[[#This Row],[Winter Clothes Adult]]+Table_NFI[[#This Row],[Winter Clothes Children]]+Table_NFI[[#This Row],[Winter Items Other]]+Table_NFI[[#This Row],[Winter Blanket]]&gt;0,1,0)</f>
        <v>1</v>
      </c>
      <c r="AQ111" s="542"/>
      <c r="AR111" s="542"/>
      <c r="AS111" s="542"/>
      <c r="AT111" s="205" t="str">
        <f>IFERROR(VLOOKUP(Table_NFI[[#This Row],[Location]],CL,2,0),"")</f>
        <v>MMR015CMP213</v>
      </c>
      <c r="AU111" s="183"/>
      <c r="AV111" s="183"/>
      <c r="DP111" s="534"/>
    </row>
    <row r="112" spans="2:120" ht="18.75" customHeight="1" x14ac:dyDescent="0.25">
      <c r="B112" s="540">
        <v>43068</v>
      </c>
      <c r="C112" s="540" t="str">
        <f>MONTH(Table_NFI[[#This Row],[Distribution Date]]) &amp; "/" &amp; YEAR(Table_NFI[[#This Row],[Distribution Date]])</f>
        <v>11/2017</v>
      </c>
      <c r="D112" s="198" t="s">
        <v>1564</v>
      </c>
      <c r="E112" s="198" t="s">
        <v>1564</v>
      </c>
      <c r="F112" s="198" t="s">
        <v>506</v>
      </c>
      <c r="G112" s="198" t="s">
        <v>230</v>
      </c>
      <c r="H112" s="198" t="s">
        <v>912</v>
      </c>
      <c r="I112" s="183"/>
      <c r="J112" s="541"/>
      <c r="K112" s="541"/>
      <c r="L112" s="541"/>
      <c r="M112" s="541"/>
      <c r="N112" s="541"/>
      <c r="O112" s="541"/>
      <c r="P112" s="541"/>
      <c r="Q112" s="541"/>
      <c r="R112" s="541"/>
      <c r="S112" s="541"/>
      <c r="T112" s="541"/>
      <c r="U112" s="541"/>
      <c r="V112" s="541"/>
      <c r="W112" s="541">
        <v>22</v>
      </c>
      <c r="X112" s="541"/>
      <c r="Y112" s="541"/>
      <c r="Z112" s="541"/>
      <c r="AA112" s="541"/>
      <c r="AB112" s="541"/>
      <c r="AC112" s="542"/>
      <c r="AD112" s="542"/>
      <c r="AE112" s="542"/>
      <c r="AF112" s="542"/>
      <c r="AG112" s="542"/>
      <c r="AH112" s="542"/>
      <c r="AI112" s="542"/>
      <c r="AJ112" s="542"/>
      <c r="AK112" s="542"/>
      <c r="AL112" s="542"/>
      <c r="AM112" s="542"/>
      <c r="AN112" s="542"/>
      <c r="AO112" s="542"/>
      <c r="AP112" s="542">
        <f>IF(Table_NFI[[#This Row],[Winter Clothes Adult]]+Table_NFI[[#This Row],[Winter Clothes Children]]+Table_NFI[[#This Row],[Winter Items Other]]+Table_NFI[[#This Row],[Winter Blanket]]&gt;0,1,0)</f>
        <v>1</v>
      </c>
      <c r="AQ112" s="542"/>
      <c r="AR112" s="542"/>
      <c r="AS112" s="542"/>
      <c r="AT112" s="205" t="str">
        <f>IFERROR(VLOOKUP(Table_NFI[[#This Row],[Location]],CL,2,0),"")</f>
        <v>MMR015CMP216</v>
      </c>
      <c r="AU112" s="183"/>
      <c r="AV112" s="183"/>
      <c r="DP112" s="534"/>
    </row>
    <row r="113" spans="2:120" ht="18.75" customHeight="1" x14ac:dyDescent="0.25">
      <c r="B113" s="540">
        <v>43075</v>
      </c>
      <c r="C113" s="540" t="str">
        <f>MONTH(Table_NFI[[#This Row],[Distribution Date]]) &amp; "/" &amp; YEAR(Table_NFI[[#This Row],[Distribution Date]])</f>
        <v>12/2017</v>
      </c>
      <c r="D113" s="198" t="s">
        <v>825</v>
      </c>
      <c r="E113" s="198"/>
      <c r="F113" s="198" t="s">
        <v>378</v>
      </c>
      <c r="G113" s="197" t="s">
        <v>185</v>
      </c>
      <c r="H113" s="198" t="s">
        <v>186</v>
      </c>
      <c r="I113" s="183"/>
      <c r="J113" s="541"/>
      <c r="K113" s="541"/>
      <c r="L113" s="541"/>
      <c r="M113" s="541"/>
      <c r="N113" s="541"/>
      <c r="O113" s="541"/>
      <c r="P113" s="541"/>
      <c r="Q113" s="541"/>
      <c r="R113" s="541"/>
      <c r="S113" s="541"/>
      <c r="T113" s="541"/>
      <c r="U113" s="541"/>
      <c r="V113" s="541"/>
      <c r="W113" s="541"/>
      <c r="X113" s="541">
        <v>93</v>
      </c>
      <c r="Y113" s="541"/>
      <c r="Z113" s="541"/>
      <c r="AA113" s="541"/>
      <c r="AB113" s="541"/>
      <c r="AC113" s="542"/>
      <c r="AD113" s="542"/>
      <c r="AE113" s="542"/>
      <c r="AF113" s="542"/>
      <c r="AG113" s="542"/>
      <c r="AH113" s="542"/>
      <c r="AI113" s="542"/>
      <c r="AJ113" s="542"/>
      <c r="AK113" s="542"/>
      <c r="AL113" s="542"/>
      <c r="AM113" s="542"/>
      <c r="AN113" s="542"/>
      <c r="AO113" s="542"/>
      <c r="AP113" s="542">
        <f>IF(Table_NFI[[#This Row],[Winter Clothes Adult]]+Table_NFI[[#This Row],[Winter Clothes Children]]+Table_NFI[[#This Row],[Winter Items Other]]+Table_NFI[[#This Row],[Winter Blanket]]&gt;0,1,0)</f>
        <v>1</v>
      </c>
      <c r="AQ113" s="542"/>
      <c r="AR113" s="542"/>
      <c r="AS113" s="542"/>
      <c r="AT113" s="205" t="str">
        <f>IFERROR(VLOOKUP(Table_NFI[[#This Row],[Location]],CL,2,0),"")</f>
        <v>MMR001CMP071</v>
      </c>
      <c r="AU113" s="183"/>
      <c r="AV113" s="183"/>
      <c r="DP113" s="534"/>
    </row>
    <row r="114" spans="2:120" ht="18.75" customHeight="1" x14ac:dyDescent="0.25">
      <c r="B114" s="540">
        <v>43075</v>
      </c>
      <c r="C114" s="540" t="str">
        <f>MONTH(Table_NFI[[#This Row],[Distribution Date]]) &amp; "/" &amp; YEAR(Table_NFI[[#This Row],[Distribution Date]])</f>
        <v>12/2017</v>
      </c>
      <c r="D114" s="198" t="s">
        <v>825</v>
      </c>
      <c r="E114" s="198"/>
      <c r="F114" s="198" t="s">
        <v>378</v>
      </c>
      <c r="G114" s="197" t="s">
        <v>185</v>
      </c>
      <c r="H114" s="198" t="s">
        <v>223</v>
      </c>
      <c r="I114" s="183"/>
      <c r="J114" s="541"/>
      <c r="K114" s="541"/>
      <c r="L114" s="541"/>
      <c r="M114" s="541"/>
      <c r="N114" s="541"/>
      <c r="O114" s="541"/>
      <c r="P114" s="541"/>
      <c r="Q114" s="541"/>
      <c r="R114" s="541"/>
      <c r="S114" s="541"/>
      <c r="T114" s="541"/>
      <c r="U114" s="541"/>
      <c r="V114" s="541"/>
      <c r="W114" s="541"/>
      <c r="X114" s="541">
        <v>143</v>
      </c>
      <c r="Y114" s="541"/>
      <c r="Z114" s="541"/>
      <c r="AA114" s="541"/>
      <c r="AB114" s="541"/>
      <c r="AC114" s="542"/>
      <c r="AD114" s="542"/>
      <c r="AE114" s="542"/>
      <c r="AF114" s="542"/>
      <c r="AG114" s="542"/>
      <c r="AH114" s="542"/>
      <c r="AI114" s="542"/>
      <c r="AJ114" s="542"/>
      <c r="AK114" s="542"/>
      <c r="AL114" s="542"/>
      <c r="AM114" s="542"/>
      <c r="AN114" s="542"/>
      <c r="AO114" s="542"/>
      <c r="AP114" s="542">
        <f>IF(Table_NFI[[#This Row],[Winter Clothes Adult]]+Table_NFI[[#This Row],[Winter Clothes Children]]+Table_NFI[[#This Row],[Winter Items Other]]+Table_NFI[[#This Row],[Winter Blanket]]&gt;0,1,0)</f>
        <v>1</v>
      </c>
      <c r="AQ114" s="542"/>
      <c r="AR114" s="542"/>
      <c r="AS114" s="542"/>
      <c r="AT114" s="205" t="str">
        <f>IFERROR(VLOOKUP(Table_NFI[[#This Row],[Location]],CL,2,0),"")</f>
        <v>MMR001CMP069</v>
      </c>
      <c r="AU114" s="183"/>
      <c r="AV114" s="183"/>
      <c r="DP114" s="534"/>
    </row>
    <row r="115" spans="2:120" ht="18.75" customHeight="1" x14ac:dyDescent="0.25">
      <c r="B115" s="540">
        <v>43075</v>
      </c>
      <c r="C115" s="540" t="str">
        <f>MONTH(Table_NFI[[#This Row],[Distribution Date]]) &amp; "/" &amp; YEAR(Table_NFI[[#This Row],[Distribution Date]])</f>
        <v>12/2017</v>
      </c>
      <c r="D115" s="198" t="s">
        <v>825</v>
      </c>
      <c r="E115" s="198"/>
      <c r="F115" s="198" t="s">
        <v>378</v>
      </c>
      <c r="G115" s="197" t="s">
        <v>185</v>
      </c>
      <c r="H115" s="198" t="s">
        <v>190</v>
      </c>
      <c r="I115" s="183"/>
      <c r="J115" s="541"/>
      <c r="K115" s="541"/>
      <c r="L115" s="541"/>
      <c r="M115" s="541"/>
      <c r="N115" s="541"/>
      <c r="O115" s="541"/>
      <c r="P115" s="541"/>
      <c r="Q115" s="541"/>
      <c r="R115" s="541"/>
      <c r="S115" s="541"/>
      <c r="T115" s="541"/>
      <c r="U115" s="541"/>
      <c r="V115" s="541"/>
      <c r="W115" s="541"/>
      <c r="X115" s="541">
        <v>474</v>
      </c>
      <c r="Y115" s="541"/>
      <c r="Z115" s="541"/>
      <c r="AA115" s="541"/>
      <c r="AB115" s="541"/>
      <c r="AC115" s="542"/>
      <c r="AD115" s="542"/>
      <c r="AE115" s="542"/>
      <c r="AF115" s="542"/>
      <c r="AG115" s="542"/>
      <c r="AH115" s="542"/>
      <c r="AI115" s="542"/>
      <c r="AJ115" s="542"/>
      <c r="AK115" s="542"/>
      <c r="AL115" s="542"/>
      <c r="AM115" s="542"/>
      <c r="AN115" s="542"/>
      <c r="AO115" s="542"/>
      <c r="AP115" s="542">
        <f>IF(Table_NFI[[#This Row],[Winter Clothes Adult]]+Table_NFI[[#This Row],[Winter Clothes Children]]+Table_NFI[[#This Row],[Winter Items Other]]+Table_NFI[[#This Row],[Winter Blanket]]&gt;0,1,0)</f>
        <v>1</v>
      </c>
      <c r="AQ115" s="542"/>
      <c r="AR115" s="542"/>
      <c r="AS115" s="542"/>
      <c r="AT115" s="205" t="str">
        <f>IFERROR(VLOOKUP(Table_NFI[[#This Row],[Location]],CL,2,0),"")</f>
        <v>MMR001CMP070</v>
      </c>
      <c r="AU115" s="183"/>
    </row>
    <row r="116" spans="2:120" ht="18.75" customHeight="1" x14ac:dyDescent="0.25">
      <c r="B116" s="540">
        <v>43075</v>
      </c>
      <c r="C116" s="540" t="str">
        <f>MONTH(Table_NFI[[#This Row],[Distribution Date]]) &amp; "/" &amp; YEAR(Table_NFI[[#This Row],[Distribution Date]])</f>
        <v>12/2017</v>
      </c>
      <c r="D116" s="198" t="s">
        <v>825</v>
      </c>
      <c r="E116" s="198"/>
      <c r="F116" s="198" t="s">
        <v>378</v>
      </c>
      <c r="G116" s="197" t="s">
        <v>185</v>
      </c>
      <c r="H116" s="198" t="s">
        <v>229</v>
      </c>
      <c r="I116" s="183"/>
      <c r="J116" s="541"/>
      <c r="K116" s="541"/>
      <c r="L116" s="541"/>
      <c r="M116" s="541"/>
      <c r="N116" s="541"/>
      <c r="O116" s="541"/>
      <c r="P116" s="541"/>
      <c r="Q116" s="541"/>
      <c r="R116" s="541"/>
      <c r="S116" s="541"/>
      <c r="T116" s="541"/>
      <c r="U116" s="541"/>
      <c r="V116" s="541"/>
      <c r="W116" s="541"/>
      <c r="X116" s="541">
        <v>122</v>
      </c>
      <c r="Y116" s="541"/>
      <c r="Z116" s="541"/>
      <c r="AA116" s="541"/>
      <c r="AB116" s="541"/>
      <c r="AC116" s="542"/>
      <c r="AD116" s="542"/>
      <c r="AE116" s="542"/>
      <c r="AF116" s="542"/>
      <c r="AG116" s="542"/>
      <c r="AH116" s="542"/>
      <c r="AI116" s="542"/>
      <c r="AJ116" s="542"/>
      <c r="AK116" s="542"/>
      <c r="AL116" s="542"/>
      <c r="AM116" s="542"/>
      <c r="AN116" s="542"/>
      <c r="AO116" s="542"/>
      <c r="AP116" s="542">
        <f>IF(Table_NFI[[#This Row],[Winter Clothes Adult]]+Table_NFI[[#This Row],[Winter Clothes Children]]+Table_NFI[[#This Row],[Winter Items Other]]+Table_NFI[[#This Row],[Winter Blanket]]&gt;0,1,0)</f>
        <v>1</v>
      </c>
      <c r="AQ116" s="542"/>
      <c r="AR116" s="542"/>
      <c r="AS116" s="542"/>
      <c r="AT116" s="205" t="str">
        <f>IFERROR(VLOOKUP(Table_NFI[[#This Row],[Location]],CL,2,0),"")</f>
        <v>MMR001CMP072</v>
      </c>
      <c r="AU116" s="183"/>
    </row>
    <row r="117" spans="2:120" ht="18.75" customHeight="1" x14ac:dyDescent="0.25">
      <c r="B117" s="540">
        <v>43075</v>
      </c>
      <c r="C117" s="540" t="str">
        <f>MONTH(Table_NFI[[#This Row],[Distribution Date]]) &amp; "/" &amp; YEAR(Table_NFI[[#This Row],[Distribution Date]])</f>
        <v>12/2017</v>
      </c>
      <c r="D117" s="198" t="s">
        <v>825</v>
      </c>
      <c r="E117" s="198"/>
      <c r="F117" s="198" t="s">
        <v>378</v>
      </c>
      <c r="G117" s="197" t="s">
        <v>185</v>
      </c>
      <c r="H117" s="198" t="s">
        <v>225</v>
      </c>
      <c r="I117" s="183"/>
      <c r="J117" s="541"/>
      <c r="K117" s="541"/>
      <c r="L117" s="541"/>
      <c r="M117" s="541"/>
      <c r="N117" s="541"/>
      <c r="O117" s="541"/>
      <c r="P117" s="541"/>
      <c r="Q117" s="541"/>
      <c r="R117" s="541"/>
      <c r="S117" s="541"/>
      <c r="T117" s="541"/>
      <c r="U117" s="541"/>
      <c r="V117" s="541"/>
      <c r="W117" s="541"/>
      <c r="X117" s="541">
        <v>101</v>
      </c>
      <c r="Y117" s="541"/>
      <c r="Z117" s="541"/>
      <c r="AA117" s="541"/>
      <c r="AB117" s="541"/>
      <c r="AC117" s="542"/>
      <c r="AD117" s="542"/>
      <c r="AE117" s="542"/>
      <c r="AF117" s="542"/>
      <c r="AG117" s="542"/>
      <c r="AH117" s="542"/>
      <c r="AI117" s="542"/>
      <c r="AJ117" s="542"/>
      <c r="AK117" s="542"/>
      <c r="AL117" s="542"/>
      <c r="AM117" s="542"/>
      <c r="AN117" s="542"/>
      <c r="AO117" s="542"/>
      <c r="AP117" s="542">
        <f>IF(Table_NFI[[#This Row],[Winter Clothes Adult]]+Table_NFI[[#This Row],[Winter Clothes Children]]+Table_NFI[[#This Row],[Winter Items Other]]+Table_NFI[[#This Row],[Winter Blanket]]&gt;0,1,0)</f>
        <v>1</v>
      </c>
      <c r="AQ117" s="542"/>
      <c r="AR117" s="542"/>
      <c r="AS117" s="542"/>
      <c r="AT117" s="205" t="str">
        <f>IFERROR(VLOOKUP(Table_NFI[[#This Row],[Location]],CL,2,0),"")</f>
        <v>MMR001CMP073</v>
      </c>
      <c r="AU117" s="183"/>
    </row>
    <row r="118" spans="2:120" ht="18.75" customHeight="1" x14ac:dyDescent="0.25">
      <c r="B118" s="540">
        <v>43078</v>
      </c>
      <c r="C118" s="540" t="str">
        <f>MONTH(Table_NFI[[#This Row],[Distribution Date]]) &amp; "/" &amp; YEAR(Table_NFI[[#This Row],[Distribution Date]])</f>
        <v>12/2017</v>
      </c>
      <c r="D118" s="198" t="s">
        <v>1564</v>
      </c>
      <c r="E118" s="198" t="s">
        <v>1564</v>
      </c>
      <c r="F118" s="198" t="s">
        <v>506</v>
      </c>
      <c r="G118" s="198" t="s">
        <v>297</v>
      </c>
      <c r="H118" s="198" t="s">
        <v>1565</v>
      </c>
      <c r="I118" s="183"/>
      <c r="J118" s="541"/>
      <c r="K118" s="541"/>
      <c r="L118" s="541">
        <v>15</v>
      </c>
      <c r="M118" s="541"/>
      <c r="N118" s="541"/>
      <c r="O118" s="541"/>
      <c r="P118" s="541"/>
      <c r="Q118" s="541"/>
      <c r="R118" s="541"/>
      <c r="S118" s="541"/>
      <c r="T118" s="541"/>
      <c r="U118" s="541"/>
      <c r="V118" s="541"/>
      <c r="W118" s="541">
        <v>15</v>
      </c>
      <c r="X118" s="541"/>
      <c r="Y118" s="541"/>
      <c r="Z118" s="541"/>
      <c r="AA118" s="541"/>
      <c r="AB118" s="541"/>
      <c r="AC118" s="542"/>
      <c r="AD118" s="542"/>
      <c r="AE118" s="542"/>
      <c r="AF118" s="542"/>
      <c r="AG118" s="542"/>
      <c r="AH118" s="542"/>
      <c r="AI118" s="542"/>
      <c r="AJ118" s="542"/>
      <c r="AK118" s="542"/>
      <c r="AL118" s="542"/>
      <c r="AM118" s="542"/>
      <c r="AN118" s="542"/>
      <c r="AO118" s="542"/>
      <c r="AP118" s="542">
        <f>IF(Table_NFI[[#This Row],[Winter Clothes Adult]]+Table_NFI[[#This Row],[Winter Clothes Children]]+Table_NFI[[#This Row],[Winter Items Other]]+Table_NFI[[#This Row],[Winter Blanket]]&gt;0,1,0)</f>
        <v>1</v>
      </c>
      <c r="AQ118" s="542"/>
      <c r="AR118" s="542"/>
      <c r="AS118" s="542"/>
      <c r="AT118" s="205" t="str">
        <f>IFERROR(VLOOKUP(Table_NFI[[#This Row],[Location]],CL,2,0),"")</f>
        <v/>
      </c>
      <c r="AU118" s="183"/>
    </row>
    <row r="119" spans="2:120" ht="18.75" customHeight="1" x14ac:dyDescent="0.25">
      <c r="B119" s="552">
        <v>43090</v>
      </c>
      <c r="C119" s="552" t="str">
        <f>MONTH(Table_NFI[[#This Row],[Distribution Date]]) &amp; "/" &amp; YEAR(Table_NFI[[#This Row],[Distribution Date]])</f>
        <v>12/2017</v>
      </c>
      <c r="D119" s="198" t="s">
        <v>1579</v>
      </c>
      <c r="E119" s="198" t="s">
        <v>1580</v>
      </c>
      <c r="F119" s="198" t="s">
        <v>506</v>
      </c>
      <c r="G119" s="198" t="s">
        <v>288</v>
      </c>
      <c r="H119" s="198" t="s">
        <v>916</v>
      </c>
      <c r="I119" s="183"/>
      <c r="J119" s="541"/>
      <c r="K119" s="541">
        <v>10</v>
      </c>
      <c r="L119" s="541"/>
      <c r="M119" s="541"/>
      <c r="N119" s="541"/>
      <c r="O119" s="541"/>
      <c r="P119" s="541"/>
      <c r="Q119" s="541"/>
      <c r="R119" s="541"/>
      <c r="S119" s="541"/>
      <c r="T119" s="541"/>
      <c r="U119" s="541"/>
      <c r="V119" s="541"/>
      <c r="W119" s="541"/>
      <c r="X119" s="541"/>
      <c r="Y119" s="541"/>
      <c r="Z119" s="541"/>
      <c r="AA119" s="541"/>
      <c r="AB119" s="541"/>
      <c r="AC119" s="542"/>
      <c r="AD119" s="542"/>
      <c r="AE119" s="542"/>
      <c r="AF119" s="542"/>
      <c r="AG119" s="542"/>
      <c r="AH119" s="542"/>
      <c r="AI119" s="542"/>
      <c r="AJ119" s="542"/>
      <c r="AK119" s="542"/>
      <c r="AL119" s="542"/>
      <c r="AM119" s="542"/>
      <c r="AN119" s="542"/>
      <c r="AO119" s="542"/>
      <c r="AP119" s="542">
        <f>IF(Table_NFI[[#This Row],[Winter Clothes Adult]]+Table_NFI[[#This Row],[Winter Clothes Children]]+Table_NFI[[#This Row],[Winter Items Other]]+Table_NFI[[#This Row],[Winter Blanket]]&gt;0,1,0)</f>
        <v>0</v>
      </c>
      <c r="AQ119" s="542"/>
      <c r="AR119" s="542"/>
      <c r="AS119" s="542"/>
      <c r="AT119" s="205" t="str">
        <f>IFERROR(VLOOKUP(Table_NFI[[#This Row],[Location]],CL,2,0),"")</f>
        <v>MMR015CMP215</v>
      </c>
      <c r="AU119" s="183"/>
    </row>
    <row r="120" spans="2:120" ht="18.75" customHeight="1" x14ac:dyDescent="0.25">
      <c r="B120" s="552">
        <v>43095</v>
      </c>
      <c r="C120" s="552" t="str">
        <f>MONTH(Table_NFI[[#This Row],[Distribution Date]]) &amp; "/" &amp; YEAR(Table_NFI[[#This Row],[Distribution Date]])</f>
        <v>12/2017</v>
      </c>
      <c r="D120" s="198" t="s">
        <v>1579</v>
      </c>
      <c r="E120" s="198" t="s">
        <v>1580</v>
      </c>
      <c r="F120" s="198" t="s">
        <v>506</v>
      </c>
      <c r="G120" s="198" t="s">
        <v>288</v>
      </c>
      <c r="H120" s="198" t="s">
        <v>916</v>
      </c>
      <c r="I120" s="183"/>
      <c r="J120" s="541"/>
      <c r="K120" s="541">
        <v>8</v>
      </c>
      <c r="L120" s="541"/>
      <c r="M120" s="541"/>
      <c r="N120" s="541"/>
      <c r="O120" s="541"/>
      <c r="P120" s="541"/>
      <c r="Q120" s="541"/>
      <c r="R120" s="541"/>
      <c r="S120" s="541"/>
      <c r="T120" s="541"/>
      <c r="U120" s="541"/>
      <c r="V120" s="541"/>
      <c r="W120" s="541"/>
      <c r="X120" s="541"/>
      <c r="Y120" s="541"/>
      <c r="Z120" s="541"/>
      <c r="AA120" s="541"/>
      <c r="AB120" s="541"/>
      <c r="AC120" s="542"/>
      <c r="AD120" s="542"/>
      <c r="AE120" s="542"/>
      <c r="AF120" s="542"/>
      <c r="AG120" s="542"/>
      <c r="AH120" s="542"/>
      <c r="AI120" s="542"/>
      <c r="AJ120" s="542"/>
      <c r="AK120" s="542"/>
      <c r="AL120" s="542"/>
      <c r="AM120" s="542"/>
      <c r="AN120" s="542"/>
      <c r="AO120" s="542"/>
      <c r="AP120" s="542">
        <f>IF(Table_NFI[[#This Row],[Winter Clothes Adult]]+Table_NFI[[#This Row],[Winter Clothes Children]]+Table_NFI[[#This Row],[Winter Items Other]]+Table_NFI[[#This Row],[Winter Blanket]]&gt;0,1,0)</f>
        <v>0</v>
      </c>
      <c r="AQ120" s="542"/>
      <c r="AR120" s="542"/>
      <c r="AS120" s="542"/>
      <c r="AT120" s="205" t="str">
        <f>IFERROR(VLOOKUP(Table_NFI[[#This Row],[Location]],CL,2,0),"")</f>
        <v>MMR015CMP215</v>
      </c>
      <c r="AU120" s="183"/>
    </row>
    <row r="121" spans="2:120" ht="18.75" customHeight="1" x14ac:dyDescent="0.25">
      <c r="B121" s="552">
        <v>43096</v>
      </c>
      <c r="C121" s="552" t="str">
        <f>MONTH(Table_NFI[[#This Row],[Distribution Date]]) &amp; "/" &amp; YEAR(Table_NFI[[#This Row],[Distribution Date]])</f>
        <v>12/2017</v>
      </c>
      <c r="D121" s="198" t="s">
        <v>825</v>
      </c>
      <c r="E121" s="198"/>
      <c r="F121" s="198" t="s">
        <v>378</v>
      </c>
      <c r="G121" s="197" t="s">
        <v>5</v>
      </c>
      <c r="H121" s="198" t="s">
        <v>6</v>
      </c>
      <c r="I121" s="183"/>
      <c r="J121" s="541"/>
      <c r="K121" s="541"/>
      <c r="L121" s="541"/>
      <c r="M121" s="541"/>
      <c r="N121" s="541"/>
      <c r="O121" s="541"/>
      <c r="P121" s="541"/>
      <c r="Q121" s="541"/>
      <c r="R121" s="541"/>
      <c r="S121" s="541"/>
      <c r="T121" s="541"/>
      <c r="U121" s="541"/>
      <c r="V121" s="541"/>
      <c r="W121" s="541"/>
      <c r="X121" s="541">
        <v>257</v>
      </c>
      <c r="Y121" s="541"/>
      <c r="Z121" s="541"/>
      <c r="AA121" s="541"/>
      <c r="AB121" s="541"/>
      <c r="AC121" s="542"/>
      <c r="AD121" s="542"/>
      <c r="AE121" s="542"/>
      <c r="AF121" s="542"/>
      <c r="AG121" s="542"/>
      <c r="AH121" s="542"/>
      <c r="AI121" s="542"/>
      <c r="AJ121" s="542"/>
      <c r="AK121" s="542"/>
      <c r="AL121" s="542"/>
      <c r="AM121" s="542"/>
      <c r="AN121" s="542"/>
      <c r="AO121" s="542"/>
      <c r="AP121" s="542">
        <f>IF(Table_NFI[[#This Row],[Winter Clothes Adult]]+Table_NFI[[#This Row],[Winter Clothes Children]]+Table_NFI[[#This Row],[Winter Items Other]]+Table_NFI[[#This Row],[Winter Blanket]]&gt;0,1,0)</f>
        <v>1</v>
      </c>
      <c r="AQ121" s="542"/>
      <c r="AR121" s="542"/>
      <c r="AS121" s="542"/>
      <c r="AT121" s="205" t="str">
        <f>IFERROR(VLOOKUP(Table_NFI[[#This Row],[Location]],CL,2,0),"")</f>
        <v>MMR001CMP050</v>
      </c>
      <c r="AU121" s="183"/>
    </row>
    <row r="122" spans="2:120" ht="18.75" customHeight="1" x14ac:dyDescent="0.25">
      <c r="B122" s="552">
        <v>43096</v>
      </c>
      <c r="C122" s="552" t="str">
        <f>MONTH(Table_NFI[[#This Row],[Distribution Date]]) &amp; "/" &amp; YEAR(Table_NFI[[#This Row],[Distribution Date]])</f>
        <v>12/2017</v>
      </c>
      <c r="D122" s="198" t="s">
        <v>825</v>
      </c>
      <c r="E122" s="198"/>
      <c r="F122" s="198" t="s">
        <v>378</v>
      </c>
      <c r="G122" s="197" t="s">
        <v>5</v>
      </c>
      <c r="H122" s="198" t="s">
        <v>18</v>
      </c>
      <c r="I122" s="183"/>
      <c r="J122" s="541"/>
      <c r="K122" s="541"/>
      <c r="L122" s="541"/>
      <c r="M122" s="541"/>
      <c r="N122" s="541"/>
      <c r="O122" s="541"/>
      <c r="P122" s="541"/>
      <c r="Q122" s="541"/>
      <c r="R122" s="541"/>
      <c r="S122" s="541"/>
      <c r="T122" s="541"/>
      <c r="U122" s="541"/>
      <c r="V122" s="541"/>
      <c r="W122" s="541"/>
      <c r="X122" s="541">
        <v>130</v>
      </c>
      <c r="Y122" s="541"/>
      <c r="Z122" s="541"/>
      <c r="AA122" s="541"/>
      <c r="AB122" s="541"/>
      <c r="AC122" s="542"/>
      <c r="AD122" s="542"/>
      <c r="AE122" s="542"/>
      <c r="AF122" s="542"/>
      <c r="AG122" s="542"/>
      <c r="AH122" s="542"/>
      <c r="AI122" s="542"/>
      <c r="AJ122" s="542"/>
      <c r="AK122" s="542"/>
      <c r="AL122" s="542"/>
      <c r="AM122" s="542"/>
      <c r="AN122" s="542"/>
      <c r="AO122" s="542"/>
      <c r="AP122" s="542">
        <f>IF(Table_NFI[[#This Row],[Winter Clothes Adult]]+Table_NFI[[#This Row],[Winter Clothes Children]]+Table_NFI[[#This Row],[Winter Items Other]]+Table_NFI[[#This Row],[Winter Blanket]]&gt;0,1,0)</f>
        <v>1</v>
      </c>
      <c r="AQ122" s="542"/>
      <c r="AR122" s="542"/>
      <c r="AS122" s="542"/>
      <c r="AT122" s="205" t="str">
        <f>IFERROR(VLOOKUP(Table_NFI[[#This Row],[Location]],CL,2,0),"")</f>
        <v>MMR001CMP049</v>
      </c>
      <c r="AU122" s="183"/>
    </row>
    <row r="123" spans="2:120" ht="18.75" customHeight="1" x14ac:dyDescent="0.25">
      <c r="B123" s="552">
        <v>43096</v>
      </c>
      <c r="C123" s="552" t="str">
        <f>MONTH(Table_NFI[[#This Row],[Distribution Date]]) &amp; "/" &amp; YEAR(Table_NFI[[#This Row],[Distribution Date]])</f>
        <v>12/2017</v>
      </c>
      <c r="D123" s="198" t="s">
        <v>825</v>
      </c>
      <c r="E123" s="198"/>
      <c r="F123" s="198" t="s">
        <v>378</v>
      </c>
      <c r="G123" s="197" t="s">
        <v>5</v>
      </c>
      <c r="H123" s="198" t="s">
        <v>20</v>
      </c>
      <c r="I123" s="183"/>
      <c r="J123" s="541"/>
      <c r="K123" s="541"/>
      <c r="L123" s="541"/>
      <c r="M123" s="541"/>
      <c r="N123" s="541"/>
      <c r="O123" s="541"/>
      <c r="P123" s="541"/>
      <c r="Q123" s="541"/>
      <c r="R123" s="541"/>
      <c r="S123" s="541"/>
      <c r="T123" s="541"/>
      <c r="U123" s="541"/>
      <c r="V123" s="541"/>
      <c r="W123" s="541"/>
      <c r="X123" s="541">
        <v>21</v>
      </c>
      <c r="Y123" s="541"/>
      <c r="Z123" s="541"/>
      <c r="AA123" s="541"/>
      <c r="AB123" s="541"/>
      <c r="AC123" s="542"/>
      <c r="AD123" s="542"/>
      <c r="AE123" s="542"/>
      <c r="AF123" s="542"/>
      <c r="AG123" s="542"/>
      <c r="AH123" s="542"/>
      <c r="AI123" s="542"/>
      <c r="AJ123" s="542"/>
      <c r="AK123" s="542"/>
      <c r="AL123" s="542"/>
      <c r="AM123" s="542"/>
      <c r="AN123" s="542"/>
      <c r="AO123" s="542"/>
      <c r="AP123" s="542">
        <f>IF(Table_NFI[[#This Row],[Winter Clothes Adult]]+Table_NFI[[#This Row],[Winter Clothes Children]]+Table_NFI[[#This Row],[Winter Items Other]]+Table_NFI[[#This Row],[Winter Blanket]]&gt;0,1,0)</f>
        <v>1</v>
      </c>
      <c r="AQ123" s="542"/>
      <c r="AR123" s="542"/>
      <c r="AS123" s="542"/>
      <c r="AT123" s="205" t="str">
        <f>IFERROR(VLOOKUP(Table_NFI[[#This Row],[Location]],CL,2,0),"")</f>
        <v>MMR001CMP054</v>
      </c>
      <c r="AU123" s="183"/>
    </row>
    <row r="124" spans="2:120" ht="18.75" customHeight="1" x14ac:dyDescent="0.25">
      <c r="B124" s="552">
        <v>43096</v>
      </c>
      <c r="C124" s="552" t="str">
        <f>MONTH(Table_NFI[[#This Row],[Distribution Date]]) &amp; "/" &amp; YEAR(Table_NFI[[#This Row],[Distribution Date]])</f>
        <v>12/2017</v>
      </c>
      <c r="D124" s="198" t="s">
        <v>825</v>
      </c>
      <c r="E124" s="198"/>
      <c r="F124" s="198" t="s">
        <v>378</v>
      </c>
      <c r="G124" s="197" t="s">
        <v>5</v>
      </c>
      <c r="H124" s="198" t="s">
        <v>364</v>
      </c>
      <c r="I124" s="183"/>
      <c r="J124" s="541"/>
      <c r="K124" s="541"/>
      <c r="L124" s="541"/>
      <c r="M124" s="541"/>
      <c r="N124" s="541"/>
      <c r="O124" s="541"/>
      <c r="P124" s="541"/>
      <c r="Q124" s="541"/>
      <c r="R124" s="541"/>
      <c r="S124" s="541"/>
      <c r="T124" s="541"/>
      <c r="U124" s="541"/>
      <c r="V124" s="541"/>
      <c r="W124" s="541"/>
      <c r="X124" s="541">
        <v>144</v>
      </c>
      <c r="Y124" s="541"/>
      <c r="Z124" s="541"/>
      <c r="AA124" s="541"/>
      <c r="AB124" s="541"/>
      <c r="AC124" s="542"/>
      <c r="AD124" s="542"/>
      <c r="AE124" s="542"/>
      <c r="AF124" s="542"/>
      <c r="AG124" s="542"/>
      <c r="AH124" s="542"/>
      <c r="AI124" s="542"/>
      <c r="AJ124" s="542"/>
      <c r="AK124" s="542"/>
      <c r="AL124" s="542"/>
      <c r="AM124" s="542"/>
      <c r="AN124" s="542"/>
      <c r="AO124" s="542"/>
      <c r="AP124" s="542">
        <f>IF(Table_NFI[[#This Row],[Winter Clothes Adult]]+Table_NFI[[#This Row],[Winter Clothes Children]]+Table_NFI[[#This Row],[Winter Items Other]]+Table_NFI[[#This Row],[Winter Blanket]]&gt;0,1,0)</f>
        <v>1</v>
      </c>
      <c r="AQ124" s="542"/>
      <c r="AR124" s="542"/>
      <c r="AS124" s="542"/>
      <c r="AT124" s="205" t="str">
        <f>IFERROR(VLOOKUP(Table_NFI[[#This Row],[Location]],CL,2,0),"")</f>
        <v>MMR001CMP193</v>
      </c>
      <c r="AU124" s="183"/>
    </row>
    <row r="125" spans="2:120" ht="18.75" customHeight="1" x14ac:dyDescent="0.25">
      <c r="B125" s="552">
        <v>43096</v>
      </c>
      <c r="C125" s="552" t="str">
        <f>MONTH(Table_NFI[[#This Row],[Distribution Date]]) &amp; "/" &amp; YEAR(Table_NFI[[#This Row],[Distribution Date]])</f>
        <v>12/2017</v>
      </c>
      <c r="D125" s="198" t="s">
        <v>825</v>
      </c>
      <c r="E125" s="198"/>
      <c r="F125" s="198" t="s">
        <v>378</v>
      </c>
      <c r="G125" s="197" t="s">
        <v>5</v>
      </c>
      <c r="H125" s="198" t="s">
        <v>24</v>
      </c>
      <c r="I125" s="183"/>
      <c r="J125" s="541"/>
      <c r="K125" s="541"/>
      <c r="L125" s="541"/>
      <c r="M125" s="541"/>
      <c r="N125" s="541"/>
      <c r="O125" s="541"/>
      <c r="P125" s="541"/>
      <c r="Q125" s="541"/>
      <c r="R125" s="541"/>
      <c r="S125" s="541"/>
      <c r="T125" s="541"/>
      <c r="U125" s="541"/>
      <c r="V125" s="541"/>
      <c r="W125" s="541"/>
      <c r="X125" s="541">
        <v>20</v>
      </c>
      <c r="Y125" s="541"/>
      <c r="Z125" s="541"/>
      <c r="AA125" s="541"/>
      <c r="AB125" s="541"/>
      <c r="AC125" s="542"/>
      <c r="AD125" s="542"/>
      <c r="AE125" s="542"/>
      <c r="AF125" s="542"/>
      <c r="AG125" s="542"/>
      <c r="AH125" s="542"/>
      <c r="AI125" s="542"/>
      <c r="AJ125" s="542"/>
      <c r="AK125" s="542"/>
      <c r="AL125" s="542"/>
      <c r="AM125" s="542"/>
      <c r="AN125" s="542"/>
      <c r="AO125" s="542"/>
      <c r="AP125" s="542">
        <f>IF(Table_NFI[[#This Row],[Winter Clothes Adult]]+Table_NFI[[#This Row],[Winter Clothes Children]]+Table_NFI[[#This Row],[Winter Items Other]]+Table_NFI[[#This Row],[Winter Blanket]]&gt;0,1,0)</f>
        <v>1</v>
      </c>
      <c r="AQ125" s="542"/>
      <c r="AR125" s="542"/>
      <c r="AS125" s="542"/>
      <c r="AT125" s="205" t="str">
        <f>IFERROR(VLOOKUP(Table_NFI[[#This Row],[Location]],CL,2,0),"")</f>
        <v>MMR001CMP055</v>
      </c>
      <c r="AU125" s="183"/>
    </row>
    <row r="126" spans="2:120" ht="18.75" customHeight="1" x14ac:dyDescent="0.25">
      <c r="B126" s="552">
        <v>43096</v>
      </c>
      <c r="C126" s="552" t="str">
        <f>MONTH(Table_NFI[[#This Row],[Distribution Date]]) &amp; "/" &amp; YEAR(Table_NFI[[#This Row],[Distribution Date]])</f>
        <v>12/2017</v>
      </c>
      <c r="D126" s="198" t="s">
        <v>825</v>
      </c>
      <c r="E126" s="198"/>
      <c r="F126" s="198" t="s">
        <v>378</v>
      </c>
      <c r="G126" s="197" t="s">
        <v>5</v>
      </c>
      <c r="H126" s="198" t="s">
        <v>26</v>
      </c>
      <c r="I126" s="183"/>
      <c r="J126" s="541"/>
      <c r="K126" s="541"/>
      <c r="L126" s="541"/>
      <c r="M126" s="541"/>
      <c r="N126" s="541"/>
      <c r="O126" s="541"/>
      <c r="P126" s="541"/>
      <c r="Q126" s="541"/>
      <c r="R126" s="541"/>
      <c r="S126" s="541"/>
      <c r="T126" s="541"/>
      <c r="U126" s="541"/>
      <c r="V126" s="541"/>
      <c r="W126" s="541"/>
      <c r="X126" s="541">
        <v>14</v>
      </c>
      <c r="Y126" s="541"/>
      <c r="Z126" s="541"/>
      <c r="AA126" s="541"/>
      <c r="AB126" s="541"/>
      <c r="AC126" s="542"/>
      <c r="AD126" s="542"/>
      <c r="AE126" s="542"/>
      <c r="AF126" s="542"/>
      <c r="AG126" s="542"/>
      <c r="AH126" s="542"/>
      <c r="AI126" s="542"/>
      <c r="AJ126" s="542"/>
      <c r="AK126" s="542"/>
      <c r="AL126" s="542"/>
      <c r="AM126" s="542"/>
      <c r="AN126" s="542"/>
      <c r="AO126" s="542"/>
      <c r="AP126" s="542">
        <f>IF(Table_NFI[[#This Row],[Winter Clothes Adult]]+Table_NFI[[#This Row],[Winter Clothes Children]]+Table_NFI[[#This Row],[Winter Items Other]]+Table_NFI[[#This Row],[Winter Blanket]]&gt;0,1,0)</f>
        <v>1</v>
      </c>
      <c r="AQ126" s="542"/>
      <c r="AR126" s="542"/>
      <c r="AS126" s="542"/>
      <c r="AT126" s="205" t="str">
        <f>IFERROR(VLOOKUP(Table_NFI[[#This Row],[Location]],CL,2,0),"")</f>
        <v>MMR001CMP053</v>
      </c>
      <c r="AU126" s="183"/>
    </row>
    <row r="127" spans="2:120" ht="18.75" customHeight="1" x14ac:dyDescent="0.25">
      <c r="B127" s="552">
        <v>43096</v>
      </c>
      <c r="C127" s="552" t="str">
        <f>MONTH(Table_NFI[[#This Row],[Distribution Date]]) &amp; "/" &amp; YEAR(Table_NFI[[#This Row],[Distribution Date]])</f>
        <v>12/2017</v>
      </c>
      <c r="D127" s="198" t="s">
        <v>825</v>
      </c>
      <c r="E127" s="198"/>
      <c r="F127" s="198" t="s">
        <v>378</v>
      </c>
      <c r="G127" s="197" t="s">
        <v>5</v>
      </c>
      <c r="H127" s="198" t="s">
        <v>8</v>
      </c>
      <c r="I127" s="183"/>
      <c r="J127" s="541"/>
      <c r="K127" s="541"/>
      <c r="L127" s="541"/>
      <c r="M127" s="541"/>
      <c r="N127" s="541"/>
      <c r="O127" s="541"/>
      <c r="P127" s="541"/>
      <c r="Q127" s="541"/>
      <c r="R127" s="541"/>
      <c r="S127" s="541"/>
      <c r="T127" s="541"/>
      <c r="U127" s="541"/>
      <c r="V127" s="541"/>
      <c r="W127" s="541"/>
      <c r="X127" s="541">
        <v>13</v>
      </c>
      <c r="Y127" s="541"/>
      <c r="Z127" s="541"/>
      <c r="AA127" s="541"/>
      <c r="AB127" s="541"/>
      <c r="AC127" s="542"/>
      <c r="AD127" s="542"/>
      <c r="AE127" s="542"/>
      <c r="AF127" s="542"/>
      <c r="AG127" s="542"/>
      <c r="AH127" s="542"/>
      <c r="AI127" s="542"/>
      <c r="AJ127" s="542"/>
      <c r="AK127" s="542"/>
      <c r="AL127" s="542"/>
      <c r="AM127" s="542"/>
      <c r="AN127" s="542"/>
      <c r="AO127" s="542"/>
      <c r="AP127" s="542">
        <f>IF(Table_NFI[[#This Row],[Winter Clothes Adult]]+Table_NFI[[#This Row],[Winter Clothes Children]]+Table_NFI[[#This Row],[Winter Items Other]]+Table_NFI[[#This Row],[Winter Blanket]]&gt;0,1,0)</f>
        <v>1</v>
      </c>
      <c r="AQ127" s="542"/>
      <c r="AR127" s="542"/>
      <c r="AS127" s="542"/>
      <c r="AT127" s="205" t="str">
        <f>IFERROR(VLOOKUP(Table_NFI[[#This Row],[Location]],CL,2,0),"")</f>
        <v>MMR001CMP051</v>
      </c>
      <c r="AU127" s="183"/>
    </row>
    <row r="128" spans="2:120" ht="18.75" customHeight="1" x14ac:dyDescent="0.25">
      <c r="B128" s="552">
        <v>43096</v>
      </c>
      <c r="C128" s="552" t="str">
        <f>MONTH(Table_NFI[[#This Row],[Distribution Date]]) &amp; "/" &amp; YEAR(Table_NFI[[#This Row],[Distribution Date]])</f>
        <v>12/2017</v>
      </c>
      <c r="D128" s="198" t="s">
        <v>825</v>
      </c>
      <c r="E128" s="198"/>
      <c r="F128" s="198" t="s">
        <v>378</v>
      </c>
      <c r="G128" s="197" t="s">
        <v>5</v>
      </c>
      <c r="H128" s="198" t="s">
        <v>14</v>
      </c>
      <c r="I128" s="183"/>
      <c r="J128" s="541"/>
      <c r="K128" s="541"/>
      <c r="L128" s="541"/>
      <c r="M128" s="541"/>
      <c r="N128" s="541"/>
      <c r="O128" s="541"/>
      <c r="P128" s="541"/>
      <c r="Q128" s="541"/>
      <c r="R128" s="541"/>
      <c r="S128" s="541"/>
      <c r="T128" s="541"/>
      <c r="U128" s="541"/>
      <c r="V128" s="541"/>
      <c r="W128" s="541"/>
      <c r="X128" s="541">
        <v>39</v>
      </c>
      <c r="Y128" s="541"/>
      <c r="Z128" s="541"/>
      <c r="AA128" s="541"/>
      <c r="AB128" s="541"/>
      <c r="AC128" s="542"/>
      <c r="AD128" s="542"/>
      <c r="AE128" s="542"/>
      <c r="AF128" s="542"/>
      <c r="AG128" s="542"/>
      <c r="AH128" s="542"/>
      <c r="AI128" s="542"/>
      <c r="AJ128" s="542"/>
      <c r="AK128" s="542"/>
      <c r="AL128" s="542"/>
      <c r="AM128" s="542"/>
      <c r="AN128" s="542"/>
      <c r="AO128" s="542"/>
      <c r="AP128" s="542">
        <f>IF(Table_NFI[[#This Row],[Winter Clothes Adult]]+Table_NFI[[#This Row],[Winter Clothes Children]]+Table_NFI[[#This Row],[Winter Items Other]]+Table_NFI[[#This Row],[Winter Blanket]]&gt;0,1,0)</f>
        <v>1</v>
      </c>
      <c r="AQ128" s="542"/>
      <c r="AR128" s="542"/>
      <c r="AS128" s="542"/>
      <c r="AT128" s="205" t="str">
        <f>IFERROR(VLOOKUP(Table_NFI[[#This Row],[Location]],CL,2,0),"")</f>
        <v>MMR001CMP052</v>
      </c>
      <c r="AU128" s="183"/>
    </row>
    <row r="129" spans="2:47" ht="18.75" customHeight="1" x14ac:dyDescent="0.25">
      <c r="B129" s="552">
        <v>43096</v>
      </c>
      <c r="C129" s="552" t="str">
        <f>MONTH(Table_NFI[[#This Row],[Distribution Date]]) &amp; "/" &amp; YEAR(Table_NFI[[#This Row],[Distribution Date]])</f>
        <v>12/2017</v>
      </c>
      <c r="D129" s="198" t="s">
        <v>825</v>
      </c>
      <c r="E129" s="198"/>
      <c r="F129" s="198" t="s">
        <v>378</v>
      </c>
      <c r="G129" s="197" t="s">
        <v>5</v>
      </c>
      <c r="H129" s="198" t="s">
        <v>22</v>
      </c>
      <c r="I129" s="183"/>
      <c r="J129" s="541"/>
      <c r="K129" s="541"/>
      <c r="L129" s="541"/>
      <c r="M129" s="541"/>
      <c r="N129" s="541"/>
      <c r="O129" s="541"/>
      <c r="P129" s="541"/>
      <c r="Q129" s="541"/>
      <c r="R129" s="541"/>
      <c r="S129" s="541"/>
      <c r="T129" s="541"/>
      <c r="U129" s="541"/>
      <c r="V129" s="541"/>
      <c r="W129" s="541"/>
      <c r="X129" s="541">
        <v>508</v>
      </c>
      <c r="Y129" s="541"/>
      <c r="Z129" s="541"/>
      <c r="AA129" s="541"/>
      <c r="AB129" s="541"/>
      <c r="AC129" s="542"/>
      <c r="AD129" s="542"/>
      <c r="AE129" s="542"/>
      <c r="AF129" s="542"/>
      <c r="AG129" s="542"/>
      <c r="AH129" s="542"/>
      <c r="AI129" s="542"/>
      <c r="AJ129" s="542"/>
      <c r="AK129" s="542"/>
      <c r="AL129" s="542"/>
      <c r="AM129" s="542"/>
      <c r="AN129" s="542"/>
      <c r="AO129" s="542"/>
      <c r="AP129" s="542">
        <f>IF(Table_NFI[[#This Row],[Winter Clothes Adult]]+Table_NFI[[#This Row],[Winter Clothes Children]]+Table_NFI[[#This Row],[Winter Items Other]]+Table_NFI[[#This Row],[Winter Blanket]]&gt;0,1,0)</f>
        <v>1</v>
      </c>
      <c r="AQ129" s="542"/>
      <c r="AR129" s="542"/>
      <c r="AS129" s="542"/>
      <c r="AT129" s="205" t="str">
        <f>IFERROR(VLOOKUP(Table_NFI[[#This Row],[Location]],CL,2,0),"")</f>
        <v>MMR001CMP047</v>
      </c>
      <c r="AU129" s="183"/>
    </row>
    <row r="130" spans="2:47" ht="18.75" customHeight="1" x14ac:dyDescent="0.25">
      <c r="B130" s="552">
        <v>43096</v>
      </c>
      <c r="C130" s="552" t="str">
        <f>MONTH(Table_NFI[[#This Row],[Distribution Date]]) &amp; "/" &amp; YEAR(Table_NFI[[#This Row],[Distribution Date]])</f>
        <v>12/2017</v>
      </c>
      <c r="D130" s="198" t="s">
        <v>825</v>
      </c>
      <c r="E130" s="198"/>
      <c r="F130" s="198" t="s">
        <v>378</v>
      </c>
      <c r="G130" s="197" t="s">
        <v>185</v>
      </c>
      <c r="H130" s="198" t="s">
        <v>207</v>
      </c>
      <c r="I130" s="183"/>
      <c r="J130" s="541"/>
      <c r="K130" s="541"/>
      <c r="L130" s="541"/>
      <c r="M130" s="541"/>
      <c r="N130" s="541"/>
      <c r="O130" s="541"/>
      <c r="P130" s="541"/>
      <c r="Q130" s="541"/>
      <c r="R130" s="541"/>
      <c r="S130" s="541"/>
      <c r="T130" s="541"/>
      <c r="U130" s="541"/>
      <c r="V130" s="541"/>
      <c r="W130" s="541"/>
      <c r="X130" s="541">
        <v>5</v>
      </c>
      <c r="Y130" s="541"/>
      <c r="Z130" s="541"/>
      <c r="AA130" s="541"/>
      <c r="AB130" s="541"/>
      <c r="AC130" s="542"/>
      <c r="AD130" s="542"/>
      <c r="AE130" s="542"/>
      <c r="AF130" s="542"/>
      <c r="AG130" s="542"/>
      <c r="AH130" s="542"/>
      <c r="AI130" s="542"/>
      <c r="AJ130" s="542"/>
      <c r="AK130" s="542"/>
      <c r="AL130" s="542"/>
      <c r="AM130" s="542"/>
      <c r="AN130" s="542"/>
      <c r="AO130" s="542"/>
      <c r="AP130" s="542">
        <f>IF(Table_NFI[[#This Row],[Winter Clothes Adult]]+Table_NFI[[#This Row],[Winter Clothes Children]]+Table_NFI[[#This Row],[Winter Items Other]]+Table_NFI[[#This Row],[Winter Blanket]]&gt;0,1,0)</f>
        <v>1</v>
      </c>
      <c r="AQ130" s="542"/>
      <c r="AR130" s="542"/>
      <c r="AS130" s="542"/>
      <c r="AT130" s="205" t="str">
        <f>IFERROR(VLOOKUP(Table_NFI[[#This Row],[Location]],CL,2,0),"")</f>
        <v>MMR001CMP058</v>
      </c>
      <c r="AU130" s="183"/>
    </row>
    <row r="131" spans="2:47" ht="18.75" customHeight="1" x14ac:dyDescent="0.25">
      <c r="B131" s="552">
        <v>43096</v>
      </c>
      <c r="C131" s="552" t="str">
        <f>MONTH(Table_NFI[[#This Row],[Distribution Date]]) &amp; "/" &amp; YEAR(Table_NFI[[#This Row],[Distribution Date]])</f>
        <v>12/2017</v>
      </c>
      <c r="D131" s="198" t="s">
        <v>825</v>
      </c>
      <c r="E131" s="198"/>
      <c r="F131" s="198" t="s">
        <v>378</v>
      </c>
      <c r="G131" s="197" t="s">
        <v>185</v>
      </c>
      <c r="H131" s="198" t="s">
        <v>202</v>
      </c>
      <c r="I131" s="183"/>
      <c r="J131" s="541"/>
      <c r="K131" s="541"/>
      <c r="L131" s="541"/>
      <c r="M131" s="541"/>
      <c r="N131" s="541"/>
      <c r="O131" s="541"/>
      <c r="P131" s="541"/>
      <c r="Q131" s="541"/>
      <c r="R131" s="541"/>
      <c r="S131" s="541"/>
      <c r="T131" s="541"/>
      <c r="U131" s="541"/>
      <c r="V131" s="541"/>
      <c r="W131" s="541"/>
      <c r="X131" s="541">
        <v>223</v>
      </c>
      <c r="Y131" s="541"/>
      <c r="Z131" s="541"/>
      <c r="AA131" s="541"/>
      <c r="AB131" s="541"/>
      <c r="AC131" s="542"/>
      <c r="AD131" s="542"/>
      <c r="AE131" s="542"/>
      <c r="AF131" s="542"/>
      <c r="AG131" s="542"/>
      <c r="AH131" s="542"/>
      <c r="AI131" s="542"/>
      <c r="AJ131" s="542"/>
      <c r="AK131" s="542"/>
      <c r="AL131" s="542"/>
      <c r="AM131" s="542"/>
      <c r="AN131" s="542"/>
      <c r="AO131" s="542"/>
      <c r="AP131" s="542">
        <f>IF(Table_NFI[[#This Row],[Winter Clothes Adult]]+Table_NFI[[#This Row],[Winter Clothes Children]]+Table_NFI[[#This Row],[Winter Items Other]]+Table_NFI[[#This Row],[Winter Blanket]]&gt;0,1,0)</f>
        <v>1</v>
      </c>
      <c r="AQ131" s="542"/>
      <c r="AR131" s="542"/>
      <c r="AS131" s="542"/>
      <c r="AT131" s="205" t="str">
        <f>IFERROR(VLOOKUP(Table_NFI[[#This Row],[Location]],CL,2,0),"")</f>
        <v>MMR001CMP062</v>
      </c>
      <c r="AU131" s="183"/>
    </row>
    <row r="132" spans="2:47" ht="18.75" customHeight="1" x14ac:dyDescent="0.25">
      <c r="B132" s="552">
        <v>43096</v>
      </c>
      <c r="C132" s="552" t="str">
        <f>MONTH(Table_NFI[[#This Row],[Distribution Date]]) &amp; "/" &amp; YEAR(Table_NFI[[#This Row],[Distribution Date]])</f>
        <v>12/2017</v>
      </c>
      <c r="D132" s="198" t="s">
        <v>825</v>
      </c>
      <c r="E132" s="198"/>
      <c r="F132" s="198" t="s">
        <v>378</v>
      </c>
      <c r="G132" s="197" t="s">
        <v>185</v>
      </c>
      <c r="H132" s="198" t="s">
        <v>209</v>
      </c>
      <c r="I132" s="183"/>
      <c r="J132" s="541"/>
      <c r="K132" s="541"/>
      <c r="L132" s="541"/>
      <c r="M132" s="541"/>
      <c r="N132" s="541"/>
      <c r="O132" s="541"/>
      <c r="P132" s="541"/>
      <c r="Q132" s="541"/>
      <c r="R132" s="541"/>
      <c r="S132" s="541"/>
      <c r="T132" s="541"/>
      <c r="U132" s="541"/>
      <c r="V132" s="541"/>
      <c r="W132" s="541"/>
      <c r="X132" s="541">
        <v>383</v>
      </c>
      <c r="Y132" s="541"/>
      <c r="Z132" s="541"/>
      <c r="AA132" s="541"/>
      <c r="AB132" s="541"/>
      <c r="AC132" s="542"/>
      <c r="AD132" s="542"/>
      <c r="AE132" s="542"/>
      <c r="AF132" s="542"/>
      <c r="AG132" s="542"/>
      <c r="AH132" s="542"/>
      <c r="AI132" s="542"/>
      <c r="AJ132" s="542"/>
      <c r="AK132" s="542"/>
      <c r="AL132" s="542"/>
      <c r="AM132" s="542"/>
      <c r="AN132" s="542"/>
      <c r="AO132" s="542"/>
      <c r="AP132" s="542">
        <f>IF(Table_NFI[[#This Row],[Winter Clothes Adult]]+Table_NFI[[#This Row],[Winter Clothes Children]]+Table_NFI[[#This Row],[Winter Items Other]]+Table_NFI[[#This Row],[Winter Blanket]]&gt;0,1,0)</f>
        <v>1</v>
      </c>
      <c r="AQ132" s="542"/>
      <c r="AR132" s="542"/>
      <c r="AS132" s="542"/>
      <c r="AT132" s="205" t="str">
        <f>IFERROR(VLOOKUP(Table_NFI[[#This Row],[Location]],CL,2,0),"")</f>
        <v>MMR001CMP056</v>
      </c>
      <c r="AU132" s="183"/>
    </row>
    <row r="133" spans="2:47" ht="18.75" customHeight="1" x14ac:dyDescent="0.25">
      <c r="B133" s="552">
        <v>43096</v>
      </c>
      <c r="C133" s="552" t="str">
        <f>MONTH(Table_NFI[[#This Row],[Distribution Date]]) &amp; "/" &amp; YEAR(Table_NFI[[#This Row],[Distribution Date]])</f>
        <v>12/2017</v>
      </c>
      <c r="D133" s="198" t="s">
        <v>825</v>
      </c>
      <c r="E133" s="198"/>
      <c r="F133" s="198" t="s">
        <v>378</v>
      </c>
      <c r="G133" s="197" t="s">
        <v>237</v>
      </c>
      <c r="H133" s="198" t="s">
        <v>252</v>
      </c>
      <c r="I133" s="183"/>
      <c r="J133" s="541"/>
      <c r="K133" s="541"/>
      <c r="L133" s="541"/>
      <c r="M133" s="541"/>
      <c r="N133" s="541"/>
      <c r="O133" s="541"/>
      <c r="P133" s="541"/>
      <c r="Q133" s="541"/>
      <c r="R133" s="541"/>
      <c r="S133" s="541"/>
      <c r="T133" s="541"/>
      <c r="U133" s="541"/>
      <c r="V133" s="541"/>
      <c r="W133" s="541"/>
      <c r="X133" s="541">
        <v>202</v>
      </c>
      <c r="Y133" s="541"/>
      <c r="Z133" s="541"/>
      <c r="AA133" s="541"/>
      <c r="AB133" s="541"/>
      <c r="AC133" s="542"/>
      <c r="AD133" s="542"/>
      <c r="AE133" s="542"/>
      <c r="AF133" s="542"/>
      <c r="AG133" s="542"/>
      <c r="AH133" s="542"/>
      <c r="AI133" s="542"/>
      <c r="AJ133" s="542"/>
      <c r="AK133" s="542"/>
      <c r="AL133" s="542"/>
      <c r="AM133" s="542"/>
      <c r="AN133" s="542"/>
      <c r="AO133" s="542"/>
      <c r="AP133" s="542">
        <f>IF(Table_NFI[[#This Row],[Winter Clothes Adult]]+Table_NFI[[#This Row],[Winter Clothes Children]]+Table_NFI[[#This Row],[Winter Items Other]]+Table_NFI[[#This Row],[Winter Blanket]]&gt;0,1,0)</f>
        <v>1</v>
      </c>
      <c r="AQ133" s="542"/>
      <c r="AR133" s="542"/>
      <c r="AS133" s="542"/>
      <c r="AT133" s="205" t="str">
        <f>IFERROR(VLOOKUP(Table_NFI[[#This Row],[Location]],CL,2,0),"")</f>
        <v>MMR001CMP018</v>
      </c>
      <c r="AU133" s="183"/>
    </row>
    <row r="134" spans="2:47" ht="18.75" customHeight="1" x14ac:dyDescent="0.25">
      <c r="B134" s="552">
        <v>43096</v>
      </c>
      <c r="C134" s="552" t="str">
        <f>MONTH(Table_NFI[[#This Row],[Distribution Date]]) &amp; "/" &amp; YEAR(Table_NFI[[#This Row],[Distribution Date]])</f>
        <v>12/2017</v>
      </c>
      <c r="D134" s="198" t="s">
        <v>825</v>
      </c>
      <c r="E134" s="198"/>
      <c r="F134" s="198" t="s">
        <v>378</v>
      </c>
      <c r="G134" s="197" t="s">
        <v>237</v>
      </c>
      <c r="H134" s="198" t="s">
        <v>254</v>
      </c>
      <c r="I134" s="183"/>
      <c r="J134" s="541"/>
      <c r="K134" s="541"/>
      <c r="L134" s="541"/>
      <c r="M134" s="541"/>
      <c r="N134" s="541"/>
      <c r="O134" s="541"/>
      <c r="P134" s="541"/>
      <c r="Q134" s="541"/>
      <c r="R134" s="541"/>
      <c r="S134" s="541"/>
      <c r="T134" s="541"/>
      <c r="U134" s="541"/>
      <c r="V134" s="541"/>
      <c r="W134" s="541"/>
      <c r="X134" s="541">
        <v>86</v>
      </c>
      <c r="Y134" s="541"/>
      <c r="Z134" s="541"/>
      <c r="AA134" s="541"/>
      <c r="AB134" s="541"/>
      <c r="AC134" s="542"/>
      <c r="AD134" s="542"/>
      <c r="AE134" s="542"/>
      <c r="AF134" s="542"/>
      <c r="AG134" s="542"/>
      <c r="AH134" s="542"/>
      <c r="AI134" s="542"/>
      <c r="AJ134" s="542"/>
      <c r="AK134" s="542"/>
      <c r="AL134" s="542"/>
      <c r="AM134" s="542"/>
      <c r="AN134" s="542"/>
      <c r="AO134" s="542"/>
      <c r="AP134" s="542">
        <f>IF(Table_NFI[[#This Row],[Winter Clothes Adult]]+Table_NFI[[#This Row],[Winter Clothes Children]]+Table_NFI[[#This Row],[Winter Items Other]]+Table_NFI[[#This Row],[Winter Blanket]]&gt;0,1,0)</f>
        <v>1</v>
      </c>
      <c r="AQ134" s="542"/>
      <c r="AR134" s="542"/>
      <c r="AS134" s="542"/>
      <c r="AT134" s="205" t="str">
        <f>IFERROR(VLOOKUP(Table_NFI[[#This Row],[Location]],CL,2,0),"")</f>
        <v>MMR001CMP019</v>
      </c>
      <c r="AU134" s="183"/>
    </row>
    <row r="135" spans="2:47" ht="18.75" customHeight="1" x14ac:dyDescent="0.25">
      <c r="B135" s="552">
        <v>43096</v>
      </c>
      <c r="C135" s="552" t="str">
        <f>MONTH(Table_NFI[[#This Row],[Distribution Date]]) &amp; "/" &amp; YEAR(Table_NFI[[#This Row],[Distribution Date]])</f>
        <v>12/2017</v>
      </c>
      <c r="D135" s="198" t="s">
        <v>825</v>
      </c>
      <c r="E135" s="198"/>
      <c r="F135" s="198" t="s">
        <v>378</v>
      </c>
      <c r="G135" s="197" t="s">
        <v>237</v>
      </c>
      <c r="H135" s="198" t="s">
        <v>256</v>
      </c>
      <c r="I135" s="183"/>
      <c r="J135" s="541"/>
      <c r="K135" s="541"/>
      <c r="L135" s="541"/>
      <c r="M135" s="541"/>
      <c r="N135" s="541"/>
      <c r="O135" s="541"/>
      <c r="P135" s="541"/>
      <c r="Q135" s="541"/>
      <c r="R135" s="541"/>
      <c r="S135" s="541"/>
      <c r="T135" s="541"/>
      <c r="U135" s="541"/>
      <c r="V135" s="541"/>
      <c r="W135" s="541"/>
      <c r="X135" s="541">
        <v>17</v>
      </c>
      <c r="Y135" s="541"/>
      <c r="Z135" s="541"/>
      <c r="AA135" s="541"/>
      <c r="AB135" s="541"/>
      <c r="AC135" s="542"/>
      <c r="AD135" s="542"/>
      <c r="AE135" s="542"/>
      <c r="AF135" s="542"/>
      <c r="AG135" s="542"/>
      <c r="AH135" s="542"/>
      <c r="AI135" s="542"/>
      <c r="AJ135" s="542"/>
      <c r="AK135" s="542"/>
      <c r="AL135" s="542"/>
      <c r="AM135" s="542"/>
      <c r="AN135" s="542"/>
      <c r="AO135" s="542"/>
      <c r="AP135" s="542">
        <f>IF(Table_NFI[[#This Row],[Winter Clothes Adult]]+Table_NFI[[#This Row],[Winter Clothes Children]]+Table_NFI[[#This Row],[Winter Items Other]]+Table_NFI[[#This Row],[Winter Blanket]]&gt;0,1,0)</f>
        <v>1</v>
      </c>
      <c r="AQ135" s="542"/>
      <c r="AR135" s="542"/>
      <c r="AS135" s="542"/>
      <c r="AT135" s="205" t="str">
        <f>IFERROR(VLOOKUP(Table_NFI[[#This Row],[Location]],CL,2,0),"")</f>
        <v>MMR001CMP013</v>
      </c>
      <c r="AU135" s="183"/>
    </row>
    <row r="136" spans="2:47" ht="18.75" customHeight="1" x14ac:dyDescent="0.25">
      <c r="B136" s="552">
        <v>43096</v>
      </c>
      <c r="C136" s="552" t="str">
        <f>MONTH(Table_NFI[[#This Row],[Distribution Date]]) &amp; "/" &amp; YEAR(Table_NFI[[#This Row],[Distribution Date]])</f>
        <v>12/2017</v>
      </c>
      <c r="D136" s="198" t="s">
        <v>825</v>
      </c>
      <c r="E136" s="198"/>
      <c r="F136" s="198" t="s">
        <v>378</v>
      </c>
      <c r="G136" s="197" t="s">
        <v>237</v>
      </c>
      <c r="H136" s="198" t="s">
        <v>240</v>
      </c>
      <c r="I136" s="183"/>
      <c r="J136" s="541"/>
      <c r="K136" s="541"/>
      <c r="L136" s="541"/>
      <c r="M136" s="541"/>
      <c r="N136" s="541"/>
      <c r="O136" s="541"/>
      <c r="P136" s="541"/>
      <c r="Q136" s="541"/>
      <c r="R136" s="541"/>
      <c r="S136" s="541"/>
      <c r="T136" s="541"/>
      <c r="U136" s="541"/>
      <c r="V136" s="541"/>
      <c r="W136" s="541"/>
      <c r="X136" s="541">
        <v>30</v>
      </c>
      <c r="Y136" s="541"/>
      <c r="Z136" s="541"/>
      <c r="AA136" s="541"/>
      <c r="AB136" s="541"/>
      <c r="AC136" s="542"/>
      <c r="AD136" s="542"/>
      <c r="AE136" s="542"/>
      <c r="AF136" s="542"/>
      <c r="AG136" s="542"/>
      <c r="AH136" s="542"/>
      <c r="AI136" s="542"/>
      <c r="AJ136" s="542"/>
      <c r="AK136" s="542"/>
      <c r="AL136" s="542"/>
      <c r="AM136" s="542"/>
      <c r="AN136" s="542"/>
      <c r="AO136" s="542"/>
      <c r="AP136" s="542">
        <f>IF(Table_NFI[[#This Row],[Winter Clothes Adult]]+Table_NFI[[#This Row],[Winter Clothes Children]]+Table_NFI[[#This Row],[Winter Items Other]]+Table_NFI[[#This Row],[Winter Blanket]]&gt;0,1,0)</f>
        <v>1</v>
      </c>
      <c r="AQ136" s="542"/>
      <c r="AR136" s="542"/>
      <c r="AS136" s="542"/>
      <c r="AT136" s="205" t="str">
        <f>IFERROR(VLOOKUP(Table_NFI[[#This Row],[Location]],CL,2,0),"")</f>
        <v>MMR001CMP015</v>
      </c>
      <c r="AU136" s="183"/>
    </row>
    <row r="137" spans="2:47" ht="18.75" customHeight="1" x14ac:dyDescent="0.25">
      <c r="B137" s="552">
        <v>43096</v>
      </c>
      <c r="C137" s="552" t="str">
        <f>MONTH(Table_NFI[[#This Row],[Distribution Date]]) &amp; "/" &amp; YEAR(Table_NFI[[#This Row],[Distribution Date]])</f>
        <v>12/2017</v>
      </c>
      <c r="D137" s="198" t="s">
        <v>825</v>
      </c>
      <c r="E137" s="198"/>
      <c r="F137" s="198" t="s">
        <v>378</v>
      </c>
      <c r="G137" s="197" t="s">
        <v>237</v>
      </c>
      <c r="H137" s="198" t="s">
        <v>284</v>
      </c>
      <c r="I137" s="183"/>
      <c r="J137" s="541"/>
      <c r="K137" s="541"/>
      <c r="L137" s="541"/>
      <c r="M137" s="541"/>
      <c r="N137" s="541"/>
      <c r="O137" s="541"/>
      <c r="P137" s="541"/>
      <c r="Q137" s="541"/>
      <c r="R137" s="541"/>
      <c r="S137" s="541"/>
      <c r="T137" s="541"/>
      <c r="U137" s="541"/>
      <c r="V137" s="541"/>
      <c r="W137" s="541"/>
      <c r="X137" s="541">
        <v>86</v>
      </c>
      <c r="Y137" s="541"/>
      <c r="Z137" s="541"/>
      <c r="AA137" s="541"/>
      <c r="AB137" s="541"/>
      <c r="AC137" s="542"/>
      <c r="AD137" s="542"/>
      <c r="AE137" s="542"/>
      <c r="AF137" s="542"/>
      <c r="AG137" s="542"/>
      <c r="AH137" s="542"/>
      <c r="AI137" s="542"/>
      <c r="AJ137" s="542"/>
      <c r="AK137" s="542"/>
      <c r="AL137" s="542"/>
      <c r="AM137" s="542"/>
      <c r="AN137" s="542"/>
      <c r="AO137" s="542"/>
      <c r="AP137" s="542">
        <f>IF(Table_NFI[[#This Row],[Winter Clothes Adult]]+Table_NFI[[#This Row],[Winter Clothes Children]]+Table_NFI[[#This Row],[Winter Items Other]]+Table_NFI[[#This Row],[Winter Blanket]]&gt;0,1,0)</f>
        <v>1</v>
      </c>
      <c r="AQ137" s="542"/>
      <c r="AR137" s="542"/>
      <c r="AS137" s="542"/>
      <c r="AT137" s="205" t="str">
        <f>IFERROR(VLOOKUP(Table_NFI[[#This Row],[Location]],CL,2,0),"")</f>
        <v>MMR001CMP014</v>
      </c>
      <c r="AU137" s="183"/>
    </row>
    <row r="138" spans="2:47" ht="18.75" customHeight="1" x14ac:dyDescent="0.25">
      <c r="B138" s="552">
        <v>43096</v>
      </c>
      <c r="C138" s="552" t="str">
        <f>MONTH(Table_NFI[[#This Row],[Distribution Date]]) &amp; "/" &amp; YEAR(Table_NFI[[#This Row],[Distribution Date]])</f>
        <v>12/2017</v>
      </c>
      <c r="D138" s="198" t="s">
        <v>825</v>
      </c>
      <c r="E138" s="198"/>
      <c r="F138" s="198" t="s">
        <v>378</v>
      </c>
      <c r="G138" s="197" t="s">
        <v>237</v>
      </c>
      <c r="H138" s="198" t="s">
        <v>258</v>
      </c>
      <c r="I138" s="183"/>
      <c r="J138" s="541"/>
      <c r="K138" s="541"/>
      <c r="L138" s="541"/>
      <c r="M138" s="541"/>
      <c r="N138" s="541"/>
      <c r="O138" s="541"/>
      <c r="P138" s="541"/>
      <c r="Q138" s="541"/>
      <c r="R138" s="541"/>
      <c r="S138" s="541"/>
      <c r="T138" s="541"/>
      <c r="U138" s="541"/>
      <c r="V138" s="541"/>
      <c r="W138" s="541"/>
      <c r="X138" s="541">
        <v>61</v>
      </c>
      <c r="Y138" s="541"/>
      <c r="Z138" s="541"/>
      <c r="AA138" s="541"/>
      <c r="AB138" s="541"/>
      <c r="AC138" s="542"/>
      <c r="AD138" s="542"/>
      <c r="AE138" s="542"/>
      <c r="AF138" s="542"/>
      <c r="AG138" s="542"/>
      <c r="AH138" s="542"/>
      <c r="AI138" s="542"/>
      <c r="AJ138" s="542"/>
      <c r="AK138" s="542"/>
      <c r="AL138" s="542"/>
      <c r="AM138" s="542"/>
      <c r="AN138" s="542"/>
      <c r="AO138" s="542"/>
      <c r="AP138" s="542">
        <f>IF(Table_NFI[[#This Row],[Winter Clothes Adult]]+Table_NFI[[#This Row],[Winter Clothes Children]]+Table_NFI[[#This Row],[Winter Items Other]]+Table_NFI[[#This Row],[Winter Blanket]]&gt;0,1,0)</f>
        <v>1</v>
      </c>
      <c r="AQ138" s="542"/>
      <c r="AR138" s="542"/>
      <c r="AS138" s="542"/>
      <c r="AT138" s="205" t="str">
        <f>IFERROR(VLOOKUP(Table_NFI[[#This Row],[Location]],CL,2,0),"")</f>
        <v>MMR001CMP016</v>
      </c>
      <c r="AU138" s="183"/>
    </row>
    <row r="139" spans="2:47" ht="18.75" customHeight="1" x14ac:dyDescent="0.25">
      <c r="B139" s="552">
        <v>43096</v>
      </c>
      <c r="C139" s="552" t="str">
        <f>MONTH(Table_NFI[[#This Row],[Distribution Date]]) &amp; "/" &amp; YEAR(Table_NFI[[#This Row],[Distribution Date]])</f>
        <v>12/2017</v>
      </c>
      <c r="D139" s="198" t="s">
        <v>825</v>
      </c>
      <c r="E139" s="198"/>
      <c r="F139" s="198" t="s">
        <v>378</v>
      </c>
      <c r="G139" s="197" t="s">
        <v>237</v>
      </c>
      <c r="H139" s="198" t="s">
        <v>260</v>
      </c>
      <c r="I139" s="183"/>
      <c r="J139" s="541"/>
      <c r="K139" s="541"/>
      <c r="L139" s="541"/>
      <c r="M139" s="541"/>
      <c r="N139" s="541"/>
      <c r="O139" s="541"/>
      <c r="P139" s="541"/>
      <c r="Q139" s="541"/>
      <c r="R139" s="541"/>
      <c r="S139" s="541"/>
      <c r="T139" s="541"/>
      <c r="U139" s="541"/>
      <c r="V139" s="541"/>
      <c r="W139" s="541"/>
      <c r="X139" s="541">
        <v>103</v>
      </c>
      <c r="Y139" s="541"/>
      <c r="Z139" s="541"/>
      <c r="AA139" s="541"/>
      <c r="AB139" s="541"/>
      <c r="AC139" s="542"/>
      <c r="AD139" s="542"/>
      <c r="AE139" s="542"/>
      <c r="AF139" s="542"/>
      <c r="AG139" s="542"/>
      <c r="AH139" s="542"/>
      <c r="AI139" s="542"/>
      <c r="AJ139" s="542"/>
      <c r="AK139" s="542"/>
      <c r="AL139" s="542"/>
      <c r="AM139" s="542"/>
      <c r="AN139" s="542"/>
      <c r="AO139" s="542"/>
      <c r="AP139" s="542">
        <f>IF(Table_NFI[[#This Row],[Winter Clothes Adult]]+Table_NFI[[#This Row],[Winter Clothes Children]]+Table_NFI[[#This Row],[Winter Items Other]]+Table_NFI[[#This Row],[Winter Blanket]]&gt;0,1,0)</f>
        <v>1</v>
      </c>
      <c r="AQ139" s="542"/>
      <c r="AR139" s="542"/>
      <c r="AS139" s="542"/>
      <c r="AT139" s="205" t="str">
        <f>IFERROR(VLOOKUP(Table_NFI[[#This Row],[Location]],CL,2,0),"")</f>
        <v>MMR001CMP008</v>
      </c>
      <c r="AU139" s="183"/>
    </row>
    <row r="140" spans="2:47" ht="18.75" customHeight="1" x14ac:dyDescent="0.25">
      <c r="B140" s="552">
        <v>43096</v>
      </c>
      <c r="C140" s="552" t="str">
        <f>MONTH(Table_NFI[[#This Row],[Distribution Date]]) &amp; "/" &amp; YEAR(Table_NFI[[#This Row],[Distribution Date]])</f>
        <v>12/2017</v>
      </c>
      <c r="D140" s="198" t="s">
        <v>825</v>
      </c>
      <c r="E140" s="198"/>
      <c r="F140" s="198" t="s">
        <v>378</v>
      </c>
      <c r="G140" s="197" t="s">
        <v>237</v>
      </c>
      <c r="H140" s="198" t="s">
        <v>262</v>
      </c>
      <c r="I140" s="183"/>
      <c r="J140" s="541"/>
      <c r="K140" s="541"/>
      <c r="L140" s="541"/>
      <c r="M140" s="541"/>
      <c r="N140" s="541"/>
      <c r="O140" s="541"/>
      <c r="P140" s="541"/>
      <c r="Q140" s="541"/>
      <c r="R140" s="541"/>
      <c r="S140" s="541"/>
      <c r="T140" s="541"/>
      <c r="U140" s="541"/>
      <c r="V140" s="541"/>
      <c r="W140" s="541"/>
      <c r="X140" s="541">
        <v>24</v>
      </c>
      <c r="Y140" s="541"/>
      <c r="Z140" s="541"/>
      <c r="AA140" s="541"/>
      <c r="AB140" s="541"/>
      <c r="AC140" s="542"/>
      <c r="AD140" s="542"/>
      <c r="AE140" s="542"/>
      <c r="AF140" s="542"/>
      <c r="AG140" s="542"/>
      <c r="AH140" s="542"/>
      <c r="AI140" s="542"/>
      <c r="AJ140" s="542"/>
      <c r="AK140" s="542"/>
      <c r="AL140" s="542"/>
      <c r="AM140" s="542"/>
      <c r="AN140" s="542"/>
      <c r="AO140" s="542"/>
      <c r="AP140" s="542">
        <f>IF(Table_NFI[[#This Row],[Winter Clothes Adult]]+Table_NFI[[#This Row],[Winter Clothes Children]]+Table_NFI[[#This Row],[Winter Items Other]]+Table_NFI[[#This Row],[Winter Blanket]]&gt;0,1,0)</f>
        <v>1</v>
      </c>
      <c r="AQ140" s="542"/>
      <c r="AR140" s="542"/>
      <c r="AS140" s="542"/>
      <c r="AT140" s="205" t="str">
        <f>IFERROR(VLOOKUP(Table_NFI[[#This Row],[Location]],CL,2,0),"")</f>
        <v>MMR001CMP020</v>
      </c>
      <c r="AU140" s="183"/>
    </row>
    <row r="141" spans="2:47" ht="18.75" customHeight="1" x14ac:dyDescent="0.25">
      <c r="B141" s="552">
        <v>43096</v>
      </c>
      <c r="C141" s="552" t="str">
        <f>MONTH(Table_NFI[[#This Row],[Distribution Date]]) &amp; "/" &amp; YEAR(Table_NFI[[#This Row],[Distribution Date]])</f>
        <v>12/2017</v>
      </c>
      <c r="D141" s="198" t="s">
        <v>825</v>
      </c>
      <c r="E141" s="198"/>
      <c r="F141" s="198" t="s">
        <v>378</v>
      </c>
      <c r="G141" s="197" t="s">
        <v>237</v>
      </c>
      <c r="H141" s="198" t="s">
        <v>264</v>
      </c>
      <c r="I141" s="183"/>
      <c r="J141" s="541"/>
      <c r="K141" s="541"/>
      <c r="L141" s="541"/>
      <c r="M141" s="541"/>
      <c r="N141" s="541"/>
      <c r="O141" s="541"/>
      <c r="P141" s="541"/>
      <c r="Q141" s="541"/>
      <c r="R141" s="541"/>
      <c r="S141" s="541"/>
      <c r="T141" s="541"/>
      <c r="U141" s="541"/>
      <c r="V141" s="541"/>
      <c r="W141" s="541"/>
      <c r="X141" s="541">
        <v>14</v>
      </c>
      <c r="Y141" s="541"/>
      <c r="Z141" s="541"/>
      <c r="AA141" s="541"/>
      <c r="AB141" s="541"/>
      <c r="AC141" s="542"/>
      <c r="AD141" s="542"/>
      <c r="AE141" s="542"/>
      <c r="AF141" s="542"/>
      <c r="AG141" s="542"/>
      <c r="AH141" s="542"/>
      <c r="AI141" s="542"/>
      <c r="AJ141" s="542"/>
      <c r="AK141" s="542"/>
      <c r="AL141" s="542"/>
      <c r="AM141" s="542"/>
      <c r="AN141" s="542"/>
      <c r="AO141" s="542"/>
      <c r="AP141" s="542">
        <f>IF(Table_NFI[[#This Row],[Winter Clothes Adult]]+Table_NFI[[#This Row],[Winter Clothes Children]]+Table_NFI[[#This Row],[Winter Items Other]]+Table_NFI[[#This Row],[Winter Blanket]]&gt;0,1,0)</f>
        <v>1</v>
      </c>
      <c r="AQ141" s="542"/>
      <c r="AR141" s="542"/>
      <c r="AS141" s="542"/>
      <c r="AT141" s="205" t="str">
        <f>IFERROR(VLOOKUP(Table_NFI[[#This Row],[Location]],CL,2,0),"")</f>
        <v>MMR001CMP021</v>
      </c>
      <c r="AU141" s="183"/>
    </row>
    <row r="142" spans="2:47" ht="18.75" customHeight="1" x14ac:dyDescent="0.25">
      <c r="B142" s="552">
        <v>43096</v>
      </c>
      <c r="C142" s="552" t="str">
        <f>MONTH(Table_NFI[[#This Row],[Distribution Date]]) &amp; "/" &amp; YEAR(Table_NFI[[#This Row],[Distribution Date]])</f>
        <v>12/2017</v>
      </c>
      <c r="D142" s="198" t="s">
        <v>825</v>
      </c>
      <c r="E142" s="198"/>
      <c r="F142" s="198" t="s">
        <v>378</v>
      </c>
      <c r="G142" s="197" t="s">
        <v>237</v>
      </c>
      <c r="H142" s="198" t="s">
        <v>270</v>
      </c>
      <c r="I142" s="183"/>
      <c r="J142" s="541"/>
      <c r="K142" s="541"/>
      <c r="L142" s="541"/>
      <c r="M142" s="541"/>
      <c r="N142" s="541"/>
      <c r="O142" s="541"/>
      <c r="P142" s="541"/>
      <c r="Q142" s="541"/>
      <c r="R142" s="541"/>
      <c r="S142" s="541"/>
      <c r="T142" s="541"/>
      <c r="U142" s="541"/>
      <c r="V142" s="541"/>
      <c r="W142" s="541"/>
      <c r="X142" s="541">
        <v>60</v>
      </c>
      <c r="Y142" s="541"/>
      <c r="Z142" s="541"/>
      <c r="AA142" s="541"/>
      <c r="AB142" s="541"/>
      <c r="AC142" s="542"/>
      <c r="AD142" s="542"/>
      <c r="AE142" s="542"/>
      <c r="AF142" s="542"/>
      <c r="AG142" s="542"/>
      <c r="AH142" s="542"/>
      <c r="AI142" s="542"/>
      <c r="AJ142" s="542"/>
      <c r="AK142" s="542"/>
      <c r="AL142" s="542"/>
      <c r="AM142" s="542"/>
      <c r="AN142" s="542"/>
      <c r="AO142" s="542"/>
      <c r="AP142" s="542">
        <f>IF(Table_NFI[[#This Row],[Winter Clothes Adult]]+Table_NFI[[#This Row],[Winter Clothes Children]]+Table_NFI[[#This Row],[Winter Items Other]]+Table_NFI[[#This Row],[Winter Blanket]]&gt;0,1,0)</f>
        <v>1</v>
      </c>
      <c r="AQ142" s="542"/>
      <c r="AR142" s="542"/>
      <c r="AS142" s="542"/>
      <c r="AT142" s="205" t="str">
        <f>IFERROR(VLOOKUP(Table_NFI[[#This Row],[Location]],CL,2,0),"")</f>
        <v>MMR001CMP024</v>
      </c>
      <c r="AU142" s="183"/>
    </row>
    <row r="143" spans="2:47" ht="18.75" customHeight="1" x14ac:dyDescent="0.25">
      <c r="B143" s="552">
        <v>43096</v>
      </c>
      <c r="C143" s="552" t="str">
        <f>MONTH(Table_NFI[[#This Row],[Distribution Date]]) &amp; "/" &amp; YEAR(Table_NFI[[#This Row],[Distribution Date]])</f>
        <v>12/2017</v>
      </c>
      <c r="D143" s="198" t="s">
        <v>825</v>
      </c>
      <c r="E143" s="198"/>
      <c r="F143" s="198" t="s">
        <v>378</v>
      </c>
      <c r="G143" s="197" t="s">
        <v>237</v>
      </c>
      <c r="H143" s="198" t="s">
        <v>268</v>
      </c>
      <c r="I143" s="183"/>
      <c r="J143" s="541"/>
      <c r="K143" s="541"/>
      <c r="L143" s="541"/>
      <c r="M143" s="541"/>
      <c r="N143" s="541"/>
      <c r="O143" s="541"/>
      <c r="P143" s="541"/>
      <c r="Q143" s="541"/>
      <c r="R143" s="541"/>
      <c r="S143" s="541"/>
      <c r="T143" s="541"/>
      <c r="U143" s="541"/>
      <c r="V143" s="541"/>
      <c r="W143" s="541"/>
      <c r="X143" s="541">
        <v>66</v>
      </c>
      <c r="Y143" s="541"/>
      <c r="Z143" s="541"/>
      <c r="AA143" s="541"/>
      <c r="AB143" s="541"/>
      <c r="AC143" s="542"/>
      <c r="AD143" s="542"/>
      <c r="AE143" s="542"/>
      <c r="AF143" s="542"/>
      <c r="AG143" s="542"/>
      <c r="AH143" s="542"/>
      <c r="AI143" s="542"/>
      <c r="AJ143" s="542"/>
      <c r="AK143" s="542"/>
      <c r="AL143" s="542"/>
      <c r="AM143" s="542"/>
      <c r="AN143" s="542"/>
      <c r="AO143" s="542"/>
      <c r="AP143" s="542">
        <f>IF(Table_NFI[[#This Row],[Winter Clothes Adult]]+Table_NFI[[#This Row],[Winter Clothes Children]]+Table_NFI[[#This Row],[Winter Items Other]]+Table_NFI[[#This Row],[Winter Blanket]]&gt;0,1,0)</f>
        <v>1</v>
      </c>
      <c r="AQ143" s="542"/>
      <c r="AR143" s="542"/>
      <c r="AS143" s="542"/>
      <c r="AT143" s="205" t="str">
        <f>IFERROR(VLOOKUP(Table_NFI[[#This Row],[Location]],CL,2,0),"")</f>
        <v>MMR001CMP002</v>
      </c>
      <c r="AU143" s="183"/>
    </row>
    <row r="144" spans="2:47" ht="18.75" customHeight="1" x14ac:dyDescent="0.25">
      <c r="B144" s="552">
        <v>43096</v>
      </c>
      <c r="C144" s="552" t="str">
        <f>MONTH(Table_NFI[[#This Row],[Distribution Date]]) &amp; "/" &amp; YEAR(Table_NFI[[#This Row],[Distribution Date]])</f>
        <v>12/2017</v>
      </c>
      <c r="D144" s="198" t="s">
        <v>825</v>
      </c>
      <c r="E144" s="198"/>
      <c r="F144" s="198" t="s">
        <v>378</v>
      </c>
      <c r="G144" s="197" t="s">
        <v>237</v>
      </c>
      <c r="H144" s="198" t="s">
        <v>272</v>
      </c>
      <c r="I144" s="183"/>
      <c r="J144" s="541"/>
      <c r="K144" s="541"/>
      <c r="L144" s="541"/>
      <c r="M144" s="541"/>
      <c r="N144" s="541"/>
      <c r="O144" s="541"/>
      <c r="P144" s="541"/>
      <c r="Q144" s="541"/>
      <c r="R144" s="541"/>
      <c r="S144" s="541"/>
      <c r="T144" s="541"/>
      <c r="U144" s="541"/>
      <c r="V144" s="541"/>
      <c r="W144" s="541"/>
      <c r="X144" s="541">
        <v>46</v>
      </c>
      <c r="Y144" s="541"/>
      <c r="Z144" s="541"/>
      <c r="AA144" s="541"/>
      <c r="AB144" s="541"/>
      <c r="AC144" s="542"/>
      <c r="AD144" s="542"/>
      <c r="AE144" s="542"/>
      <c r="AF144" s="542"/>
      <c r="AG144" s="542"/>
      <c r="AH144" s="542"/>
      <c r="AI144" s="542"/>
      <c r="AJ144" s="542"/>
      <c r="AK144" s="542"/>
      <c r="AL144" s="542"/>
      <c r="AM144" s="542"/>
      <c r="AN144" s="542"/>
      <c r="AO144" s="542"/>
      <c r="AP144" s="542">
        <f>IF(Table_NFI[[#This Row],[Winter Clothes Adult]]+Table_NFI[[#This Row],[Winter Clothes Children]]+Table_NFI[[#This Row],[Winter Items Other]]+Table_NFI[[#This Row],[Winter Blanket]]&gt;0,1,0)</f>
        <v>1</v>
      </c>
      <c r="AQ144" s="542"/>
      <c r="AR144" s="542"/>
      <c r="AS144" s="542"/>
      <c r="AT144" s="205" t="str">
        <f>IFERROR(VLOOKUP(Table_NFI[[#This Row],[Location]],CL,2,0),"")</f>
        <v>MMR001CMP162</v>
      </c>
      <c r="AU144" s="183"/>
    </row>
    <row r="145" spans="2:47" ht="18.75" customHeight="1" x14ac:dyDescent="0.25">
      <c r="B145" s="552">
        <v>43096</v>
      </c>
      <c r="C145" s="552" t="str">
        <f>MONTH(Table_NFI[[#This Row],[Distribution Date]]) &amp; "/" &amp; YEAR(Table_NFI[[#This Row],[Distribution Date]])</f>
        <v>12/2017</v>
      </c>
      <c r="D145" s="198" t="s">
        <v>825</v>
      </c>
      <c r="E145" s="198"/>
      <c r="F145" s="198" t="s">
        <v>378</v>
      </c>
      <c r="G145" s="197" t="s">
        <v>237</v>
      </c>
      <c r="H145" s="198" t="s">
        <v>276</v>
      </c>
      <c r="I145" s="183"/>
      <c r="J145" s="541"/>
      <c r="K145" s="541"/>
      <c r="L145" s="541"/>
      <c r="M145" s="541"/>
      <c r="N145" s="541"/>
      <c r="O145" s="541"/>
      <c r="P145" s="541"/>
      <c r="Q145" s="541"/>
      <c r="R145" s="541"/>
      <c r="S145" s="541"/>
      <c r="T145" s="541"/>
      <c r="U145" s="541"/>
      <c r="V145" s="541"/>
      <c r="W145" s="541"/>
      <c r="X145" s="541">
        <v>119</v>
      </c>
      <c r="Y145" s="541"/>
      <c r="Z145" s="541"/>
      <c r="AA145" s="541"/>
      <c r="AB145" s="541"/>
      <c r="AC145" s="542"/>
      <c r="AD145" s="542"/>
      <c r="AE145" s="542"/>
      <c r="AF145" s="542"/>
      <c r="AG145" s="542"/>
      <c r="AH145" s="542"/>
      <c r="AI145" s="542"/>
      <c r="AJ145" s="542"/>
      <c r="AK145" s="542"/>
      <c r="AL145" s="542"/>
      <c r="AM145" s="542"/>
      <c r="AN145" s="542"/>
      <c r="AO145" s="542"/>
      <c r="AP145" s="542">
        <f>IF(Table_NFI[[#This Row],[Winter Clothes Adult]]+Table_NFI[[#This Row],[Winter Clothes Children]]+Table_NFI[[#This Row],[Winter Items Other]]+Table_NFI[[#This Row],[Winter Blanket]]&gt;0,1,0)</f>
        <v>1</v>
      </c>
      <c r="AQ145" s="542"/>
      <c r="AR145" s="542"/>
      <c r="AS145" s="542"/>
      <c r="AT145" s="205" t="str">
        <f>IFERROR(VLOOKUP(Table_NFI[[#This Row],[Location]],CL,2,0),"")</f>
        <v>MMR001CMP006</v>
      </c>
      <c r="AU145" s="183"/>
    </row>
    <row r="146" spans="2:47" ht="18.75" customHeight="1" x14ac:dyDescent="0.25">
      <c r="B146" s="552">
        <v>43096</v>
      </c>
      <c r="C146" s="552" t="str">
        <f>MONTH(Table_NFI[[#This Row],[Distribution Date]]) &amp; "/" &amp; YEAR(Table_NFI[[#This Row],[Distribution Date]])</f>
        <v>12/2017</v>
      </c>
      <c r="D146" s="198" t="s">
        <v>825</v>
      </c>
      <c r="E146" s="198"/>
      <c r="F146" s="198" t="s">
        <v>378</v>
      </c>
      <c r="G146" s="197" t="s">
        <v>237</v>
      </c>
      <c r="H146" s="198" t="s">
        <v>278</v>
      </c>
      <c r="I146" s="183"/>
      <c r="J146" s="541"/>
      <c r="K146" s="541"/>
      <c r="L146" s="541"/>
      <c r="M146" s="541"/>
      <c r="N146" s="541"/>
      <c r="O146" s="541"/>
      <c r="P146" s="541"/>
      <c r="Q146" s="541"/>
      <c r="R146" s="541"/>
      <c r="S146" s="541"/>
      <c r="T146" s="541"/>
      <c r="U146" s="541"/>
      <c r="V146" s="541"/>
      <c r="W146" s="541"/>
      <c r="X146" s="541">
        <v>23</v>
      </c>
      <c r="Y146" s="541"/>
      <c r="Z146" s="541"/>
      <c r="AA146" s="541"/>
      <c r="AB146" s="541"/>
      <c r="AC146" s="542"/>
      <c r="AD146" s="542"/>
      <c r="AE146" s="542"/>
      <c r="AF146" s="542"/>
      <c r="AG146" s="542"/>
      <c r="AH146" s="542"/>
      <c r="AI146" s="542"/>
      <c r="AJ146" s="542"/>
      <c r="AK146" s="542"/>
      <c r="AL146" s="542"/>
      <c r="AM146" s="542"/>
      <c r="AN146" s="542"/>
      <c r="AO146" s="542"/>
      <c r="AP146" s="542">
        <f>IF(Table_NFI[[#This Row],[Winter Clothes Adult]]+Table_NFI[[#This Row],[Winter Clothes Children]]+Table_NFI[[#This Row],[Winter Items Other]]+Table_NFI[[#This Row],[Winter Blanket]]&gt;0,1,0)</f>
        <v>1</v>
      </c>
      <c r="AQ146" s="542"/>
      <c r="AR146" s="542"/>
      <c r="AS146" s="542"/>
      <c r="AT146" s="205" t="str">
        <f>IFERROR(VLOOKUP(Table_NFI[[#This Row],[Location]],CL,2,0),"")</f>
        <v>MMR001CMP007</v>
      </c>
      <c r="AU146" s="183"/>
    </row>
    <row r="147" spans="2:47" ht="18.75" customHeight="1" x14ac:dyDescent="0.25">
      <c r="B147" s="552">
        <v>43096</v>
      </c>
      <c r="C147" s="552" t="str">
        <f>MONTH(Table_NFI[[#This Row],[Distribution Date]]) &amp; "/" &amp; YEAR(Table_NFI[[#This Row],[Distribution Date]])</f>
        <v>12/2017</v>
      </c>
      <c r="D147" s="198" t="s">
        <v>825</v>
      </c>
      <c r="E147" s="198"/>
      <c r="F147" s="198" t="s">
        <v>378</v>
      </c>
      <c r="G147" s="197" t="s">
        <v>237</v>
      </c>
      <c r="H147" s="198" t="s">
        <v>280</v>
      </c>
      <c r="I147" s="183"/>
      <c r="J147" s="541"/>
      <c r="K147" s="541"/>
      <c r="L147" s="541"/>
      <c r="M147" s="541"/>
      <c r="N147" s="541"/>
      <c r="O147" s="541"/>
      <c r="P147" s="541"/>
      <c r="Q147" s="541"/>
      <c r="R147" s="541"/>
      <c r="S147" s="541"/>
      <c r="T147" s="541"/>
      <c r="U147" s="541"/>
      <c r="V147" s="541"/>
      <c r="W147" s="541"/>
      <c r="X147" s="541">
        <v>91</v>
      </c>
      <c r="Y147" s="541"/>
      <c r="Z147" s="541"/>
      <c r="AA147" s="541"/>
      <c r="AB147" s="541"/>
      <c r="AC147" s="542"/>
      <c r="AD147" s="542"/>
      <c r="AE147" s="542"/>
      <c r="AF147" s="542"/>
      <c r="AG147" s="542"/>
      <c r="AH147" s="542"/>
      <c r="AI147" s="542"/>
      <c r="AJ147" s="542"/>
      <c r="AK147" s="542"/>
      <c r="AL147" s="542"/>
      <c r="AM147" s="542"/>
      <c r="AN147" s="542"/>
      <c r="AO147" s="542"/>
      <c r="AP147" s="542">
        <f>IF(Table_NFI[[#This Row],[Winter Clothes Adult]]+Table_NFI[[#This Row],[Winter Clothes Children]]+Table_NFI[[#This Row],[Winter Items Other]]+Table_NFI[[#This Row],[Winter Blanket]]&gt;0,1,0)</f>
        <v>1</v>
      </c>
      <c r="AQ147" s="542"/>
      <c r="AR147" s="542"/>
      <c r="AS147" s="542"/>
      <c r="AT147" s="205" t="str">
        <f>IFERROR(VLOOKUP(Table_NFI[[#This Row],[Location]],CL,2,0),"")</f>
        <v>MMR001CMP009</v>
      </c>
      <c r="AU147" s="183"/>
    </row>
    <row r="148" spans="2:47" ht="18.75" customHeight="1" x14ac:dyDescent="0.25">
      <c r="B148" s="552">
        <v>43096</v>
      </c>
      <c r="C148" s="552" t="str">
        <f>MONTH(Table_NFI[[#This Row],[Distribution Date]]) &amp; "/" &amp; YEAR(Table_NFI[[#This Row],[Distribution Date]])</f>
        <v>12/2017</v>
      </c>
      <c r="D148" s="198" t="s">
        <v>825</v>
      </c>
      <c r="E148" s="198"/>
      <c r="F148" s="198" t="s">
        <v>378</v>
      </c>
      <c r="G148" s="197" t="s">
        <v>237</v>
      </c>
      <c r="H148" s="198" t="s">
        <v>238</v>
      </c>
      <c r="I148" s="183"/>
      <c r="J148" s="541"/>
      <c r="K148" s="541"/>
      <c r="L148" s="541"/>
      <c r="M148" s="541"/>
      <c r="N148" s="541"/>
      <c r="O148" s="541"/>
      <c r="P148" s="541"/>
      <c r="Q148" s="541"/>
      <c r="R148" s="541"/>
      <c r="S148" s="541"/>
      <c r="T148" s="541"/>
      <c r="U148" s="541"/>
      <c r="V148" s="541"/>
      <c r="W148" s="541"/>
      <c r="X148" s="541">
        <v>69</v>
      </c>
      <c r="Y148" s="541"/>
      <c r="Z148" s="541"/>
      <c r="AA148" s="541"/>
      <c r="AB148" s="541"/>
      <c r="AC148" s="542"/>
      <c r="AD148" s="542"/>
      <c r="AE148" s="542"/>
      <c r="AF148" s="542"/>
      <c r="AG148" s="542"/>
      <c r="AH148" s="542"/>
      <c r="AI148" s="542"/>
      <c r="AJ148" s="542"/>
      <c r="AK148" s="542"/>
      <c r="AL148" s="542"/>
      <c r="AM148" s="542"/>
      <c r="AN148" s="542"/>
      <c r="AO148" s="542"/>
      <c r="AP148" s="542">
        <f>IF(Table_NFI[[#This Row],[Winter Clothes Adult]]+Table_NFI[[#This Row],[Winter Clothes Children]]+Table_NFI[[#This Row],[Winter Items Other]]+Table_NFI[[#This Row],[Winter Blanket]]&gt;0,1,0)</f>
        <v>1</v>
      </c>
      <c r="AQ148" s="542"/>
      <c r="AR148" s="542"/>
      <c r="AS148" s="542"/>
      <c r="AT148" s="205" t="str">
        <f>IFERROR(VLOOKUP(Table_NFI[[#This Row],[Location]],CL,2,0),"")</f>
        <v>MMR001CMP001</v>
      </c>
      <c r="AU148" s="183"/>
    </row>
    <row r="149" spans="2:47" ht="18.75" customHeight="1" x14ac:dyDescent="0.25">
      <c r="B149" s="552">
        <v>43096</v>
      </c>
      <c r="C149" s="552" t="str">
        <f>MONTH(Table_NFI[[#This Row],[Distribution Date]]) &amp; "/" &amp; YEAR(Table_NFI[[#This Row],[Distribution Date]])</f>
        <v>12/2017</v>
      </c>
      <c r="D149" s="198" t="s">
        <v>825</v>
      </c>
      <c r="E149" s="198"/>
      <c r="F149" s="198" t="s">
        <v>378</v>
      </c>
      <c r="G149" s="197" t="s">
        <v>237</v>
      </c>
      <c r="H149" s="198" t="s">
        <v>248</v>
      </c>
      <c r="I149" s="183"/>
      <c r="J149" s="541"/>
      <c r="K149" s="541"/>
      <c r="L149" s="541"/>
      <c r="M149" s="541"/>
      <c r="N149" s="541"/>
      <c r="O149" s="541"/>
      <c r="P149" s="541"/>
      <c r="Q149" s="541"/>
      <c r="R149" s="541"/>
      <c r="S149" s="541"/>
      <c r="T149" s="541"/>
      <c r="U149" s="541"/>
      <c r="V149" s="541"/>
      <c r="W149" s="541"/>
      <c r="X149" s="541">
        <v>7</v>
      </c>
      <c r="Y149" s="541"/>
      <c r="Z149" s="541"/>
      <c r="AA149" s="541"/>
      <c r="AB149" s="541"/>
      <c r="AC149" s="542"/>
      <c r="AD149" s="542"/>
      <c r="AE149" s="542"/>
      <c r="AF149" s="542"/>
      <c r="AG149" s="542"/>
      <c r="AH149" s="542"/>
      <c r="AI149" s="542"/>
      <c r="AJ149" s="542"/>
      <c r="AK149" s="542"/>
      <c r="AL149" s="542"/>
      <c r="AM149" s="542"/>
      <c r="AN149" s="542"/>
      <c r="AO149" s="542"/>
      <c r="AP149" s="542">
        <f>IF(Table_NFI[[#This Row],[Winter Clothes Adult]]+Table_NFI[[#This Row],[Winter Clothes Children]]+Table_NFI[[#This Row],[Winter Items Other]]+Table_NFI[[#This Row],[Winter Blanket]]&gt;0,1,0)</f>
        <v>1</v>
      </c>
      <c r="AQ149" s="542"/>
      <c r="AR149" s="542"/>
      <c r="AS149" s="542"/>
      <c r="AT149" s="205" t="str">
        <f>IFERROR(VLOOKUP(Table_NFI[[#This Row],[Location]],CL,2,0),"")</f>
        <v>MMR001CMP004</v>
      </c>
      <c r="AU149" s="183"/>
    </row>
    <row r="150" spans="2:47" ht="18.75" customHeight="1" x14ac:dyDescent="0.25">
      <c r="B150" s="552">
        <v>43096</v>
      </c>
      <c r="C150" s="552" t="str">
        <f>MONTH(Table_NFI[[#This Row],[Distribution Date]]) &amp; "/" &amp; YEAR(Table_NFI[[#This Row],[Distribution Date]])</f>
        <v>12/2017</v>
      </c>
      <c r="D150" s="198" t="s">
        <v>825</v>
      </c>
      <c r="E150" s="198"/>
      <c r="F150" s="198" t="s">
        <v>378</v>
      </c>
      <c r="G150" s="197" t="s">
        <v>237</v>
      </c>
      <c r="H150" s="198" t="s">
        <v>250</v>
      </c>
      <c r="I150" s="183"/>
      <c r="J150" s="541"/>
      <c r="K150" s="541"/>
      <c r="L150" s="541"/>
      <c r="M150" s="541"/>
      <c r="N150" s="541"/>
      <c r="O150" s="541"/>
      <c r="P150" s="541"/>
      <c r="Q150" s="541"/>
      <c r="R150" s="541"/>
      <c r="S150" s="541"/>
      <c r="T150" s="541"/>
      <c r="U150" s="541"/>
      <c r="V150" s="541"/>
      <c r="W150" s="541"/>
      <c r="X150" s="541">
        <v>30</v>
      </c>
      <c r="Y150" s="541"/>
      <c r="Z150" s="541"/>
      <c r="AA150" s="541"/>
      <c r="AB150" s="541"/>
      <c r="AC150" s="542"/>
      <c r="AD150" s="542"/>
      <c r="AE150" s="542"/>
      <c r="AF150" s="542"/>
      <c r="AG150" s="542"/>
      <c r="AH150" s="542"/>
      <c r="AI150" s="542"/>
      <c r="AJ150" s="542"/>
      <c r="AK150" s="542"/>
      <c r="AL150" s="542"/>
      <c r="AM150" s="542"/>
      <c r="AN150" s="542"/>
      <c r="AO150" s="542"/>
      <c r="AP150" s="542">
        <f>IF(Table_NFI[[#This Row],[Winter Clothes Adult]]+Table_NFI[[#This Row],[Winter Clothes Children]]+Table_NFI[[#This Row],[Winter Items Other]]+Table_NFI[[#This Row],[Winter Blanket]]&gt;0,1,0)</f>
        <v>1</v>
      </c>
      <c r="AQ150" s="542"/>
      <c r="AR150" s="542"/>
      <c r="AS150" s="542"/>
      <c r="AT150" s="205" t="str">
        <f>IFERROR(VLOOKUP(Table_NFI[[#This Row],[Location]],CL,2,0),"")</f>
        <v>MMR001CMP003</v>
      </c>
      <c r="AU150" s="183"/>
    </row>
    <row r="151" spans="2:47" ht="18.75" customHeight="1" x14ac:dyDescent="0.25">
      <c r="B151" s="552">
        <v>43096</v>
      </c>
      <c r="C151" s="552" t="str">
        <f>MONTH(Table_NFI[[#This Row],[Distribution Date]]) &amp; "/" &amp; YEAR(Table_NFI[[#This Row],[Distribution Date]])</f>
        <v>12/2017</v>
      </c>
      <c r="D151" s="198" t="s">
        <v>825</v>
      </c>
      <c r="E151" s="198"/>
      <c r="F151" s="198" t="s">
        <v>378</v>
      </c>
      <c r="G151" s="197" t="s">
        <v>237</v>
      </c>
      <c r="H151" s="198" t="s">
        <v>274</v>
      </c>
      <c r="I151" s="183"/>
      <c r="J151" s="541"/>
      <c r="K151" s="541"/>
      <c r="L151" s="541"/>
      <c r="M151" s="541"/>
      <c r="N151" s="541"/>
      <c r="O151" s="541"/>
      <c r="P151" s="541"/>
      <c r="Q151" s="541"/>
      <c r="R151" s="541"/>
      <c r="S151" s="541"/>
      <c r="T151" s="541"/>
      <c r="U151" s="541"/>
      <c r="V151" s="541"/>
      <c r="W151" s="541"/>
      <c r="X151" s="541">
        <v>46</v>
      </c>
      <c r="Y151" s="541"/>
      <c r="Z151" s="541"/>
      <c r="AA151" s="541"/>
      <c r="AB151" s="541"/>
      <c r="AC151" s="542"/>
      <c r="AD151" s="542"/>
      <c r="AE151" s="542"/>
      <c r="AF151" s="542"/>
      <c r="AG151" s="542"/>
      <c r="AH151" s="542"/>
      <c r="AI151" s="542"/>
      <c r="AJ151" s="542"/>
      <c r="AK151" s="542"/>
      <c r="AL151" s="542"/>
      <c r="AM151" s="542"/>
      <c r="AN151" s="542"/>
      <c r="AO151" s="542"/>
      <c r="AP151" s="542">
        <f>IF(Table_NFI[[#This Row],[Winter Clothes Adult]]+Table_NFI[[#This Row],[Winter Clothes Children]]+Table_NFI[[#This Row],[Winter Items Other]]+Table_NFI[[#This Row],[Winter Blanket]]&gt;0,1,0)</f>
        <v>1</v>
      </c>
      <c r="AQ151" s="542"/>
      <c r="AR151" s="542"/>
      <c r="AS151" s="542"/>
      <c r="AT151" s="205" t="str">
        <f>IFERROR(VLOOKUP(Table_NFI[[#This Row],[Location]],CL,2,0),"")</f>
        <v>MMR001CMP005</v>
      </c>
      <c r="AU151" s="183"/>
    </row>
    <row r="152" spans="2:47" ht="18.75" customHeight="1" x14ac:dyDescent="0.25">
      <c r="B152" s="552">
        <v>43096</v>
      </c>
      <c r="C152" s="552" t="str">
        <f>MONTH(Table_NFI[[#This Row],[Distribution Date]]) &amp; "/" &amp; YEAR(Table_NFI[[#This Row],[Distribution Date]])</f>
        <v>12/2017</v>
      </c>
      <c r="D152" s="198" t="s">
        <v>825</v>
      </c>
      <c r="E152" s="198"/>
      <c r="F152" s="198" t="s">
        <v>378</v>
      </c>
      <c r="G152" s="197" t="s">
        <v>237</v>
      </c>
      <c r="H152" s="198" t="s">
        <v>1030</v>
      </c>
      <c r="I152" s="183"/>
      <c r="J152" s="541"/>
      <c r="K152" s="541"/>
      <c r="L152" s="541"/>
      <c r="M152" s="541"/>
      <c r="N152" s="541"/>
      <c r="O152" s="541"/>
      <c r="P152" s="541"/>
      <c r="Q152" s="541"/>
      <c r="R152" s="541"/>
      <c r="S152" s="541"/>
      <c r="T152" s="541"/>
      <c r="U152" s="541"/>
      <c r="V152" s="541"/>
      <c r="W152" s="541"/>
      <c r="X152" s="541">
        <v>54</v>
      </c>
      <c r="Y152" s="541"/>
      <c r="Z152" s="541"/>
      <c r="AA152" s="541"/>
      <c r="AB152" s="541"/>
      <c r="AC152" s="542"/>
      <c r="AD152" s="542"/>
      <c r="AE152" s="542"/>
      <c r="AF152" s="542"/>
      <c r="AG152" s="542"/>
      <c r="AH152" s="542"/>
      <c r="AI152" s="542"/>
      <c r="AJ152" s="542"/>
      <c r="AK152" s="542"/>
      <c r="AL152" s="542"/>
      <c r="AM152" s="542"/>
      <c r="AN152" s="542"/>
      <c r="AO152" s="542"/>
      <c r="AP152" s="542">
        <f>IF(Table_NFI[[#This Row],[Winter Clothes Adult]]+Table_NFI[[#This Row],[Winter Clothes Children]]+Table_NFI[[#This Row],[Winter Items Other]]+Table_NFI[[#This Row],[Winter Blanket]]&gt;0,1,0)</f>
        <v>1</v>
      </c>
      <c r="AQ152" s="542"/>
      <c r="AR152" s="542"/>
      <c r="AS152" s="542"/>
      <c r="AT152" s="205" t="str">
        <f>IFERROR(VLOOKUP(Table_NFI[[#This Row],[Location]],CL,2,0),"")</f>
        <v>MMR001CMP023</v>
      </c>
      <c r="AU152" s="183"/>
    </row>
    <row r="153" spans="2:47" ht="18.75" customHeight="1" x14ac:dyDescent="0.25">
      <c r="B153" s="552">
        <v>43096</v>
      </c>
      <c r="C153" s="552" t="str">
        <f>MONTH(Table_NFI[[#This Row],[Distribution Date]]) &amp; "/" &amp; YEAR(Table_NFI[[#This Row],[Distribution Date]])</f>
        <v>12/2017</v>
      </c>
      <c r="D153" s="198" t="s">
        <v>825</v>
      </c>
      <c r="E153" s="198"/>
      <c r="F153" s="198" t="s">
        <v>378</v>
      </c>
      <c r="G153" s="197" t="s">
        <v>237</v>
      </c>
      <c r="H153" s="198" t="s">
        <v>1509</v>
      </c>
      <c r="I153" s="183"/>
      <c r="J153" s="541"/>
      <c r="K153" s="541"/>
      <c r="L153" s="541"/>
      <c r="M153" s="541"/>
      <c r="N153" s="541"/>
      <c r="O153" s="541"/>
      <c r="P153" s="541"/>
      <c r="Q153" s="541"/>
      <c r="R153" s="541"/>
      <c r="S153" s="541"/>
      <c r="T153" s="541"/>
      <c r="U153" s="541"/>
      <c r="V153" s="541"/>
      <c r="W153" s="541"/>
      <c r="X153" s="541">
        <v>20</v>
      </c>
      <c r="Y153" s="541"/>
      <c r="Z153" s="541"/>
      <c r="AA153" s="541"/>
      <c r="AB153" s="541"/>
      <c r="AC153" s="542"/>
      <c r="AD153" s="542"/>
      <c r="AE153" s="542"/>
      <c r="AF153" s="542"/>
      <c r="AG153" s="542"/>
      <c r="AH153" s="542"/>
      <c r="AI153" s="542"/>
      <c r="AJ153" s="542"/>
      <c r="AK153" s="542"/>
      <c r="AL153" s="542"/>
      <c r="AM153" s="542"/>
      <c r="AN153" s="542"/>
      <c r="AO153" s="542"/>
      <c r="AP153" s="542">
        <f>IF(Table_NFI[[#This Row],[Winter Clothes Adult]]+Table_NFI[[#This Row],[Winter Clothes Children]]+Table_NFI[[#This Row],[Winter Items Other]]+Table_NFI[[#This Row],[Winter Blanket]]&gt;0,1,0)</f>
        <v>1</v>
      </c>
      <c r="AQ153" s="542"/>
      <c r="AR153" s="542"/>
      <c r="AS153" s="542"/>
      <c r="AT153" s="205" t="str">
        <f>IFERROR(VLOOKUP(Table_NFI[[#This Row],[Location]],CL,2,0),"")</f>
        <v>MMR001CMP010</v>
      </c>
      <c r="AU153" s="183"/>
    </row>
    <row r="154" spans="2:47" ht="18.75" customHeight="1" x14ac:dyDescent="0.25">
      <c r="B154" s="552">
        <v>43096</v>
      </c>
      <c r="C154" s="552" t="str">
        <f>MONTH(Table_NFI[[#This Row],[Distribution Date]]) &amp; "/" &amp; YEAR(Table_NFI[[#This Row],[Distribution Date]])</f>
        <v>12/2017</v>
      </c>
      <c r="D154" s="198" t="s">
        <v>825</v>
      </c>
      <c r="E154" s="198"/>
      <c r="F154" s="198" t="s">
        <v>378</v>
      </c>
      <c r="G154" s="197" t="s">
        <v>180</v>
      </c>
      <c r="H154" s="198" t="s">
        <v>286</v>
      </c>
      <c r="I154" s="183"/>
      <c r="J154" s="541"/>
      <c r="K154" s="541"/>
      <c r="L154" s="541"/>
      <c r="M154" s="541"/>
      <c r="N154" s="541"/>
      <c r="O154" s="541"/>
      <c r="P154" s="541"/>
      <c r="Q154" s="541"/>
      <c r="R154" s="541"/>
      <c r="S154" s="541"/>
      <c r="T154" s="541"/>
      <c r="U154" s="541"/>
      <c r="V154" s="541"/>
      <c r="W154" s="541"/>
      <c r="X154" s="541">
        <v>23</v>
      </c>
      <c r="Y154" s="541"/>
      <c r="Z154" s="541"/>
      <c r="AA154" s="541"/>
      <c r="AB154" s="541"/>
      <c r="AC154" s="542"/>
      <c r="AD154" s="542"/>
      <c r="AE154" s="542"/>
      <c r="AF154" s="542"/>
      <c r="AG154" s="542"/>
      <c r="AH154" s="542"/>
      <c r="AI154" s="542"/>
      <c r="AJ154" s="542"/>
      <c r="AK154" s="542"/>
      <c r="AL154" s="542"/>
      <c r="AM154" s="542"/>
      <c r="AN154" s="542"/>
      <c r="AO154" s="542"/>
      <c r="AP154" s="542">
        <f>IF(Table_NFI[[#This Row],[Winter Clothes Adult]]+Table_NFI[[#This Row],[Winter Clothes Children]]+Table_NFI[[#This Row],[Winter Items Other]]+Table_NFI[[#This Row],[Winter Blanket]]&gt;0,1,0)</f>
        <v>1</v>
      </c>
      <c r="AQ154" s="542"/>
      <c r="AR154" s="542"/>
      <c r="AS154" s="542"/>
      <c r="AT154" s="205" t="str">
        <f>IFERROR(VLOOKUP(Table_NFI[[#This Row],[Location]],CL,2,0),"")</f>
        <v>MMR001CMP152</v>
      </c>
      <c r="AU154" s="183"/>
    </row>
    <row r="155" spans="2:47" ht="18.75" customHeight="1" x14ac:dyDescent="0.25">
      <c r="B155" s="552">
        <v>43096</v>
      </c>
      <c r="C155" s="552" t="str">
        <f>MONTH(Table_NFI[[#This Row],[Distribution Date]]) &amp; "/" &amp; YEAR(Table_NFI[[#This Row],[Distribution Date]])</f>
        <v>12/2017</v>
      </c>
      <c r="D155" s="198" t="s">
        <v>825</v>
      </c>
      <c r="E155" s="198"/>
      <c r="F155" s="198" t="s">
        <v>378</v>
      </c>
      <c r="G155" s="197" t="s">
        <v>180</v>
      </c>
      <c r="H155" s="198" t="s">
        <v>181</v>
      </c>
      <c r="I155" s="183"/>
      <c r="J155" s="541"/>
      <c r="K155" s="541"/>
      <c r="L155" s="541"/>
      <c r="M155" s="541"/>
      <c r="N155" s="541"/>
      <c r="O155" s="541"/>
      <c r="P155" s="541"/>
      <c r="Q155" s="541"/>
      <c r="R155" s="541"/>
      <c r="S155" s="541"/>
      <c r="T155" s="541"/>
      <c r="U155" s="541"/>
      <c r="V155" s="541"/>
      <c r="W155" s="541"/>
      <c r="X155" s="541">
        <v>11</v>
      </c>
      <c r="Y155" s="541"/>
      <c r="Z155" s="541"/>
      <c r="AA155" s="541"/>
      <c r="AB155" s="541"/>
      <c r="AC155" s="542"/>
      <c r="AD155" s="542"/>
      <c r="AE155" s="542"/>
      <c r="AF155" s="542"/>
      <c r="AG155" s="542"/>
      <c r="AH155" s="542"/>
      <c r="AI155" s="542"/>
      <c r="AJ155" s="542"/>
      <c r="AK155" s="542"/>
      <c r="AL155" s="542"/>
      <c r="AM155" s="542"/>
      <c r="AN155" s="542"/>
      <c r="AO155" s="542"/>
      <c r="AP155" s="542">
        <f>IF(Table_NFI[[#This Row],[Winter Clothes Adult]]+Table_NFI[[#This Row],[Winter Clothes Children]]+Table_NFI[[#This Row],[Winter Items Other]]+Table_NFI[[#This Row],[Winter Blanket]]&gt;0,1,0)</f>
        <v>1</v>
      </c>
      <c r="AQ155" s="542"/>
      <c r="AR155" s="542"/>
      <c r="AS155" s="542"/>
      <c r="AT155" s="205" t="str">
        <f>IFERROR(VLOOKUP(Table_NFI[[#This Row],[Location]],CL,2,0),"")</f>
        <v>MMR001CMP080</v>
      </c>
      <c r="AU155" s="183"/>
    </row>
    <row r="156" spans="2:47" ht="18.75" customHeight="1" x14ac:dyDescent="0.25">
      <c r="B156" s="552">
        <v>43096</v>
      </c>
      <c r="C156" s="552" t="str">
        <f>MONTH(Table_NFI[[#This Row],[Distribution Date]]) &amp; "/" &amp; YEAR(Table_NFI[[#This Row],[Distribution Date]])</f>
        <v>12/2017</v>
      </c>
      <c r="D156" s="198" t="s">
        <v>825</v>
      </c>
      <c r="E156" s="198"/>
      <c r="F156" s="198" t="s">
        <v>378</v>
      </c>
      <c r="G156" s="197" t="s">
        <v>180</v>
      </c>
      <c r="H156" s="198" t="s">
        <v>1559</v>
      </c>
      <c r="I156" s="183"/>
      <c r="J156" s="541"/>
      <c r="K156" s="541"/>
      <c r="L156" s="541"/>
      <c r="M156" s="541"/>
      <c r="N156" s="541"/>
      <c r="O156" s="541"/>
      <c r="P156" s="541"/>
      <c r="Q156" s="541"/>
      <c r="R156" s="541"/>
      <c r="S156" s="541"/>
      <c r="T156" s="541"/>
      <c r="U156" s="541"/>
      <c r="V156" s="541"/>
      <c r="W156" s="541"/>
      <c r="X156" s="541">
        <v>54</v>
      </c>
      <c r="Y156" s="541"/>
      <c r="Z156" s="541"/>
      <c r="AA156" s="541"/>
      <c r="AB156" s="541"/>
      <c r="AC156" s="542"/>
      <c r="AD156" s="542"/>
      <c r="AE156" s="542"/>
      <c r="AF156" s="542"/>
      <c r="AG156" s="542"/>
      <c r="AH156" s="542"/>
      <c r="AI156" s="542"/>
      <c r="AJ156" s="542"/>
      <c r="AK156" s="542"/>
      <c r="AL156" s="542"/>
      <c r="AM156" s="542"/>
      <c r="AN156" s="542"/>
      <c r="AO156" s="542"/>
      <c r="AP156" s="542">
        <f>IF(Table_NFI[[#This Row],[Winter Clothes Adult]]+Table_NFI[[#This Row],[Winter Clothes Children]]+Table_NFI[[#This Row],[Winter Items Other]]+Table_NFI[[#This Row],[Winter Blanket]]&gt;0,1,0)</f>
        <v>1</v>
      </c>
      <c r="AQ156" s="542"/>
      <c r="AR156" s="542"/>
      <c r="AS156" s="542"/>
      <c r="AT156" s="205" t="str">
        <f>IFERROR(VLOOKUP(Table_NFI[[#This Row],[Location]],CL,2,0),"")</f>
        <v/>
      </c>
      <c r="AU156" s="183"/>
    </row>
    <row r="157" spans="2:47" ht="18.75" customHeight="1" x14ac:dyDescent="0.25">
      <c r="B157" s="552">
        <v>43096</v>
      </c>
      <c r="C157" s="552" t="str">
        <f>MONTH(Table_NFI[[#This Row],[Distribution Date]]) &amp; "/" &amp; YEAR(Table_NFI[[#This Row],[Distribution Date]])</f>
        <v>12/2017</v>
      </c>
      <c r="D157" s="198" t="s">
        <v>825</v>
      </c>
      <c r="E157" s="198" t="s">
        <v>1560</v>
      </c>
      <c r="F157" s="198" t="s">
        <v>378</v>
      </c>
      <c r="G157" s="197" t="s">
        <v>301</v>
      </c>
      <c r="H157" s="198" t="s">
        <v>305</v>
      </c>
      <c r="I157" s="183"/>
      <c r="J157" s="541"/>
      <c r="K157" s="541"/>
      <c r="L157" s="541"/>
      <c r="M157" s="541"/>
      <c r="N157" s="541"/>
      <c r="O157" s="541"/>
      <c r="P157" s="541"/>
      <c r="Q157" s="541"/>
      <c r="R157" s="541"/>
      <c r="S157" s="541"/>
      <c r="T157" s="541"/>
      <c r="U157" s="541">
        <v>344</v>
      </c>
      <c r="V157" s="541">
        <v>602</v>
      </c>
      <c r="W157" s="541">
        <v>1032</v>
      </c>
      <c r="X157" s="541">
        <v>172</v>
      </c>
      <c r="Y157" s="541"/>
      <c r="Z157" s="541"/>
      <c r="AA157" s="541"/>
      <c r="AB157" s="541"/>
      <c r="AC157" s="542"/>
      <c r="AD157" s="542"/>
      <c r="AE157" s="542"/>
      <c r="AF157" s="542"/>
      <c r="AG157" s="542"/>
      <c r="AH157" s="542"/>
      <c r="AI157" s="542"/>
      <c r="AJ157" s="542"/>
      <c r="AK157" s="542"/>
      <c r="AL157" s="542"/>
      <c r="AM157" s="542"/>
      <c r="AN157" s="542"/>
      <c r="AO157" s="542"/>
      <c r="AP157" s="542">
        <f>IF(Table_NFI[[#This Row],[Winter Clothes Adult]]+Table_NFI[[#This Row],[Winter Clothes Children]]+Table_NFI[[#This Row],[Winter Items Other]]+Table_NFI[[#This Row],[Winter Blanket]]&gt;0,1,0)</f>
        <v>1</v>
      </c>
      <c r="AQ157" s="542"/>
      <c r="AR157" s="542"/>
      <c r="AS157" s="542"/>
      <c r="AT157" s="205" t="str">
        <f>IFERROR(VLOOKUP(Table_NFI[[#This Row],[Location]],CL,2,0),"")</f>
        <v>MMR001CMP067</v>
      </c>
      <c r="AU157" s="183"/>
    </row>
    <row r="158" spans="2:47" ht="18.75" customHeight="1" x14ac:dyDescent="0.25">
      <c r="B158" s="552">
        <v>43096</v>
      </c>
      <c r="C158" s="552" t="str">
        <f>MONTH(Table_NFI[[#This Row],[Distribution Date]]) &amp; "/" &amp; YEAR(Table_NFI[[#This Row],[Distribution Date]])</f>
        <v>12/2017</v>
      </c>
      <c r="D158" s="198" t="s">
        <v>825</v>
      </c>
      <c r="E158" s="198" t="s">
        <v>1560</v>
      </c>
      <c r="F158" s="198" t="s">
        <v>378</v>
      </c>
      <c r="G158" s="197" t="s">
        <v>301</v>
      </c>
      <c r="H158" s="198" t="s">
        <v>307</v>
      </c>
      <c r="I158" s="183"/>
      <c r="J158" s="541"/>
      <c r="K158" s="541"/>
      <c r="L158" s="541"/>
      <c r="M158" s="541"/>
      <c r="N158" s="541"/>
      <c r="O158" s="541"/>
      <c r="P158" s="541"/>
      <c r="Q158" s="541"/>
      <c r="R158" s="541"/>
      <c r="S158" s="541"/>
      <c r="T158" s="541"/>
      <c r="U158" s="541">
        <v>212</v>
      </c>
      <c r="V158" s="541">
        <v>371</v>
      </c>
      <c r="W158" s="541">
        <v>636</v>
      </c>
      <c r="X158" s="541">
        <v>106</v>
      </c>
      <c r="Y158" s="541"/>
      <c r="Z158" s="541"/>
      <c r="AA158" s="541"/>
      <c r="AB158" s="541"/>
      <c r="AC158" s="542"/>
      <c r="AD158" s="542"/>
      <c r="AE158" s="542"/>
      <c r="AF158" s="542"/>
      <c r="AG158" s="542"/>
      <c r="AH158" s="542"/>
      <c r="AI158" s="542"/>
      <c r="AJ158" s="542"/>
      <c r="AK158" s="542"/>
      <c r="AL158" s="542"/>
      <c r="AM158" s="542"/>
      <c r="AN158" s="542"/>
      <c r="AO158" s="542"/>
      <c r="AP158" s="542">
        <f>IF(Table_NFI[[#This Row],[Winter Clothes Adult]]+Table_NFI[[#This Row],[Winter Clothes Children]]+Table_NFI[[#This Row],[Winter Items Other]]+Table_NFI[[#This Row],[Winter Blanket]]&gt;0,1,0)</f>
        <v>1</v>
      </c>
      <c r="AQ158" s="542"/>
      <c r="AR158" s="542"/>
      <c r="AS158" s="542"/>
      <c r="AT158" s="205" t="str">
        <f>IFERROR(VLOOKUP(Table_NFI[[#This Row],[Location]],CL,2,0),"")</f>
        <v>MMR001CMP068</v>
      </c>
      <c r="AU158" s="183"/>
    </row>
    <row r="159" spans="2:47" ht="18.75" customHeight="1" x14ac:dyDescent="0.25">
      <c r="B159" s="552">
        <v>43096</v>
      </c>
      <c r="C159" s="552" t="str">
        <f>MONTH(Table_NFI[[#This Row],[Distribution Date]]) &amp; "/" &amp; YEAR(Table_NFI[[#This Row],[Distribution Date]])</f>
        <v>12/2017</v>
      </c>
      <c r="D159" s="198" t="s">
        <v>1464</v>
      </c>
      <c r="E159" s="198" t="s">
        <v>1580</v>
      </c>
      <c r="F159" s="198" t="s">
        <v>506</v>
      </c>
      <c r="G159" s="197" t="s">
        <v>288</v>
      </c>
      <c r="H159" s="198" t="s">
        <v>291</v>
      </c>
      <c r="I159" s="183"/>
      <c r="J159" s="541"/>
      <c r="K159" s="541">
        <v>7</v>
      </c>
      <c r="L159" s="541"/>
      <c r="M159" s="541"/>
      <c r="N159" s="541"/>
      <c r="O159" s="541"/>
      <c r="P159" s="541"/>
      <c r="Q159" s="541"/>
      <c r="R159" s="541"/>
      <c r="S159" s="541"/>
      <c r="T159" s="541"/>
      <c r="U159" s="541"/>
      <c r="V159" s="541"/>
      <c r="W159" s="541"/>
      <c r="X159" s="541"/>
      <c r="Y159" s="541"/>
      <c r="Z159" s="541"/>
      <c r="AA159" s="541"/>
      <c r="AB159" s="541"/>
      <c r="AC159" s="542"/>
      <c r="AD159" s="542"/>
      <c r="AE159" s="542"/>
      <c r="AF159" s="542"/>
      <c r="AG159" s="542"/>
      <c r="AH159" s="542"/>
      <c r="AI159" s="542"/>
      <c r="AJ159" s="542"/>
      <c r="AK159" s="542"/>
      <c r="AL159" s="542"/>
      <c r="AM159" s="542"/>
      <c r="AN159" s="542"/>
      <c r="AO159" s="542"/>
      <c r="AP159" s="542">
        <f>IF(Table_NFI[[#This Row],[Winter Clothes Adult]]+Table_NFI[[#This Row],[Winter Clothes Children]]+Table_NFI[[#This Row],[Winter Items Other]]+Table_NFI[[#This Row],[Winter Blanket]]&gt;0,1,0)</f>
        <v>0</v>
      </c>
      <c r="AQ159" s="542"/>
      <c r="AR159" s="542"/>
      <c r="AS159" s="542"/>
      <c r="AT159" s="205" t="str">
        <f>IFERROR(VLOOKUP(Table_NFI[[#This Row],[Location]],CL,2,0),"")</f>
        <v>MMR015CMP004</v>
      </c>
      <c r="AU159" s="183"/>
    </row>
    <row r="160" spans="2:47" ht="18.75" customHeight="1" x14ac:dyDescent="0.25">
      <c r="B160" s="540">
        <v>43098</v>
      </c>
      <c r="C160" s="540" t="str">
        <f>MONTH(Table_NFI[[#This Row],[Distribution Date]]) &amp; "/" &amp; YEAR(Table_NFI[[#This Row],[Distribution Date]])</f>
        <v>12/2017</v>
      </c>
      <c r="D160" s="198" t="s">
        <v>1564</v>
      </c>
      <c r="E160" s="198" t="s">
        <v>1564</v>
      </c>
      <c r="F160" s="198" t="s">
        <v>506</v>
      </c>
      <c r="G160" s="197" t="s">
        <v>288</v>
      </c>
      <c r="H160" s="198" t="s">
        <v>916</v>
      </c>
      <c r="I160" s="183"/>
      <c r="J160" s="541"/>
      <c r="K160" s="541"/>
      <c r="L160" s="541"/>
      <c r="M160" s="541"/>
      <c r="N160" s="541"/>
      <c r="O160" s="541"/>
      <c r="P160" s="541"/>
      <c r="Q160" s="541"/>
      <c r="R160" s="541"/>
      <c r="S160" s="541"/>
      <c r="T160" s="541"/>
      <c r="U160" s="541"/>
      <c r="V160" s="541"/>
      <c r="W160" s="541">
        <v>15</v>
      </c>
      <c r="X160" s="541"/>
      <c r="Y160" s="541"/>
      <c r="Z160" s="541"/>
      <c r="AA160" s="541"/>
      <c r="AB160" s="541"/>
      <c r="AC160" s="542"/>
      <c r="AD160" s="542"/>
      <c r="AE160" s="542"/>
      <c r="AF160" s="542"/>
      <c r="AG160" s="542"/>
      <c r="AH160" s="542"/>
      <c r="AI160" s="542"/>
      <c r="AJ160" s="542"/>
      <c r="AK160" s="542"/>
      <c r="AL160" s="542"/>
      <c r="AM160" s="542"/>
      <c r="AN160" s="542"/>
      <c r="AO160" s="542"/>
      <c r="AP160" s="542">
        <f>IF(Table_NFI[[#This Row],[Winter Clothes Adult]]+Table_NFI[[#This Row],[Winter Clothes Children]]+Table_NFI[[#This Row],[Winter Items Other]]+Table_NFI[[#This Row],[Winter Blanket]]&gt;0,1,0)</f>
        <v>1</v>
      </c>
      <c r="AQ160" s="542"/>
      <c r="AR160" s="542"/>
      <c r="AS160" s="542"/>
      <c r="AT160" s="205" t="str">
        <f>IFERROR(VLOOKUP(Table_NFI[[#This Row],[Location]],CL,2,0),"")</f>
        <v>MMR015CMP215</v>
      </c>
      <c r="AU160" s="183"/>
    </row>
    <row r="161" spans="2:47" ht="18.75" customHeight="1" x14ac:dyDescent="0.25">
      <c r="B161" s="540">
        <v>43098</v>
      </c>
      <c r="C161" s="540" t="str">
        <f>MONTH(Table_NFI[[#This Row],[Distribution Date]]) &amp; "/" &amp; YEAR(Table_NFI[[#This Row],[Distribution Date]])</f>
        <v>12/2017</v>
      </c>
      <c r="D161" s="198" t="s">
        <v>1564</v>
      </c>
      <c r="E161" s="198" t="s">
        <v>1564</v>
      </c>
      <c r="F161" s="198" t="s">
        <v>506</v>
      </c>
      <c r="G161" s="197" t="s">
        <v>288</v>
      </c>
      <c r="H161" s="198" t="s">
        <v>291</v>
      </c>
      <c r="I161" s="183"/>
      <c r="J161" s="541"/>
      <c r="K161" s="541"/>
      <c r="L161" s="541"/>
      <c r="M161" s="541"/>
      <c r="N161" s="541"/>
      <c r="O161" s="541"/>
      <c r="P161" s="541"/>
      <c r="Q161" s="541"/>
      <c r="R161" s="541"/>
      <c r="S161" s="541"/>
      <c r="T161" s="541"/>
      <c r="U161" s="541"/>
      <c r="V161" s="541"/>
      <c r="W161" s="541">
        <v>8</v>
      </c>
      <c r="X161" s="541"/>
      <c r="Y161" s="541"/>
      <c r="Z161" s="541"/>
      <c r="AA161" s="541"/>
      <c r="AB161" s="541"/>
      <c r="AC161" s="542"/>
      <c r="AD161" s="542"/>
      <c r="AE161" s="542"/>
      <c r="AF161" s="542"/>
      <c r="AG161" s="542"/>
      <c r="AH161" s="542"/>
      <c r="AI161" s="542"/>
      <c r="AJ161" s="542"/>
      <c r="AK161" s="542"/>
      <c r="AL161" s="542"/>
      <c r="AM161" s="542"/>
      <c r="AN161" s="542"/>
      <c r="AO161" s="542"/>
      <c r="AP161" s="542">
        <f>IF(Table_NFI[[#This Row],[Winter Clothes Adult]]+Table_NFI[[#This Row],[Winter Clothes Children]]+Table_NFI[[#This Row],[Winter Items Other]]+Table_NFI[[#This Row],[Winter Blanket]]&gt;0,1,0)</f>
        <v>1</v>
      </c>
      <c r="AQ161" s="542"/>
      <c r="AR161" s="542"/>
      <c r="AS161" s="542"/>
      <c r="AT161" s="205" t="str">
        <f>IFERROR(VLOOKUP(Table_NFI[[#This Row],[Location]],CL,2,0),"")</f>
        <v>MMR015CMP004</v>
      </c>
      <c r="AU161" s="183"/>
    </row>
    <row r="162" spans="2:47" ht="18.75" customHeight="1" x14ac:dyDescent="0.25">
      <c r="B162" s="540">
        <v>43098</v>
      </c>
      <c r="C162" s="540" t="str">
        <f>MONTH(Table_NFI[[#This Row],[Distribution Date]]) &amp; "/" &amp; YEAR(Table_NFI[[#This Row],[Distribution Date]])</f>
        <v>12/2017</v>
      </c>
      <c r="D162" s="198" t="s">
        <v>1564</v>
      </c>
      <c r="E162" s="198" t="s">
        <v>1564</v>
      </c>
      <c r="F162" s="198" t="s">
        <v>506</v>
      </c>
      <c r="G162" s="197" t="s">
        <v>288</v>
      </c>
      <c r="H162" s="198" t="s">
        <v>372</v>
      </c>
      <c r="I162" s="183"/>
      <c r="J162" s="541"/>
      <c r="K162" s="541"/>
      <c r="L162" s="541"/>
      <c r="M162" s="541"/>
      <c r="N162" s="541"/>
      <c r="O162" s="541"/>
      <c r="P162" s="541"/>
      <c r="Q162" s="541"/>
      <c r="R162" s="541"/>
      <c r="S162" s="541"/>
      <c r="T162" s="541"/>
      <c r="U162" s="541"/>
      <c r="V162" s="541"/>
      <c r="W162" s="541">
        <v>1</v>
      </c>
      <c r="X162" s="541"/>
      <c r="Y162" s="541"/>
      <c r="Z162" s="541"/>
      <c r="AA162" s="541"/>
      <c r="AB162" s="541"/>
      <c r="AC162" s="542"/>
      <c r="AD162" s="542"/>
      <c r="AE162" s="542"/>
      <c r="AF162" s="542"/>
      <c r="AG162" s="542"/>
      <c r="AH162" s="542"/>
      <c r="AI162" s="542"/>
      <c r="AJ162" s="542"/>
      <c r="AK162" s="542"/>
      <c r="AL162" s="542"/>
      <c r="AM162" s="542"/>
      <c r="AN162" s="542"/>
      <c r="AO162" s="542"/>
      <c r="AP162" s="542">
        <f>IF(Table_NFI[[#This Row],[Winter Clothes Adult]]+Table_NFI[[#This Row],[Winter Clothes Children]]+Table_NFI[[#This Row],[Winter Items Other]]+Table_NFI[[#This Row],[Winter Blanket]]&gt;0,1,0)</f>
        <v>1</v>
      </c>
      <c r="AQ162" s="542"/>
      <c r="AR162" s="542"/>
      <c r="AS162" s="542"/>
      <c r="AT162" s="205" t="str">
        <f>IFERROR(VLOOKUP(Table_NFI[[#This Row],[Location]],CL,2,0),"")</f>
        <v>MMR015CMP003</v>
      </c>
      <c r="AU162" s="183"/>
    </row>
    <row r="163" spans="2:47" ht="18.75" customHeight="1" x14ac:dyDescent="0.25">
      <c r="B163" s="552">
        <v>43098</v>
      </c>
      <c r="C163" s="552" t="str">
        <f>MONTH(Table_NFI[[#This Row],[Distribution Date]]) &amp; "/" &amp; YEAR(Table_NFI[[#This Row],[Distribution Date]])</f>
        <v>12/2017</v>
      </c>
      <c r="D163" s="219" t="s">
        <v>1552</v>
      </c>
      <c r="E163" s="219" t="s">
        <v>1552</v>
      </c>
      <c r="F163" s="219" t="s">
        <v>378</v>
      </c>
      <c r="G163" s="197" t="s">
        <v>151</v>
      </c>
      <c r="H163" s="198" t="s">
        <v>154</v>
      </c>
      <c r="I163" s="183"/>
      <c r="J163" s="541"/>
      <c r="K163" s="541"/>
      <c r="L163" s="541">
        <v>11</v>
      </c>
      <c r="M163" s="541"/>
      <c r="N163" s="541"/>
      <c r="O163" s="541"/>
      <c r="P163" s="541"/>
      <c r="Q163" s="541"/>
      <c r="R163" s="541"/>
      <c r="S163" s="541"/>
      <c r="T163" s="541"/>
      <c r="U163" s="541"/>
      <c r="V163" s="541"/>
      <c r="W163" s="541"/>
      <c r="X163" s="541"/>
      <c r="Y163" s="541"/>
      <c r="Z163" s="541"/>
      <c r="AA163" s="541"/>
      <c r="AB163" s="541"/>
      <c r="AC163" s="542"/>
      <c r="AD163" s="542"/>
      <c r="AE163" s="542"/>
      <c r="AF163" s="542"/>
      <c r="AG163" s="542"/>
      <c r="AH163" s="542"/>
      <c r="AI163" s="542"/>
      <c r="AJ163" s="542"/>
      <c r="AK163" s="542"/>
      <c r="AL163" s="542"/>
      <c r="AM163" s="542"/>
      <c r="AN163" s="542"/>
      <c r="AO163" s="542"/>
      <c r="AP163" s="542">
        <f>IF(Table_NFI[[#This Row],[Winter Clothes Adult]]+Table_NFI[[#This Row],[Winter Clothes Children]]+Table_NFI[[#This Row],[Winter Items Other]]+Table_NFI[[#This Row],[Winter Blanket]]&gt;0,1,0)</f>
        <v>0</v>
      </c>
      <c r="AQ163" s="542"/>
      <c r="AR163" s="542"/>
      <c r="AS163" s="542"/>
      <c r="AT163" s="205" t="str">
        <f>IFERROR(VLOOKUP(Table_NFI[[#This Row],[Location]],CL,2,0),"")</f>
        <v>MMR001CMP132</v>
      </c>
      <c r="AU163" s="183" t="s">
        <v>1556</v>
      </c>
    </row>
    <row r="164" spans="2:47" ht="18.75" customHeight="1" x14ac:dyDescent="0.25">
      <c r="B164" s="552">
        <v>43098</v>
      </c>
      <c r="C164" s="552" t="str">
        <f>MONTH(Table_NFI[[#This Row],[Distribution Date]]) &amp; "/" &amp; YEAR(Table_NFI[[#This Row],[Distribution Date]])</f>
        <v>12/2017</v>
      </c>
      <c r="D164" s="219" t="s">
        <v>1552</v>
      </c>
      <c r="E164" s="219" t="s">
        <v>1552</v>
      </c>
      <c r="F164" s="219" t="s">
        <v>378</v>
      </c>
      <c r="G164" s="197" t="s">
        <v>151</v>
      </c>
      <c r="H164" s="198" t="s">
        <v>910</v>
      </c>
      <c r="I164" s="183"/>
      <c r="J164" s="541"/>
      <c r="K164" s="541"/>
      <c r="L164" s="541">
        <v>3</v>
      </c>
      <c r="M164" s="541"/>
      <c r="N164" s="541"/>
      <c r="O164" s="541"/>
      <c r="P164" s="541"/>
      <c r="Q164" s="541"/>
      <c r="R164" s="541"/>
      <c r="S164" s="541"/>
      <c r="T164" s="541"/>
      <c r="U164" s="541"/>
      <c r="V164" s="541"/>
      <c r="W164" s="541"/>
      <c r="X164" s="541"/>
      <c r="Y164" s="541"/>
      <c r="Z164" s="541"/>
      <c r="AA164" s="541"/>
      <c r="AB164" s="541"/>
      <c r="AC164" s="542"/>
      <c r="AD164" s="542"/>
      <c r="AE164" s="542"/>
      <c r="AF164" s="542"/>
      <c r="AG164" s="542"/>
      <c r="AH164" s="542"/>
      <c r="AI164" s="542"/>
      <c r="AJ164" s="542"/>
      <c r="AK164" s="542"/>
      <c r="AL164" s="542"/>
      <c r="AM164" s="542"/>
      <c r="AN164" s="542"/>
      <c r="AO164" s="542"/>
      <c r="AP164" s="542">
        <f>IF(Table_NFI[[#This Row],[Winter Clothes Adult]]+Table_NFI[[#This Row],[Winter Clothes Children]]+Table_NFI[[#This Row],[Winter Items Other]]+Table_NFI[[#This Row],[Winter Blanket]]&gt;0,1,0)</f>
        <v>0</v>
      </c>
      <c r="AQ164" s="542"/>
      <c r="AR164" s="542"/>
      <c r="AS164" s="542"/>
      <c r="AT164" s="205" t="str">
        <f>IFERROR(VLOOKUP(Table_NFI[[#This Row],[Location]],CL,2,0),"")</f>
        <v>MMR001CMP228</v>
      </c>
      <c r="AU164" s="183" t="s">
        <v>1556</v>
      </c>
    </row>
    <row r="165" spans="2:47" ht="18.75" customHeight="1" x14ac:dyDescent="0.25">
      <c r="B165" s="552">
        <v>43098</v>
      </c>
      <c r="C165" s="552" t="str">
        <f>MONTH(Table_NFI[[#This Row],[Distribution Date]]) &amp; "/" &amp; YEAR(Table_NFI[[#This Row],[Distribution Date]])</f>
        <v>12/2017</v>
      </c>
      <c r="D165" s="219" t="s">
        <v>1552</v>
      </c>
      <c r="E165" s="219" t="s">
        <v>1552</v>
      </c>
      <c r="F165" s="219" t="s">
        <v>378</v>
      </c>
      <c r="G165" s="197" t="s">
        <v>151</v>
      </c>
      <c r="H165" s="198" t="s">
        <v>937</v>
      </c>
      <c r="I165" s="183"/>
      <c r="J165" s="541"/>
      <c r="K165" s="541"/>
      <c r="L165" s="541">
        <v>20</v>
      </c>
      <c r="M165" s="541"/>
      <c r="N165" s="541"/>
      <c r="O165" s="541"/>
      <c r="P165" s="541"/>
      <c r="Q165" s="541"/>
      <c r="R165" s="541"/>
      <c r="S165" s="541"/>
      <c r="T165" s="541"/>
      <c r="U165" s="541"/>
      <c r="V165" s="541"/>
      <c r="W165" s="541"/>
      <c r="X165" s="541"/>
      <c r="Y165" s="541"/>
      <c r="Z165" s="541"/>
      <c r="AA165" s="541"/>
      <c r="AB165" s="541"/>
      <c r="AC165" s="542"/>
      <c r="AD165" s="542"/>
      <c r="AE165" s="542"/>
      <c r="AF165" s="542"/>
      <c r="AG165" s="542"/>
      <c r="AH165" s="542"/>
      <c r="AI165" s="542"/>
      <c r="AJ165" s="542"/>
      <c r="AK165" s="542"/>
      <c r="AL165" s="542"/>
      <c r="AM165" s="542"/>
      <c r="AN165" s="542"/>
      <c r="AO165" s="542"/>
      <c r="AP165" s="542">
        <f>IF(Table_NFI[[#This Row],[Winter Clothes Adult]]+Table_NFI[[#This Row],[Winter Clothes Children]]+Table_NFI[[#This Row],[Winter Items Other]]+Table_NFI[[#This Row],[Winter Blanket]]&gt;0,1,0)</f>
        <v>0</v>
      </c>
      <c r="AQ165" s="542"/>
      <c r="AR165" s="542"/>
      <c r="AS165" s="542"/>
      <c r="AT165" s="205" t="str">
        <f>IFERROR(VLOOKUP(Table_NFI[[#This Row],[Location]],CL,2,0),"")</f>
        <v>MMR001CMP230</v>
      </c>
      <c r="AU165" s="183" t="s">
        <v>1556</v>
      </c>
    </row>
    <row r="166" spans="2:47" ht="18.75" customHeight="1" x14ac:dyDescent="0.25">
      <c r="B166" s="552">
        <v>43098</v>
      </c>
      <c r="C166" s="552" t="str">
        <f>MONTH(Table_NFI[[#This Row],[Distribution Date]]) &amp; "/" &amp; YEAR(Table_NFI[[#This Row],[Distribution Date]])</f>
        <v>12/2017</v>
      </c>
      <c r="D166" s="219" t="s">
        <v>1552</v>
      </c>
      <c r="E166" s="219" t="s">
        <v>1552</v>
      </c>
      <c r="F166" s="219" t="s">
        <v>506</v>
      </c>
      <c r="G166" s="197" t="s">
        <v>288</v>
      </c>
      <c r="H166" s="198" t="s">
        <v>916</v>
      </c>
      <c r="I166" s="183"/>
      <c r="J166" s="541"/>
      <c r="K166" s="541"/>
      <c r="L166" s="541">
        <v>14</v>
      </c>
      <c r="M166" s="541"/>
      <c r="N166" s="541"/>
      <c r="O166" s="541"/>
      <c r="P166" s="541"/>
      <c r="Q166" s="541"/>
      <c r="R166" s="541"/>
      <c r="S166" s="541"/>
      <c r="T166" s="541"/>
      <c r="U166" s="541"/>
      <c r="V166" s="541"/>
      <c r="W166" s="541"/>
      <c r="X166" s="541"/>
      <c r="Y166" s="541"/>
      <c r="Z166" s="541"/>
      <c r="AA166" s="541"/>
      <c r="AB166" s="541"/>
      <c r="AC166" s="542"/>
      <c r="AD166" s="542"/>
      <c r="AE166" s="542"/>
      <c r="AF166" s="542"/>
      <c r="AG166" s="542"/>
      <c r="AH166" s="542"/>
      <c r="AI166" s="542"/>
      <c r="AJ166" s="542"/>
      <c r="AK166" s="542"/>
      <c r="AL166" s="542"/>
      <c r="AM166" s="542"/>
      <c r="AN166" s="542"/>
      <c r="AO166" s="542"/>
      <c r="AP166" s="542">
        <f>IF(Table_NFI[[#This Row],[Winter Clothes Adult]]+Table_NFI[[#This Row],[Winter Clothes Children]]+Table_NFI[[#This Row],[Winter Items Other]]+Table_NFI[[#This Row],[Winter Blanket]]&gt;0,1,0)</f>
        <v>0</v>
      </c>
      <c r="AQ166" s="542"/>
      <c r="AR166" s="542"/>
      <c r="AS166" s="542"/>
      <c r="AT166" s="205" t="str">
        <f>IFERROR(VLOOKUP(Table_NFI[[#This Row],[Location]],CL,2,0),"")</f>
        <v>MMR015CMP215</v>
      </c>
      <c r="AU166" s="183" t="s">
        <v>1556</v>
      </c>
    </row>
    <row r="167" spans="2:47" ht="18.75" customHeight="1" x14ac:dyDescent="0.25">
      <c r="B167" s="552">
        <v>43098</v>
      </c>
      <c r="C167" s="552" t="str">
        <f>MONTH(Table_NFI[[#This Row],[Distribution Date]]) &amp; "/" &amp; YEAR(Table_NFI[[#This Row],[Distribution Date]])</f>
        <v>12/2017</v>
      </c>
      <c r="D167" s="219" t="s">
        <v>1552</v>
      </c>
      <c r="E167" s="219" t="s">
        <v>1552</v>
      </c>
      <c r="F167" s="219" t="s">
        <v>506</v>
      </c>
      <c r="G167" s="197" t="s">
        <v>288</v>
      </c>
      <c r="H167" s="198" t="s">
        <v>291</v>
      </c>
      <c r="I167" s="183"/>
      <c r="J167" s="541"/>
      <c r="K167" s="541"/>
      <c r="L167" s="541">
        <v>8</v>
      </c>
      <c r="M167" s="541"/>
      <c r="N167" s="541"/>
      <c r="O167" s="541"/>
      <c r="P167" s="541"/>
      <c r="Q167" s="541"/>
      <c r="R167" s="541"/>
      <c r="S167" s="541"/>
      <c r="T167" s="541"/>
      <c r="U167" s="541"/>
      <c r="V167" s="541"/>
      <c r="W167" s="541"/>
      <c r="X167" s="541"/>
      <c r="Y167" s="541"/>
      <c r="Z167" s="541"/>
      <c r="AA167" s="541"/>
      <c r="AB167" s="541"/>
      <c r="AC167" s="542"/>
      <c r="AD167" s="542"/>
      <c r="AE167" s="542"/>
      <c r="AF167" s="542"/>
      <c r="AG167" s="542"/>
      <c r="AH167" s="542"/>
      <c r="AI167" s="542"/>
      <c r="AJ167" s="542"/>
      <c r="AK167" s="542"/>
      <c r="AL167" s="542"/>
      <c r="AM167" s="542"/>
      <c r="AN167" s="542"/>
      <c r="AO167" s="542"/>
      <c r="AP167" s="542">
        <f>IF(Table_NFI[[#This Row],[Winter Clothes Adult]]+Table_NFI[[#This Row],[Winter Clothes Children]]+Table_NFI[[#This Row],[Winter Items Other]]+Table_NFI[[#This Row],[Winter Blanket]]&gt;0,1,0)</f>
        <v>0</v>
      </c>
      <c r="AQ167" s="542"/>
      <c r="AR167" s="542"/>
      <c r="AS167" s="542"/>
      <c r="AT167" s="205" t="str">
        <f>IFERROR(VLOOKUP(Table_NFI[[#This Row],[Location]],CL,2,0),"")</f>
        <v>MMR015CMP004</v>
      </c>
      <c r="AU167" s="183" t="s">
        <v>1556</v>
      </c>
    </row>
    <row r="168" spans="2:47" ht="18.75" customHeight="1" x14ac:dyDescent="0.25">
      <c r="B168" s="540">
        <v>43105</v>
      </c>
      <c r="C168" s="540" t="str">
        <f>MONTH(Table_NFI[[#This Row],[Distribution Date]]) &amp; "/" &amp; YEAR(Table_NFI[[#This Row],[Distribution Date]])</f>
        <v>1/2018</v>
      </c>
      <c r="D168" s="198" t="s">
        <v>1564</v>
      </c>
      <c r="E168" s="198" t="s">
        <v>1564</v>
      </c>
      <c r="F168" s="198" t="s">
        <v>506</v>
      </c>
      <c r="G168" s="198" t="s">
        <v>494</v>
      </c>
      <c r="H168" s="198" t="s">
        <v>1569</v>
      </c>
      <c r="I168" s="183"/>
      <c r="J168" s="541"/>
      <c r="K168" s="541"/>
      <c r="L168" s="541"/>
      <c r="M168" s="541"/>
      <c r="N168" s="541"/>
      <c r="O168" s="541"/>
      <c r="P168" s="541"/>
      <c r="Q168" s="541"/>
      <c r="R168" s="541"/>
      <c r="S168" s="541"/>
      <c r="T168" s="541"/>
      <c r="U168" s="541"/>
      <c r="V168" s="541"/>
      <c r="W168" s="541">
        <v>72</v>
      </c>
      <c r="X168" s="541"/>
      <c r="Y168" s="541"/>
      <c r="Z168" s="541"/>
      <c r="AA168" s="541">
        <v>10</v>
      </c>
      <c r="AB168" s="541"/>
      <c r="AC168" s="542"/>
      <c r="AD168" s="542"/>
      <c r="AE168" s="542"/>
      <c r="AF168" s="542"/>
      <c r="AG168" s="542"/>
      <c r="AH168" s="542"/>
      <c r="AI168" s="542"/>
      <c r="AJ168" s="542"/>
      <c r="AK168" s="542"/>
      <c r="AL168" s="542"/>
      <c r="AM168" s="542"/>
      <c r="AN168" s="542"/>
      <c r="AO168" s="542"/>
      <c r="AP168" s="542">
        <f>IF(Table_NFI[[#This Row],[Winter Clothes Adult]]+Table_NFI[[#This Row],[Winter Clothes Children]]+Table_NFI[[#This Row],[Winter Items Other]]+Table_NFI[[#This Row],[Winter Blanket]]&gt;0,1,0)</f>
        <v>1</v>
      </c>
      <c r="AQ168" s="542"/>
      <c r="AR168" s="542"/>
      <c r="AS168" s="542"/>
      <c r="AT168" s="205" t="str">
        <f>IFERROR(VLOOKUP(Table_NFI[[#This Row],[Location]],CL,2,0),"")</f>
        <v/>
      </c>
      <c r="AU168" s="183"/>
    </row>
    <row r="169" spans="2:47" ht="18.75" customHeight="1" x14ac:dyDescent="0.25">
      <c r="B169" s="552">
        <v>43105</v>
      </c>
      <c r="C169" s="552" t="str">
        <f>MONTH(Table_NFI[[#This Row],[Distribution Date]]) &amp; "/" &amp; YEAR(Table_NFI[[#This Row],[Distribution Date]])</f>
        <v>1/2018</v>
      </c>
      <c r="D169" s="556" t="s">
        <v>1564</v>
      </c>
      <c r="E169" s="556" t="s">
        <v>1582</v>
      </c>
      <c r="F169" s="198" t="s">
        <v>506</v>
      </c>
      <c r="G169" s="198" t="s">
        <v>494</v>
      </c>
      <c r="H169" s="532" t="s">
        <v>1569</v>
      </c>
      <c r="I169" s="183"/>
      <c r="J169" s="541"/>
      <c r="K169" s="541"/>
      <c r="L169" s="541"/>
      <c r="M169" s="541"/>
      <c r="N169" s="541"/>
      <c r="O169" s="541"/>
      <c r="P169" s="541"/>
      <c r="Q169" s="541"/>
      <c r="R169" s="541"/>
      <c r="S169" s="541"/>
      <c r="T169" s="541"/>
      <c r="U169" s="557">
        <v>144</v>
      </c>
      <c r="V169" s="541"/>
      <c r="W169" s="557">
        <v>144</v>
      </c>
      <c r="X169" s="557">
        <v>144</v>
      </c>
      <c r="Y169" s="541"/>
      <c r="Z169" s="541"/>
      <c r="AA169" s="541">
        <v>10</v>
      </c>
      <c r="AB169" s="541"/>
      <c r="AC169" s="542"/>
      <c r="AD169" s="542"/>
      <c r="AE169" s="542"/>
      <c r="AF169" s="542"/>
      <c r="AG169" s="542"/>
      <c r="AH169" s="542"/>
      <c r="AI169" s="542"/>
      <c r="AJ169" s="542"/>
      <c r="AK169" s="542"/>
      <c r="AL169" s="542"/>
      <c r="AM169" s="542"/>
      <c r="AN169" s="542"/>
      <c r="AO169" s="542"/>
      <c r="AP169" s="542">
        <f>IF(Table_NFI[[#This Row],[Winter Clothes Adult]]+Table_NFI[[#This Row],[Winter Clothes Children]]+Table_NFI[[#This Row],[Winter Items Other]]+Table_NFI[[#This Row],[Winter Blanket]]&gt;0,1,0)</f>
        <v>1</v>
      </c>
      <c r="AQ169" s="542"/>
      <c r="AR169" s="542"/>
      <c r="AS169" s="542"/>
      <c r="AT169" s="205" t="str">
        <f>IFERROR(VLOOKUP(Table_NFI[[#This Row],[Location]],CL,2,0),"")</f>
        <v/>
      </c>
      <c r="AU169" s="183"/>
    </row>
    <row r="170" spans="2:47" ht="18.75" customHeight="1" x14ac:dyDescent="0.25">
      <c r="B170" s="552">
        <v>43105</v>
      </c>
      <c r="C170" s="552" t="str">
        <f>MONTH(Table_NFI[[#This Row],[Distribution Date]]) &amp; "/" &amp; YEAR(Table_NFI[[#This Row],[Distribution Date]])</f>
        <v>1/2018</v>
      </c>
      <c r="D170" s="556" t="s">
        <v>1564</v>
      </c>
      <c r="E170" s="556" t="s">
        <v>1582</v>
      </c>
      <c r="F170" s="198" t="s">
        <v>506</v>
      </c>
      <c r="G170" s="198" t="s">
        <v>494</v>
      </c>
      <c r="H170" s="532" t="s">
        <v>1583</v>
      </c>
      <c r="I170" s="183"/>
      <c r="J170" s="541"/>
      <c r="K170" s="541"/>
      <c r="L170" s="541"/>
      <c r="M170" s="541"/>
      <c r="N170" s="541"/>
      <c r="O170" s="541"/>
      <c r="P170" s="541"/>
      <c r="Q170" s="541"/>
      <c r="R170" s="541"/>
      <c r="S170" s="541"/>
      <c r="T170" s="541"/>
      <c r="U170" s="557">
        <v>102</v>
      </c>
      <c r="V170" s="541"/>
      <c r="W170" s="557">
        <v>102</v>
      </c>
      <c r="X170" s="557">
        <v>102</v>
      </c>
      <c r="Y170" s="541"/>
      <c r="Z170" s="541"/>
      <c r="AA170" s="541">
        <v>10</v>
      </c>
      <c r="AB170" s="541"/>
      <c r="AC170" s="542"/>
      <c r="AD170" s="542"/>
      <c r="AE170" s="542"/>
      <c r="AF170" s="542"/>
      <c r="AG170" s="542"/>
      <c r="AH170" s="542"/>
      <c r="AI170" s="542"/>
      <c r="AJ170" s="542"/>
      <c r="AK170" s="542"/>
      <c r="AL170" s="542"/>
      <c r="AM170" s="542"/>
      <c r="AN170" s="542"/>
      <c r="AO170" s="542"/>
      <c r="AP170" s="542">
        <f>IF(Table_NFI[[#This Row],[Winter Clothes Adult]]+Table_NFI[[#This Row],[Winter Clothes Children]]+Table_NFI[[#This Row],[Winter Items Other]]+Table_NFI[[#This Row],[Winter Blanket]]&gt;0,1,0)</f>
        <v>1</v>
      </c>
      <c r="AQ170" s="542"/>
      <c r="AR170" s="542"/>
      <c r="AS170" s="542"/>
      <c r="AT170" s="205" t="str">
        <f>IFERROR(VLOOKUP(Table_NFI[[#This Row],[Location]],CL,2,0),"")</f>
        <v/>
      </c>
      <c r="AU170" s="183"/>
    </row>
    <row r="171" spans="2:47" ht="18.75" customHeight="1" x14ac:dyDescent="0.25">
      <c r="B171" s="552">
        <v>43105</v>
      </c>
      <c r="C171" s="552" t="str">
        <f>MONTH(Table_NFI[[#This Row],[Distribution Date]]) &amp; "/" &amp; YEAR(Table_NFI[[#This Row],[Distribution Date]])</f>
        <v>1/2018</v>
      </c>
      <c r="D171" s="556" t="s">
        <v>1564</v>
      </c>
      <c r="E171" s="556" t="s">
        <v>1582</v>
      </c>
      <c r="F171" s="198" t="s">
        <v>506</v>
      </c>
      <c r="G171" s="198" t="s">
        <v>494</v>
      </c>
      <c r="H171" s="532" t="s">
        <v>1587</v>
      </c>
      <c r="I171" s="183"/>
      <c r="J171" s="541"/>
      <c r="K171" s="541"/>
      <c r="L171" s="541"/>
      <c r="M171" s="541"/>
      <c r="N171" s="541"/>
      <c r="O171" s="541"/>
      <c r="P171" s="541"/>
      <c r="Q171" s="541"/>
      <c r="R171" s="541"/>
      <c r="S171" s="541"/>
      <c r="T171" s="541"/>
      <c r="U171" s="557">
        <v>152</v>
      </c>
      <c r="V171" s="541"/>
      <c r="W171" s="557">
        <v>152</v>
      </c>
      <c r="X171" s="557">
        <v>152</v>
      </c>
      <c r="Y171" s="541"/>
      <c r="Z171" s="541"/>
      <c r="AA171" s="541"/>
      <c r="AB171" s="541"/>
      <c r="AC171" s="542"/>
      <c r="AD171" s="542"/>
      <c r="AE171" s="542"/>
      <c r="AF171" s="542"/>
      <c r="AG171" s="542"/>
      <c r="AH171" s="542"/>
      <c r="AI171" s="542"/>
      <c r="AJ171" s="542"/>
      <c r="AK171" s="542"/>
      <c r="AL171" s="542"/>
      <c r="AM171" s="542"/>
      <c r="AN171" s="542"/>
      <c r="AO171" s="542"/>
      <c r="AP171" s="542">
        <f>IF(Table_NFI[[#This Row],[Winter Clothes Adult]]+Table_NFI[[#This Row],[Winter Clothes Children]]+Table_NFI[[#This Row],[Winter Items Other]]+Table_NFI[[#This Row],[Winter Blanket]]&gt;0,1,0)</f>
        <v>1</v>
      </c>
      <c r="AQ171" s="542"/>
      <c r="AR171" s="542"/>
      <c r="AS171" s="542"/>
      <c r="AT171" s="205" t="str">
        <f>IFERROR(VLOOKUP(Table_NFI[[#This Row],[Location]],CL,2,0),"")</f>
        <v/>
      </c>
      <c r="AU171" s="183"/>
    </row>
    <row r="172" spans="2:47" ht="18.75" customHeight="1" x14ac:dyDescent="0.25">
      <c r="B172" s="552">
        <v>43105</v>
      </c>
      <c r="C172" s="552" t="str">
        <f>MONTH(Table_NFI[[#This Row],[Distribution Date]]) &amp; "/" &amp; YEAR(Table_NFI[[#This Row],[Distribution Date]])</f>
        <v>1/2018</v>
      </c>
      <c r="D172" s="556" t="s">
        <v>1564</v>
      </c>
      <c r="E172" s="556" t="s">
        <v>1582</v>
      </c>
      <c r="F172" s="198" t="s">
        <v>506</v>
      </c>
      <c r="G172" s="198" t="s">
        <v>494</v>
      </c>
      <c r="H172" s="532" t="s">
        <v>1588</v>
      </c>
      <c r="I172" s="183"/>
      <c r="J172" s="541"/>
      <c r="K172" s="541"/>
      <c r="L172" s="541"/>
      <c r="M172" s="541"/>
      <c r="N172" s="541"/>
      <c r="O172" s="541"/>
      <c r="P172" s="541"/>
      <c r="Q172" s="541"/>
      <c r="R172" s="541"/>
      <c r="S172" s="541"/>
      <c r="T172" s="541"/>
      <c r="U172" s="557">
        <v>62</v>
      </c>
      <c r="V172" s="541"/>
      <c r="W172" s="557">
        <v>62</v>
      </c>
      <c r="X172" s="557">
        <v>62</v>
      </c>
      <c r="Y172" s="541"/>
      <c r="Z172" s="541"/>
      <c r="AA172" s="541"/>
      <c r="AB172" s="541"/>
      <c r="AC172" s="542"/>
      <c r="AD172" s="542"/>
      <c r="AE172" s="542"/>
      <c r="AF172" s="542"/>
      <c r="AG172" s="542"/>
      <c r="AH172" s="542"/>
      <c r="AI172" s="542"/>
      <c r="AJ172" s="542"/>
      <c r="AK172" s="542"/>
      <c r="AL172" s="542"/>
      <c r="AM172" s="542"/>
      <c r="AN172" s="542"/>
      <c r="AO172" s="542"/>
      <c r="AP172" s="542">
        <f>IF(Table_NFI[[#This Row],[Winter Clothes Adult]]+Table_NFI[[#This Row],[Winter Clothes Children]]+Table_NFI[[#This Row],[Winter Items Other]]+Table_NFI[[#This Row],[Winter Blanket]]&gt;0,1,0)</f>
        <v>1</v>
      </c>
      <c r="AQ172" s="542"/>
      <c r="AR172" s="542"/>
      <c r="AS172" s="542"/>
      <c r="AT172" s="205" t="str">
        <f>IFERROR(VLOOKUP(Table_NFI[[#This Row],[Location]],CL,2,0),"")</f>
        <v/>
      </c>
      <c r="AU172" s="183"/>
    </row>
    <row r="173" spans="2:47" ht="18.75" customHeight="1" x14ac:dyDescent="0.25">
      <c r="B173" s="540">
        <v>43106</v>
      </c>
      <c r="C173" s="540" t="str">
        <f>MONTH(Table_NFI[[#This Row],[Distribution Date]]) &amp; "/" &amp; YEAR(Table_NFI[[#This Row],[Distribution Date]])</f>
        <v>1/2018</v>
      </c>
      <c r="D173" s="198" t="s">
        <v>1564</v>
      </c>
      <c r="E173" s="198" t="s">
        <v>1564</v>
      </c>
      <c r="F173" s="198" t="s">
        <v>506</v>
      </c>
      <c r="G173" s="198" t="s">
        <v>494</v>
      </c>
      <c r="H173" s="198" t="s">
        <v>1566</v>
      </c>
      <c r="I173" s="183"/>
      <c r="J173" s="541"/>
      <c r="K173" s="541"/>
      <c r="L173" s="541"/>
      <c r="M173" s="541"/>
      <c r="N173" s="541"/>
      <c r="O173" s="541"/>
      <c r="P173" s="541"/>
      <c r="Q173" s="541"/>
      <c r="R173" s="541"/>
      <c r="S173" s="541"/>
      <c r="T173" s="541"/>
      <c r="U173" s="541"/>
      <c r="V173" s="541"/>
      <c r="W173" s="541">
        <v>51</v>
      </c>
      <c r="X173" s="541"/>
      <c r="Y173" s="541"/>
      <c r="Z173" s="541"/>
      <c r="AA173" s="541">
        <v>10</v>
      </c>
      <c r="AB173" s="541"/>
      <c r="AC173" s="542"/>
      <c r="AD173" s="542"/>
      <c r="AE173" s="542"/>
      <c r="AF173" s="542"/>
      <c r="AG173" s="542"/>
      <c r="AH173" s="542"/>
      <c r="AI173" s="542"/>
      <c r="AJ173" s="542"/>
      <c r="AK173" s="542"/>
      <c r="AL173" s="542"/>
      <c r="AM173" s="542"/>
      <c r="AN173" s="542"/>
      <c r="AO173" s="542"/>
      <c r="AP173" s="542">
        <f>IF(Table_NFI[[#This Row],[Winter Clothes Adult]]+Table_NFI[[#This Row],[Winter Clothes Children]]+Table_NFI[[#This Row],[Winter Items Other]]+Table_NFI[[#This Row],[Winter Blanket]]&gt;0,1,0)</f>
        <v>1</v>
      </c>
      <c r="AQ173" s="542"/>
      <c r="AR173" s="542"/>
      <c r="AS173" s="542"/>
      <c r="AT173" s="205" t="str">
        <f>IFERROR(VLOOKUP(Table_NFI[[#This Row],[Location]],CL,2,0),"")</f>
        <v/>
      </c>
      <c r="AU173" s="183"/>
    </row>
    <row r="174" spans="2:47" ht="18.75" customHeight="1" x14ac:dyDescent="0.25">
      <c r="B174" s="540">
        <v>43107</v>
      </c>
      <c r="C174" s="540" t="str">
        <f>MONTH(Table_NFI[[#This Row],[Distribution Date]]) &amp; "/" &amp; YEAR(Table_NFI[[#This Row],[Distribution Date]])</f>
        <v>1/2018</v>
      </c>
      <c r="D174" s="198" t="s">
        <v>1564</v>
      </c>
      <c r="E174" s="198" t="s">
        <v>1564</v>
      </c>
      <c r="F174" s="198" t="s">
        <v>506</v>
      </c>
      <c r="G174" s="198" t="s">
        <v>494</v>
      </c>
      <c r="H174" s="198" t="s">
        <v>1568</v>
      </c>
      <c r="I174" s="183"/>
      <c r="J174" s="541"/>
      <c r="K174" s="541"/>
      <c r="L174" s="541"/>
      <c r="M174" s="541"/>
      <c r="N174" s="541"/>
      <c r="O174" s="541"/>
      <c r="P174" s="541"/>
      <c r="Q174" s="541"/>
      <c r="R174" s="541"/>
      <c r="S174" s="541"/>
      <c r="T174" s="541"/>
      <c r="U174" s="541"/>
      <c r="V174" s="541"/>
      <c r="W174" s="541">
        <v>76</v>
      </c>
      <c r="X174" s="541"/>
      <c r="Y174" s="541"/>
      <c r="Z174" s="541"/>
      <c r="AA174" s="541"/>
      <c r="AB174" s="541"/>
      <c r="AC174" s="542"/>
      <c r="AD174" s="542"/>
      <c r="AE174" s="542"/>
      <c r="AF174" s="542"/>
      <c r="AG174" s="542"/>
      <c r="AH174" s="542"/>
      <c r="AI174" s="542"/>
      <c r="AJ174" s="542"/>
      <c r="AK174" s="542"/>
      <c r="AL174" s="542"/>
      <c r="AM174" s="542"/>
      <c r="AN174" s="542"/>
      <c r="AO174" s="542"/>
      <c r="AP174" s="542">
        <f>IF(Table_NFI[[#This Row],[Winter Clothes Adult]]+Table_NFI[[#This Row],[Winter Clothes Children]]+Table_NFI[[#This Row],[Winter Items Other]]+Table_NFI[[#This Row],[Winter Blanket]]&gt;0,1,0)</f>
        <v>1</v>
      </c>
      <c r="AQ174" s="542"/>
      <c r="AR174" s="542"/>
      <c r="AS174" s="542"/>
      <c r="AT174" s="205" t="str">
        <f>IFERROR(VLOOKUP(Table_NFI[[#This Row],[Location]],CL,2,0),"")</f>
        <v/>
      </c>
      <c r="AU174" s="183"/>
    </row>
    <row r="175" spans="2:47" ht="18.75" customHeight="1" x14ac:dyDescent="0.25">
      <c r="B175" s="540">
        <v>43108</v>
      </c>
      <c r="C175" s="540" t="str">
        <f>MONTH(Table_NFI[[#This Row],[Distribution Date]]) &amp; "/" &amp; YEAR(Table_NFI[[#This Row],[Distribution Date]])</f>
        <v>1/2018</v>
      </c>
      <c r="D175" s="198" t="s">
        <v>1564</v>
      </c>
      <c r="E175" s="198" t="s">
        <v>1564</v>
      </c>
      <c r="F175" s="198" t="s">
        <v>506</v>
      </c>
      <c r="G175" s="198" t="s">
        <v>494</v>
      </c>
      <c r="H175" s="198" t="s">
        <v>1567</v>
      </c>
      <c r="I175" s="183"/>
      <c r="J175" s="541"/>
      <c r="K175" s="541"/>
      <c r="L175" s="541"/>
      <c r="M175" s="541"/>
      <c r="N175" s="541"/>
      <c r="O175" s="541"/>
      <c r="P175" s="541"/>
      <c r="Q175" s="541"/>
      <c r="R175" s="541"/>
      <c r="S175" s="541"/>
      <c r="T175" s="541"/>
      <c r="U175" s="541"/>
      <c r="V175" s="541"/>
      <c r="W175" s="541">
        <v>31</v>
      </c>
      <c r="X175" s="541"/>
      <c r="Y175" s="541"/>
      <c r="Z175" s="541"/>
      <c r="AA175" s="541"/>
      <c r="AB175" s="541"/>
      <c r="AC175" s="542"/>
      <c r="AD175" s="542"/>
      <c r="AE175" s="542"/>
      <c r="AF175" s="542"/>
      <c r="AG175" s="542"/>
      <c r="AH175" s="542"/>
      <c r="AI175" s="542"/>
      <c r="AJ175" s="542"/>
      <c r="AK175" s="542"/>
      <c r="AL175" s="542"/>
      <c r="AM175" s="542"/>
      <c r="AN175" s="542"/>
      <c r="AO175" s="542"/>
      <c r="AP175" s="542">
        <f>IF(Table_NFI[[#This Row],[Winter Clothes Adult]]+Table_NFI[[#This Row],[Winter Clothes Children]]+Table_NFI[[#This Row],[Winter Items Other]]+Table_NFI[[#This Row],[Winter Blanket]]&gt;0,1,0)</f>
        <v>1</v>
      </c>
      <c r="AQ175" s="542"/>
      <c r="AR175" s="542"/>
      <c r="AS175" s="542"/>
      <c r="AT175" s="205" t="str">
        <f>IFERROR(VLOOKUP(Table_NFI[[#This Row],[Location]],CL,2,0),"")</f>
        <v/>
      </c>
      <c r="AU175" s="183"/>
    </row>
    <row r="176" spans="2:47" ht="18.75" customHeight="1" x14ac:dyDescent="0.25">
      <c r="B176" s="552">
        <v>43126</v>
      </c>
      <c r="C176" s="552" t="str">
        <f>MONTH(Table_NFI[[#This Row],[Distribution Date]]) &amp; "/" &amp; YEAR(Table_NFI[[#This Row],[Distribution Date]])</f>
        <v>1/2018</v>
      </c>
      <c r="D176" s="556" t="s">
        <v>1564</v>
      </c>
      <c r="E176" s="556" t="s">
        <v>1582</v>
      </c>
      <c r="F176" s="198" t="s">
        <v>506</v>
      </c>
      <c r="G176" s="197" t="s">
        <v>297</v>
      </c>
      <c r="H176" s="558" t="s">
        <v>1584</v>
      </c>
      <c r="I176" s="183"/>
      <c r="J176" s="541">
        <v>18</v>
      </c>
      <c r="K176" s="541"/>
      <c r="L176" s="541"/>
      <c r="M176" s="541"/>
      <c r="N176" s="541"/>
      <c r="O176" s="541"/>
      <c r="P176" s="541"/>
      <c r="Q176" s="541"/>
      <c r="R176" s="541"/>
      <c r="S176" s="541"/>
      <c r="T176" s="541"/>
      <c r="U176" s="541"/>
      <c r="V176" s="541"/>
      <c r="W176" s="541"/>
      <c r="X176" s="541"/>
      <c r="Y176" s="541"/>
      <c r="Z176" s="541"/>
      <c r="AA176" s="541"/>
      <c r="AB176" s="541"/>
      <c r="AC176" s="542"/>
      <c r="AD176" s="542"/>
      <c r="AE176" s="542"/>
      <c r="AF176" s="542"/>
      <c r="AG176" s="542"/>
      <c r="AH176" s="542"/>
      <c r="AI176" s="542"/>
      <c r="AJ176" s="542"/>
      <c r="AK176" s="542"/>
      <c r="AL176" s="542"/>
      <c r="AM176" s="542"/>
      <c r="AN176" s="542"/>
      <c r="AO176" s="542"/>
      <c r="AP176" s="542">
        <f>IF(Table_NFI[[#This Row],[Winter Clothes Adult]]+Table_NFI[[#This Row],[Winter Clothes Children]]+Table_NFI[[#This Row],[Winter Items Other]]+Table_NFI[[#This Row],[Winter Blanket]]&gt;0,1,0)</f>
        <v>0</v>
      </c>
      <c r="AQ176" s="542"/>
      <c r="AR176" s="542"/>
      <c r="AS176" s="542"/>
      <c r="AT176" s="205" t="str">
        <f>IFERROR(VLOOKUP(Table_NFI[[#This Row],[Location]],CL,2,0),"")</f>
        <v/>
      </c>
      <c r="AU176" s="183"/>
    </row>
    <row r="177" spans="2:47" ht="18.75" customHeight="1" x14ac:dyDescent="0.25">
      <c r="B177" s="553">
        <v>43127</v>
      </c>
      <c r="C177" s="553" t="str">
        <f>MONTH(Table_NFI[[#This Row],[Distribution Date]]) &amp; "/" &amp; YEAR(Table_NFI[[#This Row],[Distribution Date]])</f>
        <v>1/2018</v>
      </c>
      <c r="D177" s="198" t="s">
        <v>462</v>
      </c>
      <c r="E177" s="198" t="s">
        <v>420</v>
      </c>
      <c r="F177" s="198" t="s">
        <v>378</v>
      </c>
      <c r="G177" s="197" t="s">
        <v>27</v>
      </c>
      <c r="H177" s="198" t="s">
        <v>28</v>
      </c>
      <c r="I177" s="183"/>
      <c r="J177" s="541"/>
      <c r="K177" s="541"/>
      <c r="L177" s="541"/>
      <c r="M177" s="541"/>
      <c r="N177" s="541"/>
      <c r="O177" s="541"/>
      <c r="P177" s="541"/>
      <c r="Q177" s="541"/>
      <c r="R177" s="541"/>
      <c r="S177" s="541"/>
      <c r="T177" s="541"/>
      <c r="U177" s="541">
        <v>284</v>
      </c>
      <c r="V177" s="541">
        <v>236</v>
      </c>
      <c r="W177" s="541"/>
      <c r="X177" s="541"/>
      <c r="Y177" s="541"/>
      <c r="Z177" s="541"/>
      <c r="AA177" s="541"/>
      <c r="AB177" s="541"/>
      <c r="AC177" s="542"/>
      <c r="AD177" s="542"/>
      <c r="AE177" s="542"/>
      <c r="AF177" s="542"/>
      <c r="AG177" s="542"/>
      <c r="AH177" s="542"/>
      <c r="AI177" s="542"/>
      <c r="AJ177" s="542"/>
      <c r="AK177" s="542"/>
      <c r="AL177" s="542"/>
      <c r="AM177" s="542"/>
      <c r="AN177" s="542"/>
      <c r="AO177" s="542"/>
      <c r="AP177" s="542">
        <f>IF(Table_NFI[[#This Row],[Winter Clothes Adult]]+Table_NFI[[#This Row],[Winter Clothes Children]]+Table_NFI[[#This Row],[Winter Items Other]]+Table_NFI[[#This Row],[Winter Blanket]]&gt;0,1,0)</f>
        <v>1</v>
      </c>
      <c r="AQ177" s="542"/>
      <c r="AR177" s="542"/>
      <c r="AS177" s="542"/>
      <c r="AT177" s="205" t="str">
        <f>IFERROR(VLOOKUP(Table_NFI[[#This Row],[Location]],CL,2,0),"")</f>
        <v>MMR001CMP042</v>
      </c>
      <c r="AU177" s="183"/>
    </row>
    <row r="178" spans="2:47" ht="18.75" customHeight="1" x14ac:dyDescent="0.25">
      <c r="B178" s="553">
        <v>43127</v>
      </c>
      <c r="C178" s="553" t="str">
        <f>MONTH(Table_NFI[[#This Row],[Distribution Date]]) &amp; "/" &amp; YEAR(Table_NFI[[#This Row],[Distribution Date]])</f>
        <v>1/2018</v>
      </c>
      <c r="D178" s="198" t="s">
        <v>462</v>
      </c>
      <c r="E178" s="198" t="s">
        <v>420</v>
      </c>
      <c r="F178" s="198" t="s">
        <v>378</v>
      </c>
      <c r="G178" s="197" t="s">
        <v>27</v>
      </c>
      <c r="H178" s="198" t="s">
        <v>363</v>
      </c>
      <c r="I178" s="183"/>
      <c r="J178" s="541"/>
      <c r="K178" s="541"/>
      <c r="L178" s="541"/>
      <c r="M178" s="541"/>
      <c r="N178" s="541"/>
      <c r="O178" s="541"/>
      <c r="P178" s="541"/>
      <c r="Q178" s="541"/>
      <c r="R178" s="541"/>
      <c r="S178" s="541"/>
      <c r="T178" s="541"/>
      <c r="U178" s="541">
        <v>295</v>
      </c>
      <c r="V178" s="541">
        <v>345</v>
      </c>
      <c r="W178" s="541"/>
      <c r="X178" s="541"/>
      <c r="Y178" s="541"/>
      <c r="Z178" s="541"/>
      <c r="AA178" s="541"/>
      <c r="AB178" s="541"/>
      <c r="AC178" s="542"/>
      <c r="AD178" s="542"/>
      <c r="AE178" s="542"/>
      <c r="AF178" s="542"/>
      <c r="AG178" s="542"/>
      <c r="AH178" s="542"/>
      <c r="AI178" s="542"/>
      <c r="AJ178" s="542"/>
      <c r="AK178" s="542"/>
      <c r="AL178" s="542"/>
      <c r="AM178" s="542"/>
      <c r="AN178" s="542"/>
      <c r="AO178" s="542"/>
      <c r="AP178" s="542">
        <f>IF(Table_NFI[[#This Row],[Winter Clothes Adult]]+Table_NFI[[#This Row],[Winter Clothes Children]]+Table_NFI[[#This Row],[Winter Items Other]]+Table_NFI[[#This Row],[Winter Blanket]]&gt;0,1,0)</f>
        <v>1</v>
      </c>
      <c r="AQ178" s="542"/>
      <c r="AR178" s="542"/>
      <c r="AS178" s="542"/>
      <c r="AT178" s="205" t="str">
        <f>IFERROR(VLOOKUP(Table_NFI[[#This Row],[Location]],CL,2,0),"")</f>
        <v>MMR001CMP195</v>
      </c>
      <c r="AU178" s="183"/>
    </row>
    <row r="179" spans="2:47" ht="18.75" customHeight="1" x14ac:dyDescent="0.25">
      <c r="B179" s="552">
        <v>43140</v>
      </c>
      <c r="C179" s="552" t="str">
        <f>MONTH(Table_NFI[[#This Row],[Distribution Date]]) &amp; "/" &amp; YEAR(Table_NFI[[#This Row],[Distribution Date]])</f>
        <v>2/2018</v>
      </c>
      <c r="D179" s="556" t="s">
        <v>1564</v>
      </c>
      <c r="E179" s="556" t="s">
        <v>1582</v>
      </c>
      <c r="F179" s="198" t="s">
        <v>506</v>
      </c>
      <c r="G179" s="197" t="s">
        <v>719</v>
      </c>
      <c r="H179" s="197" t="s">
        <v>1585</v>
      </c>
      <c r="I179" s="183"/>
      <c r="J179" s="541">
        <v>52</v>
      </c>
      <c r="K179" s="541"/>
      <c r="L179" s="541"/>
      <c r="M179" s="541"/>
      <c r="N179" s="541"/>
      <c r="O179" s="541"/>
      <c r="P179" s="541"/>
      <c r="Q179" s="541"/>
      <c r="R179" s="541"/>
      <c r="S179" s="541"/>
      <c r="T179" s="541"/>
      <c r="U179" s="541"/>
      <c r="V179" s="541"/>
      <c r="W179" s="541"/>
      <c r="X179" s="541"/>
      <c r="Y179" s="541"/>
      <c r="Z179" s="541"/>
      <c r="AA179" s="541"/>
      <c r="AB179" s="541"/>
      <c r="AC179" s="542"/>
      <c r="AD179" s="542"/>
      <c r="AE179" s="542"/>
      <c r="AF179" s="542"/>
      <c r="AG179" s="542"/>
      <c r="AH179" s="542"/>
      <c r="AI179" s="542"/>
      <c r="AJ179" s="542"/>
      <c r="AK179" s="542"/>
      <c r="AL179" s="542"/>
      <c r="AM179" s="542"/>
      <c r="AN179" s="542"/>
      <c r="AO179" s="542"/>
      <c r="AP179" s="542">
        <f>IF(Table_NFI[[#This Row],[Winter Clothes Adult]]+Table_NFI[[#This Row],[Winter Clothes Children]]+Table_NFI[[#This Row],[Winter Items Other]]+Table_NFI[[#This Row],[Winter Blanket]]&gt;0,1,0)</f>
        <v>0</v>
      </c>
      <c r="AQ179" s="542"/>
      <c r="AR179" s="542"/>
      <c r="AS179" s="542"/>
      <c r="AT179" s="205" t="str">
        <f>IFERROR(VLOOKUP(Table_NFI[[#This Row],[Location]],CL,2,0),"")</f>
        <v/>
      </c>
      <c r="AU179" s="183"/>
    </row>
    <row r="180" spans="2:47" ht="18.75" customHeight="1" x14ac:dyDescent="0.25">
      <c r="B180" s="552">
        <v>43140</v>
      </c>
      <c r="C180" s="552" t="str">
        <f>MONTH(Table_NFI[[#This Row],[Distribution Date]]) &amp; "/" &amp; YEAR(Table_NFI[[#This Row],[Distribution Date]])</f>
        <v>2/2018</v>
      </c>
      <c r="D180" s="556" t="s">
        <v>1564</v>
      </c>
      <c r="E180" s="556" t="s">
        <v>1582</v>
      </c>
      <c r="F180" s="198" t="s">
        <v>506</v>
      </c>
      <c r="G180" s="197" t="s">
        <v>719</v>
      </c>
      <c r="H180" s="197" t="s">
        <v>1586</v>
      </c>
      <c r="I180" s="183"/>
      <c r="J180" s="541">
        <v>13</v>
      </c>
      <c r="K180" s="541"/>
      <c r="L180" s="541"/>
      <c r="M180" s="541"/>
      <c r="N180" s="541"/>
      <c r="O180" s="541"/>
      <c r="P180" s="541"/>
      <c r="Q180" s="541"/>
      <c r="R180" s="541"/>
      <c r="S180" s="541"/>
      <c r="T180" s="541"/>
      <c r="U180" s="541"/>
      <c r="V180" s="541"/>
      <c r="W180" s="541"/>
      <c r="X180" s="541"/>
      <c r="Y180" s="541"/>
      <c r="Z180" s="541"/>
      <c r="AA180" s="541"/>
      <c r="AB180" s="541"/>
      <c r="AC180" s="542"/>
      <c r="AD180" s="542"/>
      <c r="AE180" s="542"/>
      <c r="AF180" s="542"/>
      <c r="AG180" s="542"/>
      <c r="AH180" s="542"/>
      <c r="AI180" s="542"/>
      <c r="AJ180" s="542"/>
      <c r="AK180" s="542"/>
      <c r="AL180" s="542"/>
      <c r="AM180" s="542"/>
      <c r="AN180" s="542"/>
      <c r="AO180" s="542"/>
      <c r="AP180" s="542">
        <f>IF(Table_NFI[[#This Row],[Winter Clothes Adult]]+Table_NFI[[#This Row],[Winter Clothes Children]]+Table_NFI[[#This Row],[Winter Items Other]]+Table_NFI[[#This Row],[Winter Blanket]]&gt;0,1,0)</f>
        <v>0</v>
      </c>
      <c r="AQ180" s="542"/>
      <c r="AR180" s="542"/>
      <c r="AS180" s="542"/>
      <c r="AT180" s="205" t="str">
        <f>IFERROR(VLOOKUP(Table_NFI[[#This Row],[Location]],CL,2,0),"")</f>
        <v/>
      </c>
      <c r="AU180" s="183"/>
    </row>
    <row r="181" spans="2:47" x14ac:dyDescent="0.25">
      <c r="B181" s="540">
        <v>43098</v>
      </c>
      <c r="C181" s="540" t="str">
        <f>MONTH(Table_NFI[[#This Row],[Distribution Date]]) &amp; "/" &amp; YEAR(Table_NFI[[#This Row],[Distribution Date]])</f>
        <v>12/2017</v>
      </c>
      <c r="D181" s="198" t="s">
        <v>1088</v>
      </c>
      <c r="E181" s="198" t="s">
        <v>1088</v>
      </c>
      <c r="F181" s="198" t="s">
        <v>378</v>
      </c>
      <c r="G181" s="197" t="s">
        <v>27</v>
      </c>
      <c r="H181" s="198" t="s">
        <v>790</v>
      </c>
      <c r="I181" s="183"/>
      <c r="J181" s="541"/>
      <c r="K181" s="541"/>
      <c r="L181" s="541"/>
      <c r="M181" s="541"/>
      <c r="N181" s="541"/>
      <c r="O181" s="541"/>
      <c r="P181" s="541">
        <v>270</v>
      </c>
      <c r="Q181" s="541"/>
      <c r="R181" s="541"/>
      <c r="S181" s="541"/>
      <c r="T181" s="541"/>
      <c r="U181" s="541">
        <v>95</v>
      </c>
      <c r="V181" s="541"/>
      <c r="W181" s="541"/>
      <c r="X181" s="541">
        <v>123</v>
      </c>
      <c r="Y181" s="541"/>
      <c r="Z181" s="541"/>
      <c r="AA181" s="541"/>
      <c r="AB181" s="541"/>
      <c r="AC181" s="542" t="e">
        <f>IF(NFI_Expiration=1,IF(#REF!&lt;VLOOKUP(L$5,NFI,5,0),1,0)*Table_NFI[[#This Row],[NFI Core Kit]],Table_NFI[NFI Core Kit])</f>
        <v>#REF!</v>
      </c>
      <c r="AD181" s="542" t="e">
        <f>IF(NFI_Expiration=1,IF(#REF!&lt;VLOOKUP(M$5,NFI,5,0),1,0)*Table_NFI[[#This Row],[Sanitary Kit]],Table_NFI[Sanitary Kit])</f>
        <v>#REF!</v>
      </c>
      <c r="AE181" s="542" t="e">
        <f>IF(NFI_Expiration=1,IF(#REF!&lt;VLOOKUP(N$5,NFI,5,0),1,0)*Table_NFI[[#This Row],[Mosquito net]],Table_NFI[Mosquito net])</f>
        <v>#REF!</v>
      </c>
      <c r="AF181" s="542" t="e">
        <f>IF(NFI_Expiration=1,IF(#REF!&lt;VLOOKUP(O$5,NFI,5,0),1,0)*Table_NFI[[#This Row],[Tarpaulin]],Table_NFI[[#This Row],[Tarpaulin]])</f>
        <v>#REF!</v>
      </c>
      <c r="AG181" s="542" t="e">
        <f>IF(NFI_Expiration=1,IF(#REF!&lt;VLOOKUP(P$5,NFI,5,0),1,0)*Table_NFI[[#This Row],[Blanket]],Table_NFI[[#This Row],[Blanket]])</f>
        <v>#REF!</v>
      </c>
      <c r="AH181" s="542" t="e">
        <f>IF(NFI_Expiration=1,IF(#REF!&lt;VLOOKUP(Q$5,NFI,5,0),1,0)*Table_NFI[[#This Row],[Kitchen Set]],Table_NFI[Kitchen Set])</f>
        <v>#REF!</v>
      </c>
      <c r="AI181" s="542" t="e">
        <f>IF(NFI_Expiration=1,IF(#REF!&lt;VLOOKUP(R$5,NFI,5,0),1,0)*Table_NFI[[#This Row],[Clothes Kit]],Table_NFI[Clothes Kit])</f>
        <v>#REF!</v>
      </c>
      <c r="AJ181" s="542" t="e">
        <f>IF(NFI_Expiration=1,IF(#REF!&lt;VLOOKUP(S$5,NFI,5,0),1,0)*Table_NFI[[#This Row],[Plastic Bucket]],Table_NFI[Plastic Bucket])</f>
        <v>#REF!</v>
      </c>
      <c r="AK181" s="542" t="e">
        <f>IF(NFI_Expiration=1,IF(#REF!&lt;VLOOKUP(T$5,NFI,5,0),1,0)*Table_NFI[[#This Row],[Plastic Mat]],Table_NFI[Plastic Mat])*IF(Table_NFI[[#This Row],[Distribution Date]]&gt;"2014-04-01",1,2.5)</f>
        <v>#REF!</v>
      </c>
      <c r="AL181" s="542" t="e">
        <f>IF(NFI_Expiration=1,IF(#REF!&lt;VLOOKUP(U$5,NFI,5,0),1,0)*Table_NFI[[#This Row],[Winter Clothes Adult]],Table_NFI[Winter Clothes Adult])</f>
        <v>#REF!</v>
      </c>
      <c r="AM181" s="542"/>
      <c r="AN181" s="542"/>
      <c r="AO181" s="542"/>
      <c r="AP181" s="542">
        <f>IF(Table_NFI[[#This Row],[Winter Clothes Adult]]+Table_NFI[[#This Row],[Winter Clothes Children]]+Table_NFI[[#This Row],[Winter Items Other]]+Table_NFI[[#This Row],[Winter Blanket]]&gt;0,1,0)</f>
        <v>1</v>
      </c>
      <c r="AQ181" s="542"/>
      <c r="AR181" s="542"/>
      <c r="AS181" s="542"/>
      <c r="AT181" s="205" t="str">
        <f>IFERROR(VLOOKUP(Table_NFI[[#This Row],[Location]],CL,2,0),"")</f>
        <v>MMR001CMP210</v>
      </c>
      <c r="AU181" s="183"/>
    </row>
    <row r="182" spans="2:47" x14ac:dyDescent="0.25">
      <c r="B182" s="540">
        <v>43098</v>
      </c>
      <c r="C182" s="540" t="str">
        <f>MONTH(Table_NFI[[#This Row],[Distribution Date]]) &amp; "/" &amp; YEAR(Table_NFI[[#This Row],[Distribution Date]])</f>
        <v>12/2017</v>
      </c>
      <c r="D182" s="198" t="s">
        <v>1088</v>
      </c>
      <c r="E182" s="198" t="s">
        <v>1088</v>
      </c>
      <c r="F182" s="198" t="s">
        <v>378</v>
      </c>
      <c r="G182" s="197" t="s">
        <v>27</v>
      </c>
      <c r="H182" s="198" t="s">
        <v>874</v>
      </c>
      <c r="I182" s="183"/>
      <c r="J182" s="541"/>
      <c r="K182" s="541"/>
      <c r="L182" s="541"/>
      <c r="M182" s="541"/>
      <c r="N182" s="541"/>
      <c r="O182" s="541"/>
      <c r="P182" s="541">
        <v>171</v>
      </c>
      <c r="Q182" s="541"/>
      <c r="R182" s="541"/>
      <c r="S182" s="541"/>
      <c r="T182" s="541"/>
      <c r="U182" s="541">
        <v>86</v>
      </c>
      <c r="V182" s="541"/>
      <c r="W182" s="541"/>
      <c r="X182" s="541">
        <v>60</v>
      </c>
      <c r="Y182" s="541"/>
      <c r="Z182" s="541"/>
      <c r="AA182" s="541"/>
      <c r="AB182" s="541"/>
      <c r="AC182" s="542" t="e">
        <f>IF(NFI_Expiration=1,IF(#REF!&lt;VLOOKUP(L$5,NFI,5,0),1,0)*Table_NFI[[#This Row],[NFI Core Kit]],Table_NFI[NFI Core Kit])</f>
        <v>#REF!</v>
      </c>
      <c r="AD182" s="542" t="e">
        <f>IF(NFI_Expiration=1,IF(#REF!&lt;VLOOKUP(M$5,NFI,5,0),1,0)*Table_NFI[[#This Row],[Sanitary Kit]],Table_NFI[Sanitary Kit])</f>
        <v>#REF!</v>
      </c>
      <c r="AE182" s="542" t="e">
        <f>IF(NFI_Expiration=1,IF(#REF!&lt;VLOOKUP(N$5,NFI,5,0),1,0)*Table_NFI[[#This Row],[Mosquito net]],Table_NFI[Mosquito net])</f>
        <v>#REF!</v>
      </c>
      <c r="AF182" s="542" t="e">
        <f>IF(NFI_Expiration=1,IF(#REF!&lt;VLOOKUP(O$5,NFI,5,0),1,0)*Table_NFI[[#This Row],[Tarpaulin]],Table_NFI[[#This Row],[Tarpaulin]])</f>
        <v>#REF!</v>
      </c>
      <c r="AG182" s="542" t="e">
        <f>IF(NFI_Expiration=1,IF(#REF!&lt;VLOOKUP(P$5,NFI,5,0),1,0)*Table_NFI[[#This Row],[Blanket]],Table_NFI[[#This Row],[Blanket]])</f>
        <v>#REF!</v>
      </c>
      <c r="AH182" s="542" t="e">
        <f>IF(NFI_Expiration=1,IF(#REF!&lt;VLOOKUP(Q$5,NFI,5,0),1,0)*Table_NFI[[#This Row],[Kitchen Set]],Table_NFI[Kitchen Set])</f>
        <v>#REF!</v>
      </c>
      <c r="AI182" s="542" t="e">
        <f>IF(NFI_Expiration=1,IF(#REF!&lt;VLOOKUP(R$5,NFI,5,0),1,0)*Table_NFI[[#This Row],[Clothes Kit]],Table_NFI[Clothes Kit])</f>
        <v>#REF!</v>
      </c>
      <c r="AJ182" s="542" t="e">
        <f>IF(NFI_Expiration=1,IF(#REF!&lt;VLOOKUP(S$5,NFI,5,0),1,0)*Table_NFI[[#This Row],[Plastic Bucket]],Table_NFI[Plastic Bucket])</f>
        <v>#REF!</v>
      </c>
      <c r="AK182" s="542" t="e">
        <f>IF(NFI_Expiration=1,IF(#REF!&lt;VLOOKUP(T$5,NFI,5,0),1,0)*Table_NFI[[#This Row],[Plastic Mat]],Table_NFI[Plastic Mat])*IF(Table_NFI[[#This Row],[Distribution Date]]&gt;"2014-04-01",1,2.5)</f>
        <v>#REF!</v>
      </c>
      <c r="AL182" s="542" t="e">
        <f>IF(NFI_Expiration=1,IF(#REF!&lt;VLOOKUP(U$5,NFI,5,0),1,0)*Table_NFI[[#This Row],[Winter Clothes Adult]],Table_NFI[Winter Clothes Adult])</f>
        <v>#REF!</v>
      </c>
      <c r="AM182" s="542"/>
      <c r="AN182" s="542"/>
      <c r="AO182" s="542"/>
      <c r="AP182" s="542">
        <f>IF(Table_NFI[[#This Row],[Winter Clothes Adult]]+Table_NFI[[#This Row],[Winter Clothes Children]]+Table_NFI[[#This Row],[Winter Items Other]]+Table_NFI[[#This Row],[Winter Blanket]]&gt;0,1,0)</f>
        <v>1</v>
      </c>
      <c r="AQ182" s="542"/>
      <c r="AR182" s="542"/>
      <c r="AS182" s="542"/>
      <c r="AT182" s="205" t="str">
        <f>IFERROR(VLOOKUP(Table_NFI[[#This Row],[Location]],CL,2,0),"")</f>
        <v>MMR001CMP225</v>
      </c>
      <c r="AU182" s="183"/>
    </row>
    <row r="183" spans="2:47" x14ac:dyDescent="0.25">
      <c r="B183" s="540">
        <v>43171</v>
      </c>
      <c r="C183" s="540" t="str">
        <f>MONTH(Table_NFI[[#This Row],[Distribution Date]]) &amp; "/" &amp; YEAR(Table_NFI[[#This Row],[Distribution Date]])</f>
        <v>3/2018</v>
      </c>
      <c r="D183" s="198" t="s">
        <v>1088</v>
      </c>
      <c r="E183" s="198" t="s">
        <v>1088</v>
      </c>
      <c r="F183" s="198" t="s">
        <v>378</v>
      </c>
      <c r="G183" s="197" t="s">
        <v>237</v>
      </c>
      <c r="H183" s="198" t="s">
        <v>272</v>
      </c>
      <c r="I183" s="183"/>
      <c r="J183" s="541"/>
      <c r="K183" s="541"/>
      <c r="L183" s="541">
        <v>9</v>
      </c>
      <c r="M183" s="541">
        <v>9</v>
      </c>
      <c r="N183" s="541">
        <v>18</v>
      </c>
      <c r="O183" s="541">
        <v>9</v>
      </c>
      <c r="P183" s="541">
        <v>28</v>
      </c>
      <c r="Q183" s="541">
        <v>9</v>
      </c>
      <c r="R183" s="541"/>
      <c r="S183" s="541">
        <v>9</v>
      </c>
      <c r="T183" s="541">
        <v>26</v>
      </c>
      <c r="U183" s="541"/>
      <c r="V183" s="541"/>
      <c r="W183" s="541"/>
      <c r="X183" s="541"/>
      <c r="Y183" s="541">
        <v>9</v>
      </c>
      <c r="Z183" s="541"/>
      <c r="AA183" s="541"/>
      <c r="AB183" s="541"/>
      <c r="AC183" s="542" t="e">
        <f>IF(NFI_Expiration=1,IF(#REF!&lt;VLOOKUP(L$5,NFI,5,0),1,0)*Table_NFI[[#This Row],[NFI Core Kit]],Table_NFI[NFI Core Kit])</f>
        <v>#REF!</v>
      </c>
      <c r="AD183" s="542" t="e">
        <f>IF(NFI_Expiration=1,IF(#REF!&lt;VLOOKUP(M$5,NFI,5,0),1,0)*Table_NFI[[#This Row],[Sanitary Kit]],Table_NFI[Sanitary Kit])</f>
        <v>#REF!</v>
      </c>
      <c r="AE183" s="542" t="e">
        <f>IF(NFI_Expiration=1,IF(#REF!&lt;VLOOKUP(N$5,NFI,5,0),1,0)*Table_NFI[[#This Row],[Mosquito net]],Table_NFI[Mosquito net])</f>
        <v>#REF!</v>
      </c>
      <c r="AF183" s="542" t="e">
        <f>IF(NFI_Expiration=1,IF(#REF!&lt;VLOOKUP(O$5,NFI,5,0),1,0)*Table_NFI[[#This Row],[Tarpaulin]],Table_NFI[[#This Row],[Tarpaulin]])</f>
        <v>#REF!</v>
      </c>
      <c r="AG183" s="542" t="e">
        <f>IF(NFI_Expiration=1,IF(#REF!&lt;VLOOKUP(P$5,NFI,5,0),1,0)*Table_NFI[[#This Row],[Blanket]],Table_NFI[[#This Row],[Blanket]])</f>
        <v>#REF!</v>
      </c>
      <c r="AH183" s="542" t="e">
        <f>IF(NFI_Expiration=1,IF(#REF!&lt;VLOOKUP(Q$5,NFI,5,0),1,0)*Table_NFI[[#This Row],[Kitchen Set]],Table_NFI[Kitchen Set])</f>
        <v>#REF!</v>
      </c>
      <c r="AI183" s="542" t="e">
        <f>IF(NFI_Expiration=1,IF(#REF!&lt;VLOOKUP(R$5,NFI,5,0),1,0)*Table_NFI[[#This Row],[Clothes Kit]],Table_NFI[Clothes Kit])</f>
        <v>#REF!</v>
      </c>
      <c r="AJ183" s="542" t="e">
        <f>IF(NFI_Expiration=1,IF(#REF!&lt;VLOOKUP(S$5,NFI,5,0),1,0)*Table_NFI[[#This Row],[Plastic Bucket]],Table_NFI[Plastic Bucket])</f>
        <v>#REF!</v>
      </c>
      <c r="AK183" s="542" t="e">
        <f>IF(NFI_Expiration=1,IF(#REF!&lt;VLOOKUP(T$5,NFI,5,0),1,0)*Table_NFI[[#This Row],[Plastic Mat]],Table_NFI[Plastic Mat])*IF(Table_NFI[[#This Row],[Distribution Date]]&gt;"2014-04-01",1,2.5)</f>
        <v>#REF!</v>
      </c>
      <c r="AL183" s="542" t="e">
        <f>IF(NFI_Expiration=1,IF(#REF!&lt;VLOOKUP(U$5,NFI,5,0),1,0)*Table_NFI[[#This Row],[Winter Clothes Adult]],Table_NFI[Winter Clothes Adult])</f>
        <v>#REF!</v>
      </c>
      <c r="AM183" s="542"/>
      <c r="AN183" s="542"/>
      <c r="AO183" s="542"/>
      <c r="AP183" s="542">
        <f>IF(Table_NFI[[#This Row],[Winter Clothes Adult]]+Table_NFI[[#This Row],[Winter Clothes Children]]+Table_NFI[[#This Row],[Winter Items Other]]+Table_NFI[[#This Row],[Winter Blanket]]&gt;0,1,0)</f>
        <v>0</v>
      </c>
      <c r="AQ183" s="542"/>
      <c r="AR183" s="542"/>
      <c r="AS183" s="542"/>
      <c r="AT183" s="205" t="str">
        <f>IFERROR(VLOOKUP(Table_NFI[[#This Row],[Location]],CL,2,0),"")</f>
        <v>MMR001CMP162</v>
      </c>
      <c r="AU183" s="183"/>
    </row>
    <row r="184" spans="2:47" x14ac:dyDescent="0.25">
      <c r="B184" s="540">
        <v>43165</v>
      </c>
      <c r="C184" s="540" t="str">
        <f>MONTH(Table_NFI[[#This Row],[Distribution Date]]) &amp; "/" &amp; YEAR(Table_NFI[[#This Row],[Distribution Date]])</f>
        <v>3/2018</v>
      </c>
      <c r="D184" s="198" t="s">
        <v>1088</v>
      </c>
      <c r="E184" s="198" t="s">
        <v>1088</v>
      </c>
      <c r="F184" s="198" t="s">
        <v>378</v>
      </c>
      <c r="G184" s="197" t="s">
        <v>309</v>
      </c>
      <c r="H184" s="198" t="s">
        <v>329</v>
      </c>
      <c r="I184" s="183"/>
      <c r="J184" s="541"/>
      <c r="K184" s="541"/>
      <c r="L184" s="541"/>
      <c r="M184" s="541"/>
      <c r="N184" s="541"/>
      <c r="O184" s="541"/>
      <c r="P184" s="541"/>
      <c r="Q184" s="541"/>
      <c r="R184" s="541"/>
      <c r="S184" s="541"/>
      <c r="T184" s="541"/>
      <c r="U184" s="541"/>
      <c r="V184" s="541"/>
      <c r="W184" s="541">
        <v>1473</v>
      </c>
      <c r="X184" s="541"/>
      <c r="Y184" s="541"/>
      <c r="Z184" s="541"/>
      <c r="AA184" s="541"/>
      <c r="AB184" s="541"/>
      <c r="AC184" s="542" t="e">
        <f>IF(NFI_Expiration=1,IF(#REF!&lt;VLOOKUP(L$5,NFI,5,0),1,0)*Table_NFI[[#This Row],[NFI Core Kit]],Table_NFI[NFI Core Kit])</f>
        <v>#REF!</v>
      </c>
      <c r="AD184" s="542" t="e">
        <f>IF(NFI_Expiration=1,IF(#REF!&lt;VLOOKUP(M$5,NFI,5,0),1,0)*Table_NFI[[#This Row],[Sanitary Kit]],Table_NFI[Sanitary Kit])</f>
        <v>#REF!</v>
      </c>
      <c r="AE184" s="542" t="e">
        <f>IF(NFI_Expiration=1,IF(#REF!&lt;VLOOKUP(N$5,NFI,5,0),1,0)*Table_NFI[[#This Row],[Mosquito net]],Table_NFI[Mosquito net])</f>
        <v>#REF!</v>
      </c>
      <c r="AF184" s="542" t="e">
        <f>IF(NFI_Expiration=1,IF(#REF!&lt;VLOOKUP(O$5,NFI,5,0),1,0)*Table_NFI[[#This Row],[Tarpaulin]],Table_NFI[[#This Row],[Tarpaulin]])</f>
        <v>#REF!</v>
      </c>
      <c r="AG184" s="542" t="e">
        <f>IF(NFI_Expiration=1,IF(#REF!&lt;VLOOKUP(P$5,NFI,5,0),1,0)*Table_NFI[[#This Row],[Blanket]],Table_NFI[[#This Row],[Blanket]])</f>
        <v>#REF!</v>
      </c>
      <c r="AH184" s="542" t="e">
        <f>IF(NFI_Expiration=1,IF(#REF!&lt;VLOOKUP(Q$5,NFI,5,0),1,0)*Table_NFI[[#This Row],[Kitchen Set]],Table_NFI[Kitchen Set])</f>
        <v>#REF!</v>
      </c>
      <c r="AI184" s="542" t="e">
        <f>IF(NFI_Expiration=1,IF(#REF!&lt;VLOOKUP(R$5,NFI,5,0),1,0)*Table_NFI[[#This Row],[Clothes Kit]],Table_NFI[Clothes Kit])</f>
        <v>#REF!</v>
      </c>
      <c r="AJ184" s="542" t="e">
        <f>IF(NFI_Expiration=1,IF(#REF!&lt;VLOOKUP(S$5,NFI,5,0),1,0)*Table_NFI[[#This Row],[Plastic Bucket]],Table_NFI[Plastic Bucket])</f>
        <v>#REF!</v>
      </c>
      <c r="AK184" s="542" t="e">
        <f>IF(NFI_Expiration=1,IF(#REF!&lt;VLOOKUP(T$5,NFI,5,0),1,0)*Table_NFI[[#This Row],[Plastic Mat]],Table_NFI[Plastic Mat])*IF(Table_NFI[[#This Row],[Distribution Date]]&gt;"2014-04-01",1,2.5)</f>
        <v>#REF!</v>
      </c>
      <c r="AL184" s="542" t="e">
        <f>IF(NFI_Expiration=1,IF(#REF!&lt;VLOOKUP(U$5,NFI,5,0),1,0)*Table_NFI[[#This Row],[Winter Clothes Adult]],Table_NFI[Winter Clothes Adult])</f>
        <v>#REF!</v>
      </c>
      <c r="AM184" s="542"/>
      <c r="AN184" s="542"/>
      <c r="AO184" s="542"/>
      <c r="AP184" s="542">
        <f>IF(Table_NFI[[#This Row],[Winter Clothes Adult]]+Table_NFI[[#This Row],[Winter Clothes Children]]+Table_NFI[[#This Row],[Winter Items Other]]+Table_NFI[[#This Row],[Winter Blanket]]&gt;0,1,0)</f>
        <v>1</v>
      </c>
      <c r="AQ184" s="542"/>
      <c r="AR184" s="542"/>
      <c r="AS184" s="542"/>
      <c r="AT184" s="205" t="str">
        <f>IFERROR(VLOOKUP(Table_NFI[[#This Row],[Location]],CL,2,0),"")</f>
        <v>MMR001CMP029</v>
      </c>
      <c r="AU184" s="183"/>
    </row>
    <row r="185" spans="2:47" x14ac:dyDescent="0.25">
      <c r="B185" s="540">
        <v>43109</v>
      </c>
      <c r="C185" s="540" t="str">
        <f>MONTH(Table_NFI[[#This Row],[Distribution Date]]) &amp; "/" &amp; YEAR(Table_NFI[[#This Row],[Distribution Date]])</f>
        <v>1/2018</v>
      </c>
      <c r="D185" s="198" t="s">
        <v>1458</v>
      </c>
      <c r="E185" s="198"/>
      <c r="F185" s="198" t="s">
        <v>506</v>
      </c>
      <c r="G185" s="197" t="s">
        <v>297</v>
      </c>
      <c r="H185" s="198" t="s">
        <v>759</v>
      </c>
      <c r="I185" s="183">
        <v>1</v>
      </c>
      <c r="J185" s="541"/>
      <c r="K185" s="541"/>
      <c r="L185" s="541"/>
      <c r="M185" s="541"/>
      <c r="N185" s="541"/>
      <c r="O185" s="541"/>
      <c r="P185" s="541"/>
      <c r="Q185" s="541"/>
      <c r="R185" s="541"/>
      <c r="S185" s="541"/>
      <c r="T185" s="541"/>
      <c r="U185" s="541"/>
      <c r="V185" s="541"/>
      <c r="W185" s="541"/>
      <c r="X185" s="541"/>
      <c r="Y185" s="541"/>
      <c r="Z185" s="541"/>
      <c r="AA185" s="541"/>
      <c r="AB185" s="541"/>
      <c r="AC185" s="542" t="e">
        <f>IF(NFI_Expiration=1,IF(#REF!&lt;VLOOKUP(L$5,NFI,5,0),1,0)*Table_NFI[[#This Row],[NFI Core Kit]],Table_NFI[NFI Core Kit])</f>
        <v>#REF!</v>
      </c>
      <c r="AD185" s="542" t="e">
        <f>IF(NFI_Expiration=1,IF(#REF!&lt;VLOOKUP(M$5,NFI,5,0),1,0)*Table_NFI[[#This Row],[Sanitary Kit]],Table_NFI[Sanitary Kit])</f>
        <v>#REF!</v>
      </c>
      <c r="AE185" s="542" t="e">
        <f>IF(NFI_Expiration=1,IF(#REF!&lt;VLOOKUP(N$5,NFI,5,0),1,0)*Table_NFI[[#This Row],[Mosquito net]],Table_NFI[Mosquito net])</f>
        <v>#REF!</v>
      </c>
      <c r="AF185" s="542" t="e">
        <f>IF(NFI_Expiration=1,IF(#REF!&lt;VLOOKUP(O$5,NFI,5,0),1,0)*Table_NFI[[#This Row],[Tarpaulin]],Table_NFI[[#This Row],[Tarpaulin]])</f>
        <v>#REF!</v>
      </c>
      <c r="AG185" s="542" t="e">
        <f>IF(NFI_Expiration=1,IF(#REF!&lt;VLOOKUP(P$5,NFI,5,0),1,0)*Table_NFI[[#This Row],[Blanket]],Table_NFI[[#This Row],[Blanket]])</f>
        <v>#REF!</v>
      </c>
      <c r="AH185" s="542" t="e">
        <f>IF(NFI_Expiration=1,IF(#REF!&lt;VLOOKUP(Q$5,NFI,5,0),1,0)*Table_NFI[[#This Row],[Kitchen Set]],Table_NFI[Kitchen Set])</f>
        <v>#REF!</v>
      </c>
      <c r="AI185" s="542" t="e">
        <f>IF(NFI_Expiration=1,IF(#REF!&lt;VLOOKUP(R$5,NFI,5,0),1,0)*Table_NFI[[#This Row],[Clothes Kit]],Table_NFI[Clothes Kit])</f>
        <v>#REF!</v>
      </c>
      <c r="AJ185" s="542" t="e">
        <f>IF(NFI_Expiration=1,IF(#REF!&lt;VLOOKUP(S$5,NFI,5,0),1,0)*Table_NFI[[#This Row],[Plastic Bucket]],Table_NFI[Plastic Bucket])</f>
        <v>#REF!</v>
      </c>
      <c r="AK185" s="542" t="e">
        <f>IF(NFI_Expiration=1,IF(#REF!&lt;VLOOKUP(T$5,NFI,5,0),1,0)*Table_NFI[[#This Row],[Plastic Mat]],Table_NFI[Plastic Mat])*IF(Table_NFI[[#This Row],[Distribution Date]]&gt;"2014-04-01",1,2.5)</f>
        <v>#REF!</v>
      </c>
      <c r="AL185" s="542" t="e">
        <f>IF(NFI_Expiration=1,IF(#REF!&lt;VLOOKUP(U$5,NFI,5,0),1,0)*Table_NFI[[#This Row],[Winter Clothes Adult]],Table_NFI[Winter Clothes Adult])</f>
        <v>#REF!</v>
      </c>
      <c r="AM185" s="542"/>
      <c r="AN185" s="542"/>
      <c r="AO185" s="542"/>
      <c r="AP185" s="542">
        <f>IF(Table_NFI[[#This Row],[Winter Clothes Adult]]+Table_NFI[[#This Row],[Winter Clothes Children]]+Table_NFI[[#This Row],[Winter Items Other]]+Table_NFI[[#This Row],[Winter Blanket]]&gt;0,1,0)</f>
        <v>0</v>
      </c>
      <c r="AQ185" s="542"/>
      <c r="AR185" s="542"/>
      <c r="AS185" s="542"/>
      <c r="AT185" s="205" t="str">
        <f>IFERROR(VLOOKUP(Table_NFI[[#This Row],[Location]],CL,2,0),"")</f>
        <v>MMR015CMP014</v>
      </c>
      <c r="AU185" s="183"/>
    </row>
    <row r="186" spans="2:47" x14ac:dyDescent="0.25">
      <c r="B186" s="540">
        <v>43109</v>
      </c>
      <c r="C186" s="540" t="str">
        <f>MONTH(Table_NFI[[#This Row],[Distribution Date]]) &amp; "/" &amp; YEAR(Table_NFI[[#This Row],[Distribution Date]])</f>
        <v>1/2018</v>
      </c>
      <c r="D186" s="198" t="s">
        <v>1458</v>
      </c>
      <c r="E186" s="198"/>
      <c r="F186" s="198" t="s">
        <v>506</v>
      </c>
      <c r="G186" s="197" t="s">
        <v>297</v>
      </c>
      <c r="H186" s="198" t="s">
        <v>1190</v>
      </c>
      <c r="I186" s="183">
        <v>1</v>
      </c>
      <c r="J186" s="541"/>
      <c r="K186" s="541"/>
      <c r="L186" s="541"/>
      <c r="M186" s="541"/>
      <c r="N186" s="541"/>
      <c r="O186" s="541"/>
      <c r="P186" s="541"/>
      <c r="Q186" s="541"/>
      <c r="R186" s="541"/>
      <c r="S186" s="541"/>
      <c r="T186" s="541"/>
      <c r="U186" s="541"/>
      <c r="V186" s="541"/>
      <c r="W186" s="541"/>
      <c r="X186" s="541"/>
      <c r="Y186" s="541"/>
      <c r="Z186" s="541"/>
      <c r="AA186" s="541"/>
      <c r="AB186" s="541"/>
      <c r="AC186" s="542" t="e">
        <f>IF(NFI_Expiration=1,IF(#REF!&lt;VLOOKUP(L$5,NFI,5,0),1,0)*Table_NFI[[#This Row],[NFI Core Kit]],Table_NFI[NFI Core Kit])</f>
        <v>#REF!</v>
      </c>
      <c r="AD186" s="542" t="e">
        <f>IF(NFI_Expiration=1,IF(#REF!&lt;VLOOKUP(M$5,NFI,5,0),1,0)*Table_NFI[[#This Row],[Sanitary Kit]],Table_NFI[Sanitary Kit])</f>
        <v>#REF!</v>
      </c>
      <c r="AE186" s="542" t="e">
        <f>IF(NFI_Expiration=1,IF(#REF!&lt;VLOOKUP(N$5,NFI,5,0),1,0)*Table_NFI[[#This Row],[Mosquito net]],Table_NFI[Mosquito net])</f>
        <v>#REF!</v>
      </c>
      <c r="AF186" s="542" t="e">
        <f>IF(NFI_Expiration=1,IF(#REF!&lt;VLOOKUP(O$5,NFI,5,0),1,0)*Table_NFI[[#This Row],[Tarpaulin]],Table_NFI[[#This Row],[Tarpaulin]])</f>
        <v>#REF!</v>
      </c>
      <c r="AG186" s="542" t="e">
        <f>IF(NFI_Expiration=1,IF(#REF!&lt;VLOOKUP(P$5,NFI,5,0),1,0)*Table_NFI[[#This Row],[Blanket]],Table_NFI[[#This Row],[Blanket]])</f>
        <v>#REF!</v>
      </c>
      <c r="AH186" s="542" t="e">
        <f>IF(NFI_Expiration=1,IF(#REF!&lt;VLOOKUP(Q$5,NFI,5,0),1,0)*Table_NFI[[#This Row],[Kitchen Set]],Table_NFI[Kitchen Set])</f>
        <v>#REF!</v>
      </c>
      <c r="AI186" s="542" t="e">
        <f>IF(NFI_Expiration=1,IF(#REF!&lt;VLOOKUP(R$5,NFI,5,0),1,0)*Table_NFI[[#This Row],[Clothes Kit]],Table_NFI[Clothes Kit])</f>
        <v>#REF!</v>
      </c>
      <c r="AJ186" s="542" t="e">
        <f>IF(NFI_Expiration=1,IF(#REF!&lt;VLOOKUP(S$5,NFI,5,0),1,0)*Table_NFI[[#This Row],[Plastic Bucket]],Table_NFI[Plastic Bucket])</f>
        <v>#REF!</v>
      </c>
      <c r="AK186" s="542" t="e">
        <f>IF(NFI_Expiration=1,IF(#REF!&lt;VLOOKUP(T$5,NFI,5,0),1,0)*Table_NFI[[#This Row],[Plastic Mat]],Table_NFI[Plastic Mat])*IF(Table_NFI[[#This Row],[Distribution Date]]&gt;"2014-04-01",1,2.5)</f>
        <v>#REF!</v>
      </c>
      <c r="AL186" s="542" t="e">
        <f>IF(NFI_Expiration=1,IF(#REF!&lt;VLOOKUP(U$5,NFI,5,0),1,0)*Table_NFI[[#This Row],[Winter Clothes Adult]],Table_NFI[Winter Clothes Adult])</f>
        <v>#REF!</v>
      </c>
      <c r="AM186" s="542"/>
      <c r="AN186" s="542"/>
      <c r="AO186" s="542"/>
      <c r="AP186" s="542">
        <f>IF(Table_NFI[[#This Row],[Winter Clothes Adult]]+Table_NFI[[#This Row],[Winter Clothes Children]]+Table_NFI[[#This Row],[Winter Items Other]]+Table_NFI[[#This Row],[Winter Blanket]]&gt;0,1,0)</f>
        <v>0</v>
      </c>
      <c r="AQ186" s="542"/>
      <c r="AR186" s="542"/>
      <c r="AS186" s="542"/>
      <c r="AT186" s="205" t="str">
        <f>IFERROR(VLOOKUP(Table_NFI[[#This Row],[Location]],CL,2,0),"")</f>
        <v>MMR015CMP232</v>
      </c>
      <c r="AU186" s="183" t="s">
        <v>541</v>
      </c>
    </row>
    <row r="187" spans="2:47" x14ac:dyDescent="0.25">
      <c r="B187" s="540">
        <v>43109</v>
      </c>
      <c r="C187" s="540" t="str">
        <f>MONTH(Table_NFI[[#This Row],[Distribution Date]]) &amp; "/" &amp; YEAR(Table_NFI[[#This Row],[Distribution Date]])</f>
        <v>1/2018</v>
      </c>
      <c r="D187" s="198" t="s">
        <v>1458</v>
      </c>
      <c r="E187" s="198"/>
      <c r="F187" s="198" t="s">
        <v>378</v>
      </c>
      <c r="G187" s="197" t="s">
        <v>151</v>
      </c>
      <c r="H187" s="198" t="s">
        <v>154</v>
      </c>
      <c r="I187" s="183"/>
      <c r="J187" s="541">
        <v>3</v>
      </c>
      <c r="K187" s="541"/>
      <c r="L187" s="541"/>
      <c r="M187" s="541"/>
      <c r="N187" s="541"/>
      <c r="O187" s="541"/>
      <c r="P187" s="541"/>
      <c r="Q187" s="541">
        <v>3</v>
      </c>
      <c r="R187" s="541"/>
      <c r="S187" s="541"/>
      <c r="T187" s="541"/>
      <c r="U187" s="541">
        <v>3</v>
      </c>
      <c r="V187" s="541">
        <v>3</v>
      </c>
      <c r="W187" s="541">
        <v>3</v>
      </c>
      <c r="X187" s="541"/>
      <c r="Y187" s="541"/>
      <c r="Z187" s="541"/>
      <c r="AA187" s="541"/>
      <c r="AB187" s="541"/>
      <c r="AC187" s="542" t="e">
        <f>IF(NFI_Expiration=1,IF(#REF!&lt;VLOOKUP(L$5,NFI,5,0),1,0)*Table_NFI[[#This Row],[NFI Core Kit]],Table_NFI[NFI Core Kit])</f>
        <v>#REF!</v>
      </c>
      <c r="AD187" s="542" t="e">
        <f>IF(NFI_Expiration=1,IF(#REF!&lt;VLOOKUP(M$5,NFI,5,0),1,0)*Table_NFI[[#This Row],[Sanitary Kit]],Table_NFI[Sanitary Kit])</f>
        <v>#REF!</v>
      </c>
      <c r="AE187" s="542" t="e">
        <f>IF(NFI_Expiration=1,IF(#REF!&lt;VLOOKUP(N$5,NFI,5,0),1,0)*Table_NFI[[#This Row],[Mosquito net]],Table_NFI[Mosquito net])</f>
        <v>#REF!</v>
      </c>
      <c r="AF187" s="542" t="e">
        <f>IF(NFI_Expiration=1,IF(#REF!&lt;VLOOKUP(O$5,NFI,5,0),1,0)*Table_NFI[[#This Row],[Tarpaulin]],Table_NFI[[#This Row],[Tarpaulin]])</f>
        <v>#REF!</v>
      </c>
      <c r="AG187" s="542" t="e">
        <f>IF(NFI_Expiration=1,IF(#REF!&lt;VLOOKUP(P$5,NFI,5,0),1,0)*Table_NFI[[#This Row],[Blanket]],Table_NFI[[#This Row],[Blanket]])</f>
        <v>#REF!</v>
      </c>
      <c r="AH187" s="542" t="e">
        <f>IF(NFI_Expiration=1,IF(#REF!&lt;VLOOKUP(Q$5,NFI,5,0),1,0)*Table_NFI[[#This Row],[Kitchen Set]],Table_NFI[Kitchen Set])</f>
        <v>#REF!</v>
      </c>
      <c r="AI187" s="542" t="e">
        <f>IF(NFI_Expiration=1,IF(#REF!&lt;VLOOKUP(R$5,NFI,5,0),1,0)*Table_NFI[[#This Row],[Clothes Kit]],Table_NFI[Clothes Kit])</f>
        <v>#REF!</v>
      </c>
      <c r="AJ187" s="542" t="e">
        <f>IF(NFI_Expiration=1,IF(#REF!&lt;VLOOKUP(S$5,NFI,5,0),1,0)*Table_NFI[[#This Row],[Plastic Bucket]],Table_NFI[Plastic Bucket])</f>
        <v>#REF!</v>
      </c>
      <c r="AK187" s="542" t="e">
        <f>IF(NFI_Expiration=1,IF(#REF!&lt;VLOOKUP(T$5,NFI,5,0),1,0)*Table_NFI[[#This Row],[Plastic Mat]],Table_NFI[Plastic Mat])*IF(Table_NFI[[#This Row],[Distribution Date]]&gt;"2014-04-01",1,2.5)</f>
        <v>#REF!</v>
      </c>
      <c r="AL187" s="542" t="e">
        <f>IF(NFI_Expiration=1,IF(#REF!&lt;VLOOKUP(U$5,NFI,5,0),1,0)*Table_NFI[[#This Row],[Winter Clothes Adult]],Table_NFI[Winter Clothes Adult])</f>
        <v>#REF!</v>
      </c>
      <c r="AM187" s="542"/>
      <c r="AN187" s="542"/>
      <c r="AO187" s="542"/>
      <c r="AP187" s="542">
        <f>IF(Table_NFI[[#This Row],[Winter Clothes Adult]]+Table_NFI[[#This Row],[Winter Clothes Children]]+Table_NFI[[#This Row],[Winter Items Other]]+Table_NFI[[#This Row],[Winter Blanket]]&gt;0,1,0)</f>
        <v>1</v>
      </c>
      <c r="AQ187" s="542"/>
      <c r="AR187" s="542"/>
      <c r="AS187" s="542"/>
      <c r="AT187" s="205" t="str">
        <f>IFERROR(VLOOKUP(Table_NFI[[#This Row],[Location]],CL,2,0),"")</f>
        <v>MMR001CMP132</v>
      </c>
      <c r="AU187" s="183"/>
    </row>
    <row r="188" spans="2:47" x14ac:dyDescent="0.25">
      <c r="B188" s="540">
        <v>43111</v>
      </c>
      <c r="C188" s="540" t="str">
        <f>MONTH(Table_NFI[[#This Row],[Distribution Date]]) &amp; "/" &amp; YEAR(Table_NFI[[#This Row],[Distribution Date]])</f>
        <v>1/2018</v>
      </c>
      <c r="D188" s="198" t="s">
        <v>1458</v>
      </c>
      <c r="E188" s="198"/>
      <c r="F188" s="198" t="s">
        <v>506</v>
      </c>
      <c r="G188" s="197" t="s">
        <v>297</v>
      </c>
      <c r="H188" s="198" t="s">
        <v>1275</v>
      </c>
      <c r="I188" s="183">
        <v>1</v>
      </c>
      <c r="J188" s="541"/>
      <c r="K188" s="541"/>
      <c r="L188" s="541"/>
      <c r="M188" s="541"/>
      <c r="N188" s="541"/>
      <c r="O188" s="541"/>
      <c r="P188" s="541"/>
      <c r="Q188" s="541"/>
      <c r="R188" s="541"/>
      <c r="S188" s="541"/>
      <c r="T188" s="541"/>
      <c r="U188" s="541"/>
      <c r="V188" s="541"/>
      <c r="W188" s="541"/>
      <c r="X188" s="541"/>
      <c r="Y188" s="541"/>
      <c r="Z188" s="541"/>
      <c r="AA188" s="541"/>
      <c r="AB188" s="541"/>
      <c r="AC188" s="542" t="e">
        <f>IF(NFI_Expiration=1,IF(#REF!&lt;VLOOKUP(L$5,NFI,5,0),1,0)*Table_NFI[[#This Row],[NFI Core Kit]],Table_NFI[NFI Core Kit])</f>
        <v>#REF!</v>
      </c>
      <c r="AD188" s="542" t="e">
        <f>IF(NFI_Expiration=1,IF(#REF!&lt;VLOOKUP(M$5,NFI,5,0),1,0)*Table_NFI[[#This Row],[Sanitary Kit]],Table_NFI[Sanitary Kit])</f>
        <v>#REF!</v>
      </c>
      <c r="AE188" s="542" t="e">
        <f>IF(NFI_Expiration=1,IF(#REF!&lt;VLOOKUP(N$5,NFI,5,0),1,0)*Table_NFI[[#This Row],[Mosquito net]],Table_NFI[Mosquito net])</f>
        <v>#REF!</v>
      </c>
      <c r="AF188" s="542" t="e">
        <f>IF(NFI_Expiration=1,IF(#REF!&lt;VLOOKUP(O$5,NFI,5,0),1,0)*Table_NFI[[#This Row],[Tarpaulin]],Table_NFI[[#This Row],[Tarpaulin]])</f>
        <v>#REF!</v>
      </c>
      <c r="AG188" s="542" t="e">
        <f>IF(NFI_Expiration=1,IF(#REF!&lt;VLOOKUP(P$5,NFI,5,0),1,0)*Table_NFI[[#This Row],[Blanket]],Table_NFI[[#This Row],[Blanket]])</f>
        <v>#REF!</v>
      </c>
      <c r="AH188" s="542" t="e">
        <f>IF(NFI_Expiration=1,IF(#REF!&lt;VLOOKUP(Q$5,NFI,5,0),1,0)*Table_NFI[[#This Row],[Kitchen Set]],Table_NFI[Kitchen Set])</f>
        <v>#REF!</v>
      </c>
      <c r="AI188" s="542" t="e">
        <f>IF(NFI_Expiration=1,IF(#REF!&lt;VLOOKUP(R$5,NFI,5,0),1,0)*Table_NFI[[#This Row],[Clothes Kit]],Table_NFI[Clothes Kit])</f>
        <v>#REF!</v>
      </c>
      <c r="AJ188" s="542" t="e">
        <f>IF(NFI_Expiration=1,IF(#REF!&lt;VLOOKUP(S$5,NFI,5,0),1,0)*Table_NFI[[#This Row],[Plastic Bucket]],Table_NFI[Plastic Bucket])</f>
        <v>#REF!</v>
      </c>
      <c r="AK188" s="542" t="e">
        <f>IF(NFI_Expiration=1,IF(#REF!&lt;VLOOKUP(T$5,NFI,5,0),1,0)*Table_NFI[[#This Row],[Plastic Mat]],Table_NFI[Plastic Mat])*IF(Table_NFI[[#This Row],[Distribution Date]]&gt;"2014-04-01",1,2.5)</f>
        <v>#REF!</v>
      </c>
      <c r="AL188" s="542" t="e">
        <f>IF(NFI_Expiration=1,IF(#REF!&lt;VLOOKUP(U$5,NFI,5,0),1,0)*Table_NFI[[#This Row],[Winter Clothes Adult]],Table_NFI[Winter Clothes Adult])</f>
        <v>#REF!</v>
      </c>
      <c r="AM188" s="542"/>
      <c r="AN188" s="542"/>
      <c r="AO188" s="542"/>
      <c r="AP188" s="542">
        <f>IF(Table_NFI[[#This Row],[Winter Clothes Adult]]+Table_NFI[[#This Row],[Winter Clothes Children]]+Table_NFI[[#This Row],[Winter Items Other]]+Table_NFI[[#This Row],[Winter Blanket]]&gt;0,1,0)</f>
        <v>0</v>
      </c>
      <c r="AQ188" s="542"/>
      <c r="AR188" s="542"/>
      <c r="AS188" s="542"/>
      <c r="AT188" s="205" t="str">
        <f>IFERROR(VLOOKUP(Table_NFI[[#This Row],[Location]],CL,2,0),"")</f>
        <v>MMR015CMP248</v>
      </c>
      <c r="AU188" s="183"/>
    </row>
    <row r="189" spans="2:47" x14ac:dyDescent="0.25">
      <c r="B189" s="540">
        <v>43112</v>
      </c>
      <c r="C189" s="540" t="str">
        <f>MONTH(Table_NFI[[#This Row],[Distribution Date]]) &amp; "/" &amp; YEAR(Table_NFI[[#This Row],[Distribution Date]])</f>
        <v>1/2018</v>
      </c>
      <c r="D189" s="198" t="s">
        <v>1458</v>
      </c>
      <c r="E189" s="198"/>
      <c r="F189" s="198" t="s">
        <v>506</v>
      </c>
      <c r="G189" s="197" t="s">
        <v>297</v>
      </c>
      <c r="H189" s="198" t="s">
        <v>759</v>
      </c>
      <c r="I189" s="183">
        <v>1</v>
      </c>
      <c r="J189" s="541"/>
      <c r="K189" s="541"/>
      <c r="L189" s="541"/>
      <c r="M189" s="541"/>
      <c r="N189" s="541"/>
      <c r="O189" s="541"/>
      <c r="P189" s="541"/>
      <c r="Q189" s="541"/>
      <c r="R189" s="541"/>
      <c r="S189" s="541"/>
      <c r="T189" s="541"/>
      <c r="U189" s="541"/>
      <c r="V189" s="541"/>
      <c r="W189" s="541"/>
      <c r="X189" s="541"/>
      <c r="Y189" s="541"/>
      <c r="Z189" s="541"/>
      <c r="AA189" s="541"/>
      <c r="AB189" s="541"/>
      <c r="AC189" s="542" t="e">
        <f>IF(NFI_Expiration=1,IF(#REF!&lt;VLOOKUP(L$5,NFI,5,0),1,0)*Table_NFI[[#This Row],[NFI Core Kit]],Table_NFI[NFI Core Kit])</f>
        <v>#REF!</v>
      </c>
      <c r="AD189" s="542" t="e">
        <f>IF(NFI_Expiration=1,IF(#REF!&lt;VLOOKUP(M$5,NFI,5,0),1,0)*Table_NFI[[#This Row],[Sanitary Kit]],Table_NFI[Sanitary Kit])</f>
        <v>#REF!</v>
      </c>
      <c r="AE189" s="542" t="e">
        <f>IF(NFI_Expiration=1,IF(#REF!&lt;VLOOKUP(N$5,NFI,5,0),1,0)*Table_NFI[[#This Row],[Mosquito net]],Table_NFI[Mosquito net])</f>
        <v>#REF!</v>
      </c>
      <c r="AF189" s="542" t="e">
        <f>IF(NFI_Expiration=1,IF(#REF!&lt;VLOOKUP(O$5,NFI,5,0),1,0)*Table_NFI[[#This Row],[Tarpaulin]],Table_NFI[[#This Row],[Tarpaulin]])</f>
        <v>#REF!</v>
      </c>
      <c r="AG189" s="542" t="e">
        <f>IF(NFI_Expiration=1,IF(#REF!&lt;VLOOKUP(P$5,NFI,5,0),1,0)*Table_NFI[[#This Row],[Blanket]],Table_NFI[[#This Row],[Blanket]])</f>
        <v>#REF!</v>
      </c>
      <c r="AH189" s="542" t="e">
        <f>IF(NFI_Expiration=1,IF(#REF!&lt;VLOOKUP(Q$5,NFI,5,0),1,0)*Table_NFI[[#This Row],[Kitchen Set]],Table_NFI[Kitchen Set])</f>
        <v>#REF!</v>
      </c>
      <c r="AI189" s="542" t="e">
        <f>IF(NFI_Expiration=1,IF(#REF!&lt;VLOOKUP(R$5,NFI,5,0),1,0)*Table_NFI[[#This Row],[Clothes Kit]],Table_NFI[Clothes Kit])</f>
        <v>#REF!</v>
      </c>
      <c r="AJ189" s="542" t="e">
        <f>IF(NFI_Expiration=1,IF(#REF!&lt;VLOOKUP(S$5,NFI,5,0),1,0)*Table_NFI[[#This Row],[Plastic Bucket]],Table_NFI[Plastic Bucket])</f>
        <v>#REF!</v>
      </c>
      <c r="AK189" s="542" t="e">
        <f>IF(NFI_Expiration=1,IF(#REF!&lt;VLOOKUP(T$5,NFI,5,0),1,0)*Table_NFI[[#This Row],[Plastic Mat]],Table_NFI[Plastic Mat])*IF(Table_NFI[[#This Row],[Distribution Date]]&gt;"2014-04-01",1,2.5)</f>
        <v>#REF!</v>
      </c>
      <c r="AL189" s="542" t="e">
        <f>IF(NFI_Expiration=1,IF(#REF!&lt;VLOOKUP(U$5,NFI,5,0),1,0)*Table_NFI[[#This Row],[Winter Clothes Adult]],Table_NFI[Winter Clothes Adult])</f>
        <v>#REF!</v>
      </c>
      <c r="AM189" s="542"/>
      <c r="AN189" s="542"/>
      <c r="AO189" s="542"/>
      <c r="AP189" s="542">
        <f>IF(Table_NFI[[#This Row],[Winter Clothes Adult]]+Table_NFI[[#This Row],[Winter Clothes Children]]+Table_NFI[[#This Row],[Winter Items Other]]+Table_NFI[[#This Row],[Winter Blanket]]&gt;0,1,0)</f>
        <v>0</v>
      </c>
      <c r="AQ189" s="542"/>
      <c r="AR189" s="542"/>
      <c r="AS189" s="542"/>
      <c r="AT189" s="205" t="str">
        <f>IFERROR(VLOOKUP(Table_NFI[[#This Row],[Location]],CL,2,0),"")</f>
        <v>MMR015CMP014</v>
      </c>
      <c r="AU189" s="183"/>
    </row>
    <row r="190" spans="2:47" x14ac:dyDescent="0.25">
      <c r="B190" s="540">
        <v>43115</v>
      </c>
      <c r="C190" s="540" t="str">
        <f>MONTH(Table_NFI[[#This Row],[Distribution Date]]) &amp; "/" &amp; YEAR(Table_NFI[[#This Row],[Distribution Date]])</f>
        <v>1/2018</v>
      </c>
      <c r="D190" s="198" t="s">
        <v>1458</v>
      </c>
      <c r="E190" s="198"/>
      <c r="F190" s="198" t="s">
        <v>506</v>
      </c>
      <c r="G190" s="197" t="s">
        <v>297</v>
      </c>
      <c r="H190" s="198" t="s">
        <v>1190</v>
      </c>
      <c r="I190" s="183">
        <v>18</v>
      </c>
      <c r="J190" s="541"/>
      <c r="K190" s="541"/>
      <c r="L190" s="541"/>
      <c r="M190" s="541"/>
      <c r="N190" s="541"/>
      <c r="O190" s="541"/>
      <c r="P190" s="541"/>
      <c r="Q190" s="541"/>
      <c r="R190" s="541"/>
      <c r="S190" s="541"/>
      <c r="T190" s="541"/>
      <c r="U190" s="541"/>
      <c r="V190" s="541"/>
      <c r="W190" s="541"/>
      <c r="X190" s="541"/>
      <c r="Y190" s="541"/>
      <c r="Z190" s="541"/>
      <c r="AA190" s="541"/>
      <c r="AB190" s="541"/>
      <c r="AC190" s="542" t="e">
        <f>IF(NFI_Expiration=1,IF(#REF!&lt;VLOOKUP(L$5,NFI,5,0),1,0)*Table_NFI[[#This Row],[NFI Core Kit]],Table_NFI[NFI Core Kit])</f>
        <v>#REF!</v>
      </c>
      <c r="AD190" s="542" t="e">
        <f>IF(NFI_Expiration=1,IF(#REF!&lt;VLOOKUP(M$5,NFI,5,0),1,0)*Table_NFI[[#This Row],[Sanitary Kit]],Table_NFI[Sanitary Kit])</f>
        <v>#REF!</v>
      </c>
      <c r="AE190" s="542" t="e">
        <f>IF(NFI_Expiration=1,IF(#REF!&lt;VLOOKUP(N$5,NFI,5,0),1,0)*Table_NFI[[#This Row],[Mosquito net]],Table_NFI[Mosquito net])</f>
        <v>#REF!</v>
      </c>
      <c r="AF190" s="542" t="e">
        <f>IF(NFI_Expiration=1,IF(#REF!&lt;VLOOKUP(O$5,NFI,5,0),1,0)*Table_NFI[[#This Row],[Tarpaulin]],Table_NFI[[#This Row],[Tarpaulin]])</f>
        <v>#REF!</v>
      </c>
      <c r="AG190" s="542" t="e">
        <f>IF(NFI_Expiration=1,IF(#REF!&lt;VLOOKUP(P$5,NFI,5,0),1,0)*Table_NFI[[#This Row],[Blanket]],Table_NFI[[#This Row],[Blanket]])</f>
        <v>#REF!</v>
      </c>
      <c r="AH190" s="542" t="e">
        <f>IF(NFI_Expiration=1,IF(#REF!&lt;VLOOKUP(Q$5,NFI,5,0),1,0)*Table_NFI[[#This Row],[Kitchen Set]],Table_NFI[Kitchen Set])</f>
        <v>#REF!</v>
      </c>
      <c r="AI190" s="542" t="e">
        <f>IF(NFI_Expiration=1,IF(#REF!&lt;VLOOKUP(R$5,NFI,5,0),1,0)*Table_NFI[[#This Row],[Clothes Kit]],Table_NFI[Clothes Kit])</f>
        <v>#REF!</v>
      </c>
      <c r="AJ190" s="542" t="e">
        <f>IF(NFI_Expiration=1,IF(#REF!&lt;VLOOKUP(S$5,NFI,5,0),1,0)*Table_NFI[[#This Row],[Plastic Bucket]],Table_NFI[Plastic Bucket])</f>
        <v>#REF!</v>
      </c>
      <c r="AK190" s="542" t="e">
        <f>IF(NFI_Expiration=1,IF(#REF!&lt;VLOOKUP(T$5,NFI,5,0),1,0)*Table_NFI[[#This Row],[Plastic Mat]],Table_NFI[Plastic Mat])*IF(Table_NFI[[#This Row],[Distribution Date]]&gt;"2014-04-01",1,2.5)</f>
        <v>#REF!</v>
      </c>
      <c r="AL190" s="542" t="e">
        <f>IF(NFI_Expiration=1,IF(#REF!&lt;VLOOKUP(U$5,NFI,5,0),1,0)*Table_NFI[[#This Row],[Winter Clothes Adult]],Table_NFI[Winter Clothes Adult])</f>
        <v>#REF!</v>
      </c>
      <c r="AM190" s="542"/>
      <c r="AN190" s="542"/>
      <c r="AO190" s="542"/>
      <c r="AP190" s="542">
        <f>IF(Table_NFI[[#This Row],[Winter Clothes Adult]]+Table_NFI[[#This Row],[Winter Clothes Children]]+Table_NFI[[#This Row],[Winter Items Other]]+Table_NFI[[#This Row],[Winter Blanket]]&gt;0,1,0)</f>
        <v>0</v>
      </c>
      <c r="AQ190" s="542"/>
      <c r="AR190" s="542"/>
      <c r="AS190" s="542"/>
      <c r="AT190" s="205" t="str">
        <f>IFERROR(VLOOKUP(Table_NFI[[#This Row],[Location]],CL,2,0),"")</f>
        <v>MMR015CMP232</v>
      </c>
      <c r="AU190" s="183" t="s">
        <v>1617</v>
      </c>
    </row>
    <row r="191" spans="2:47" x14ac:dyDescent="0.25">
      <c r="B191" s="540">
        <v>43115</v>
      </c>
      <c r="C191" s="540" t="str">
        <f>MONTH(Table_NFI[[#This Row],[Distribution Date]]) &amp; "/" &amp; YEAR(Table_NFI[[#This Row],[Distribution Date]])</f>
        <v>1/2018</v>
      </c>
      <c r="D191" s="198" t="s">
        <v>1458</v>
      </c>
      <c r="E191" s="198"/>
      <c r="F191" s="198" t="s">
        <v>506</v>
      </c>
      <c r="G191" s="197" t="s">
        <v>288</v>
      </c>
      <c r="H191" s="198" t="s">
        <v>372</v>
      </c>
      <c r="I191" s="183">
        <v>2</v>
      </c>
      <c r="J191" s="541"/>
      <c r="K191" s="541"/>
      <c r="L191" s="541"/>
      <c r="M191" s="541"/>
      <c r="N191" s="541"/>
      <c r="O191" s="541"/>
      <c r="P191" s="541"/>
      <c r="Q191" s="541">
        <v>2</v>
      </c>
      <c r="R191" s="541"/>
      <c r="S191" s="541">
        <v>2</v>
      </c>
      <c r="T191" s="541"/>
      <c r="U191" s="541"/>
      <c r="V191" s="541"/>
      <c r="W191" s="541"/>
      <c r="X191" s="541">
        <v>2</v>
      </c>
      <c r="Y191" s="541"/>
      <c r="Z191" s="541"/>
      <c r="AA191" s="541"/>
      <c r="AB191" s="541"/>
      <c r="AC191" s="542" t="e">
        <f>IF(NFI_Expiration=1,IF(#REF!&lt;VLOOKUP(L$5,NFI,5,0),1,0)*Table_NFI[[#This Row],[NFI Core Kit]],Table_NFI[NFI Core Kit])</f>
        <v>#REF!</v>
      </c>
      <c r="AD191" s="542" t="e">
        <f>IF(NFI_Expiration=1,IF(#REF!&lt;VLOOKUP(M$5,NFI,5,0),1,0)*Table_NFI[[#This Row],[Sanitary Kit]],Table_NFI[Sanitary Kit])</f>
        <v>#REF!</v>
      </c>
      <c r="AE191" s="542" t="e">
        <f>IF(NFI_Expiration=1,IF(#REF!&lt;VLOOKUP(N$5,NFI,5,0),1,0)*Table_NFI[[#This Row],[Mosquito net]],Table_NFI[Mosquito net])</f>
        <v>#REF!</v>
      </c>
      <c r="AF191" s="542" t="e">
        <f>IF(NFI_Expiration=1,IF(#REF!&lt;VLOOKUP(O$5,NFI,5,0),1,0)*Table_NFI[[#This Row],[Tarpaulin]],Table_NFI[[#This Row],[Tarpaulin]])</f>
        <v>#REF!</v>
      </c>
      <c r="AG191" s="542" t="e">
        <f>IF(NFI_Expiration=1,IF(#REF!&lt;VLOOKUP(P$5,NFI,5,0),1,0)*Table_NFI[[#This Row],[Blanket]],Table_NFI[[#This Row],[Blanket]])</f>
        <v>#REF!</v>
      </c>
      <c r="AH191" s="542" t="e">
        <f>IF(NFI_Expiration=1,IF(#REF!&lt;VLOOKUP(Q$5,NFI,5,0),1,0)*Table_NFI[[#This Row],[Kitchen Set]],Table_NFI[Kitchen Set])</f>
        <v>#REF!</v>
      </c>
      <c r="AI191" s="542" t="e">
        <f>IF(NFI_Expiration=1,IF(#REF!&lt;VLOOKUP(R$5,NFI,5,0),1,0)*Table_NFI[[#This Row],[Clothes Kit]],Table_NFI[Clothes Kit])</f>
        <v>#REF!</v>
      </c>
      <c r="AJ191" s="542" t="e">
        <f>IF(NFI_Expiration=1,IF(#REF!&lt;VLOOKUP(S$5,NFI,5,0),1,0)*Table_NFI[[#This Row],[Plastic Bucket]],Table_NFI[Plastic Bucket])</f>
        <v>#REF!</v>
      </c>
      <c r="AK191" s="542" t="e">
        <f>IF(NFI_Expiration=1,IF(#REF!&lt;VLOOKUP(T$5,NFI,5,0),1,0)*Table_NFI[[#This Row],[Plastic Mat]],Table_NFI[Plastic Mat])*IF(Table_NFI[[#This Row],[Distribution Date]]&gt;"2014-04-01",1,2.5)</f>
        <v>#REF!</v>
      </c>
      <c r="AL191" s="542" t="e">
        <f>IF(NFI_Expiration=1,IF(#REF!&lt;VLOOKUP(U$5,NFI,5,0),1,0)*Table_NFI[[#This Row],[Winter Clothes Adult]],Table_NFI[Winter Clothes Adult])</f>
        <v>#REF!</v>
      </c>
      <c r="AM191" s="542"/>
      <c r="AN191" s="542"/>
      <c r="AO191" s="542"/>
      <c r="AP191" s="542">
        <f>IF(Table_NFI[[#This Row],[Winter Clothes Adult]]+Table_NFI[[#This Row],[Winter Clothes Children]]+Table_NFI[[#This Row],[Winter Items Other]]+Table_NFI[[#This Row],[Winter Blanket]]&gt;0,1,0)</f>
        <v>1</v>
      </c>
      <c r="AQ191" s="542"/>
      <c r="AR191" s="542"/>
      <c r="AS191" s="542"/>
      <c r="AT191" s="205" t="str">
        <f>IFERROR(VLOOKUP(Table_NFI[[#This Row],[Location]],CL,2,0),"")</f>
        <v>MMR015CMP003</v>
      </c>
      <c r="AU191" s="183" t="s">
        <v>1617</v>
      </c>
    </row>
    <row r="192" spans="2:47" x14ac:dyDescent="0.25">
      <c r="B192" s="540">
        <v>43115</v>
      </c>
      <c r="C192" s="540" t="str">
        <f>MONTH(Table_NFI[[#This Row],[Distribution Date]]) &amp; "/" &amp; YEAR(Table_NFI[[#This Row],[Distribution Date]])</f>
        <v>1/2018</v>
      </c>
      <c r="D192" s="198" t="s">
        <v>1458</v>
      </c>
      <c r="E192" s="198"/>
      <c r="F192" s="198" t="s">
        <v>506</v>
      </c>
      <c r="G192" s="197" t="s">
        <v>288</v>
      </c>
      <c r="H192" s="198" t="s">
        <v>291</v>
      </c>
      <c r="I192" s="183">
        <v>8</v>
      </c>
      <c r="J192" s="541"/>
      <c r="K192" s="541"/>
      <c r="L192" s="541"/>
      <c r="M192" s="541"/>
      <c r="N192" s="541"/>
      <c r="O192" s="541"/>
      <c r="P192" s="541"/>
      <c r="Q192" s="541">
        <v>8</v>
      </c>
      <c r="R192" s="541"/>
      <c r="S192" s="541">
        <v>8</v>
      </c>
      <c r="T192" s="541"/>
      <c r="U192" s="541"/>
      <c r="V192" s="541"/>
      <c r="W192" s="541"/>
      <c r="X192" s="541">
        <v>8</v>
      </c>
      <c r="Y192" s="541"/>
      <c r="Z192" s="541"/>
      <c r="AA192" s="541"/>
      <c r="AB192" s="541"/>
      <c r="AC192" s="542" t="e">
        <f>IF(NFI_Expiration=1,IF(#REF!&lt;VLOOKUP(L$5,NFI,5,0),1,0)*Table_NFI[[#This Row],[NFI Core Kit]],Table_NFI[NFI Core Kit])</f>
        <v>#REF!</v>
      </c>
      <c r="AD192" s="542" t="e">
        <f>IF(NFI_Expiration=1,IF(#REF!&lt;VLOOKUP(M$5,NFI,5,0),1,0)*Table_NFI[[#This Row],[Sanitary Kit]],Table_NFI[Sanitary Kit])</f>
        <v>#REF!</v>
      </c>
      <c r="AE192" s="542" t="e">
        <f>IF(NFI_Expiration=1,IF(#REF!&lt;VLOOKUP(N$5,NFI,5,0),1,0)*Table_NFI[[#This Row],[Mosquito net]],Table_NFI[Mosquito net])</f>
        <v>#REF!</v>
      </c>
      <c r="AF192" s="542" t="e">
        <f>IF(NFI_Expiration=1,IF(#REF!&lt;VLOOKUP(O$5,NFI,5,0),1,0)*Table_NFI[[#This Row],[Tarpaulin]],Table_NFI[[#This Row],[Tarpaulin]])</f>
        <v>#REF!</v>
      </c>
      <c r="AG192" s="542" t="e">
        <f>IF(NFI_Expiration=1,IF(#REF!&lt;VLOOKUP(P$5,NFI,5,0),1,0)*Table_NFI[[#This Row],[Blanket]],Table_NFI[[#This Row],[Blanket]])</f>
        <v>#REF!</v>
      </c>
      <c r="AH192" s="542" t="e">
        <f>IF(NFI_Expiration=1,IF(#REF!&lt;VLOOKUP(Q$5,NFI,5,0),1,0)*Table_NFI[[#This Row],[Kitchen Set]],Table_NFI[Kitchen Set])</f>
        <v>#REF!</v>
      </c>
      <c r="AI192" s="542" t="e">
        <f>IF(NFI_Expiration=1,IF(#REF!&lt;VLOOKUP(R$5,NFI,5,0),1,0)*Table_NFI[[#This Row],[Clothes Kit]],Table_NFI[Clothes Kit])</f>
        <v>#REF!</v>
      </c>
      <c r="AJ192" s="542" t="e">
        <f>IF(NFI_Expiration=1,IF(#REF!&lt;VLOOKUP(S$5,NFI,5,0),1,0)*Table_NFI[[#This Row],[Plastic Bucket]],Table_NFI[Plastic Bucket])</f>
        <v>#REF!</v>
      </c>
      <c r="AK192" s="542" t="e">
        <f>IF(NFI_Expiration=1,IF(#REF!&lt;VLOOKUP(T$5,NFI,5,0),1,0)*Table_NFI[[#This Row],[Plastic Mat]],Table_NFI[Plastic Mat])*IF(Table_NFI[[#This Row],[Distribution Date]]&gt;"2014-04-01",1,2.5)</f>
        <v>#REF!</v>
      </c>
      <c r="AL192" s="542" t="e">
        <f>IF(NFI_Expiration=1,IF(#REF!&lt;VLOOKUP(U$5,NFI,5,0),1,0)*Table_NFI[[#This Row],[Winter Clothes Adult]],Table_NFI[Winter Clothes Adult])</f>
        <v>#REF!</v>
      </c>
      <c r="AM192" s="542"/>
      <c r="AN192" s="542"/>
      <c r="AO192" s="542"/>
      <c r="AP192" s="542">
        <f>IF(Table_NFI[[#This Row],[Winter Clothes Adult]]+Table_NFI[[#This Row],[Winter Clothes Children]]+Table_NFI[[#This Row],[Winter Items Other]]+Table_NFI[[#This Row],[Winter Blanket]]&gt;0,1,0)</f>
        <v>1</v>
      </c>
      <c r="AQ192" s="542"/>
      <c r="AR192" s="542"/>
      <c r="AS192" s="542"/>
      <c r="AT192" s="205" t="str">
        <f>IFERROR(VLOOKUP(Table_NFI[[#This Row],[Location]],CL,2,0),"")</f>
        <v>MMR015CMP004</v>
      </c>
      <c r="AU192" s="183" t="s">
        <v>1617</v>
      </c>
    </row>
    <row r="193" spans="2:47" x14ac:dyDescent="0.25">
      <c r="B193" s="540">
        <v>43115</v>
      </c>
      <c r="C193" s="540" t="str">
        <f>MONTH(Table_NFI[[#This Row],[Distribution Date]]) &amp; "/" &amp; YEAR(Table_NFI[[#This Row],[Distribution Date]])</f>
        <v>1/2018</v>
      </c>
      <c r="D193" s="198" t="s">
        <v>1458</v>
      </c>
      <c r="E193" s="198"/>
      <c r="F193" s="198" t="s">
        <v>506</v>
      </c>
      <c r="G193" s="197" t="s">
        <v>288</v>
      </c>
      <c r="H193" s="198" t="s">
        <v>916</v>
      </c>
      <c r="I193" s="183">
        <v>15</v>
      </c>
      <c r="J193" s="541"/>
      <c r="K193" s="541"/>
      <c r="L193" s="541"/>
      <c r="M193" s="541"/>
      <c r="N193" s="541"/>
      <c r="O193" s="541"/>
      <c r="P193" s="541"/>
      <c r="Q193" s="541">
        <v>15</v>
      </c>
      <c r="R193" s="541"/>
      <c r="S193" s="541">
        <v>15</v>
      </c>
      <c r="T193" s="541"/>
      <c r="U193" s="541"/>
      <c r="V193" s="541"/>
      <c r="W193" s="541"/>
      <c r="X193" s="541">
        <v>15</v>
      </c>
      <c r="Y193" s="541"/>
      <c r="Z193" s="541"/>
      <c r="AA193" s="541"/>
      <c r="AB193" s="541"/>
      <c r="AC193" s="542" t="e">
        <f>IF(NFI_Expiration=1,IF(#REF!&lt;VLOOKUP(L$5,NFI,5,0),1,0)*Table_NFI[[#This Row],[NFI Core Kit]],Table_NFI[NFI Core Kit])</f>
        <v>#REF!</v>
      </c>
      <c r="AD193" s="542" t="e">
        <f>IF(NFI_Expiration=1,IF(#REF!&lt;VLOOKUP(M$5,NFI,5,0),1,0)*Table_NFI[[#This Row],[Sanitary Kit]],Table_NFI[Sanitary Kit])</f>
        <v>#REF!</v>
      </c>
      <c r="AE193" s="542" t="e">
        <f>IF(NFI_Expiration=1,IF(#REF!&lt;VLOOKUP(N$5,NFI,5,0),1,0)*Table_NFI[[#This Row],[Mosquito net]],Table_NFI[Mosquito net])</f>
        <v>#REF!</v>
      </c>
      <c r="AF193" s="542" t="e">
        <f>IF(NFI_Expiration=1,IF(#REF!&lt;VLOOKUP(O$5,NFI,5,0),1,0)*Table_NFI[[#This Row],[Tarpaulin]],Table_NFI[[#This Row],[Tarpaulin]])</f>
        <v>#REF!</v>
      </c>
      <c r="AG193" s="542" t="e">
        <f>IF(NFI_Expiration=1,IF(#REF!&lt;VLOOKUP(P$5,NFI,5,0),1,0)*Table_NFI[[#This Row],[Blanket]],Table_NFI[[#This Row],[Blanket]])</f>
        <v>#REF!</v>
      </c>
      <c r="AH193" s="542" t="e">
        <f>IF(NFI_Expiration=1,IF(#REF!&lt;VLOOKUP(Q$5,NFI,5,0),1,0)*Table_NFI[[#This Row],[Kitchen Set]],Table_NFI[Kitchen Set])</f>
        <v>#REF!</v>
      </c>
      <c r="AI193" s="542" t="e">
        <f>IF(NFI_Expiration=1,IF(#REF!&lt;VLOOKUP(R$5,NFI,5,0),1,0)*Table_NFI[[#This Row],[Clothes Kit]],Table_NFI[Clothes Kit])</f>
        <v>#REF!</v>
      </c>
      <c r="AJ193" s="542" t="e">
        <f>IF(NFI_Expiration=1,IF(#REF!&lt;VLOOKUP(S$5,NFI,5,0),1,0)*Table_NFI[[#This Row],[Plastic Bucket]],Table_NFI[Plastic Bucket])</f>
        <v>#REF!</v>
      </c>
      <c r="AK193" s="542" t="e">
        <f>IF(NFI_Expiration=1,IF(#REF!&lt;VLOOKUP(T$5,NFI,5,0),1,0)*Table_NFI[[#This Row],[Plastic Mat]],Table_NFI[Plastic Mat])*IF(Table_NFI[[#This Row],[Distribution Date]]&gt;"2014-04-01",1,2.5)</f>
        <v>#REF!</v>
      </c>
      <c r="AL193" s="542" t="e">
        <f>IF(NFI_Expiration=1,IF(#REF!&lt;VLOOKUP(U$5,NFI,5,0),1,0)*Table_NFI[[#This Row],[Winter Clothes Adult]],Table_NFI[Winter Clothes Adult])</f>
        <v>#REF!</v>
      </c>
      <c r="AM193" s="542"/>
      <c r="AN193" s="542"/>
      <c r="AO193" s="542"/>
      <c r="AP193" s="542">
        <f>IF(Table_NFI[[#This Row],[Winter Clothes Adult]]+Table_NFI[[#This Row],[Winter Clothes Children]]+Table_NFI[[#This Row],[Winter Items Other]]+Table_NFI[[#This Row],[Winter Blanket]]&gt;0,1,0)</f>
        <v>1</v>
      </c>
      <c r="AQ193" s="542"/>
      <c r="AR193" s="542"/>
      <c r="AS193" s="542"/>
      <c r="AT193" s="205" t="str">
        <f>IFERROR(VLOOKUP(Table_NFI[[#This Row],[Location]],CL,2,0),"")</f>
        <v>MMR015CMP215</v>
      </c>
      <c r="AU193" s="183" t="s">
        <v>1617</v>
      </c>
    </row>
    <row r="194" spans="2:47" x14ac:dyDescent="0.25">
      <c r="B194" s="540">
        <v>43116</v>
      </c>
      <c r="C194" s="540" t="str">
        <f>MONTH(Table_NFI[[#This Row],[Distribution Date]]) &amp; "/" &amp; YEAR(Table_NFI[[#This Row],[Distribution Date]])</f>
        <v>1/2018</v>
      </c>
      <c r="D194" s="198" t="s">
        <v>1458</v>
      </c>
      <c r="E194" s="198"/>
      <c r="F194" s="198" t="s">
        <v>378</v>
      </c>
      <c r="G194" s="197" t="s">
        <v>151</v>
      </c>
      <c r="H194" s="198" t="s">
        <v>910</v>
      </c>
      <c r="I194" s="183"/>
      <c r="J194" s="541">
        <v>8</v>
      </c>
      <c r="K194" s="541"/>
      <c r="L194" s="541"/>
      <c r="M194" s="541"/>
      <c r="N194" s="541"/>
      <c r="O194" s="541"/>
      <c r="P194" s="541"/>
      <c r="Q194" s="541">
        <v>8</v>
      </c>
      <c r="R194" s="541"/>
      <c r="S194" s="541"/>
      <c r="T194" s="541"/>
      <c r="U194" s="541">
        <v>8</v>
      </c>
      <c r="V194" s="541">
        <v>8</v>
      </c>
      <c r="W194" s="541">
        <v>8</v>
      </c>
      <c r="X194" s="541">
        <v>8</v>
      </c>
      <c r="Y194" s="541"/>
      <c r="Z194" s="541"/>
      <c r="AA194" s="541"/>
      <c r="AB194" s="541"/>
      <c r="AC194" s="542" t="e">
        <f>IF(NFI_Expiration=1,IF(#REF!&lt;VLOOKUP(L$5,NFI,5,0),1,0)*Table_NFI[[#This Row],[NFI Core Kit]],Table_NFI[NFI Core Kit])</f>
        <v>#REF!</v>
      </c>
      <c r="AD194" s="542" t="e">
        <f>IF(NFI_Expiration=1,IF(#REF!&lt;VLOOKUP(M$5,NFI,5,0),1,0)*Table_NFI[[#This Row],[Sanitary Kit]],Table_NFI[Sanitary Kit])</f>
        <v>#REF!</v>
      </c>
      <c r="AE194" s="542" t="e">
        <f>IF(NFI_Expiration=1,IF(#REF!&lt;VLOOKUP(N$5,NFI,5,0),1,0)*Table_NFI[[#This Row],[Mosquito net]],Table_NFI[Mosquito net])</f>
        <v>#REF!</v>
      </c>
      <c r="AF194" s="542" t="e">
        <f>IF(NFI_Expiration=1,IF(#REF!&lt;VLOOKUP(O$5,NFI,5,0),1,0)*Table_NFI[[#This Row],[Tarpaulin]],Table_NFI[[#This Row],[Tarpaulin]])</f>
        <v>#REF!</v>
      </c>
      <c r="AG194" s="542" t="e">
        <f>IF(NFI_Expiration=1,IF(#REF!&lt;VLOOKUP(P$5,NFI,5,0),1,0)*Table_NFI[[#This Row],[Blanket]],Table_NFI[[#This Row],[Blanket]])</f>
        <v>#REF!</v>
      </c>
      <c r="AH194" s="542" t="e">
        <f>IF(NFI_Expiration=1,IF(#REF!&lt;VLOOKUP(Q$5,NFI,5,0),1,0)*Table_NFI[[#This Row],[Kitchen Set]],Table_NFI[Kitchen Set])</f>
        <v>#REF!</v>
      </c>
      <c r="AI194" s="542" t="e">
        <f>IF(NFI_Expiration=1,IF(#REF!&lt;VLOOKUP(R$5,NFI,5,0),1,0)*Table_NFI[[#This Row],[Clothes Kit]],Table_NFI[Clothes Kit])</f>
        <v>#REF!</v>
      </c>
      <c r="AJ194" s="542" t="e">
        <f>IF(NFI_Expiration=1,IF(#REF!&lt;VLOOKUP(S$5,NFI,5,0),1,0)*Table_NFI[[#This Row],[Plastic Bucket]],Table_NFI[Plastic Bucket])</f>
        <v>#REF!</v>
      </c>
      <c r="AK194" s="542" t="e">
        <f>IF(NFI_Expiration=1,IF(#REF!&lt;VLOOKUP(T$5,NFI,5,0),1,0)*Table_NFI[[#This Row],[Plastic Mat]],Table_NFI[Plastic Mat])*IF(Table_NFI[[#This Row],[Distribution Date]]&gt;"2014-04-01",1,2.5)</f>
        <v>#REF!</v>
      </c>
      <c r="AL194" s="542" t="e">
        <f>IF(NFI_Expiration=1,IF(#REF!&lt;VLOOKUP(U$5,NFI,5,0),1,0)*Table_NFI[[#This Row],[Winter Clothes Adult]],Table_NFI[Winter Clothes Adult])</f>
        <v>#REF!</v>
      </c>
      <c r="AM194" s="542"/>
      <c r="AN194" s="542"/>
      <c r="AO194" s="542"/>
      <c r="AP194" s="542">
        <f>IF(Table_NFI[[#This Row],[Winter Clothes Adult]]+Table_NFI[[#This Row],[Winter Clothes Children]]+Table_NFI[[#This Row],[Winter Items Other]]+Table_NFI[[#This Row],[Winter Blanket]]&gt;0,1,0)</f>
        <v>1</v>
      </c>
      <c r="AQ194" s="542"/>
      <c r="AR194" s="542"/>
      <c r="AS194" s="542"/>
      <c r="AT194" s="205" t="str">
        <f>IFERROR(VLOOKUP(Table_NFI[[#This Row],[Location]],CL,2,0),"")</f>
        <v>MMR001CMP228</v>
      </c>
      <c r="AU194" s="183" t="s">
        <v>1618</v>
      </c>
    </row>
    <row r="195" spans="2:47" x14ac:dyDescent="0.25">
      <c r="B195" s="540">
        <v>43116</v>
      </c>
      <c r="C195" s="540" t="str">
        <f>MONTH(Table_NFI[[#This Row],[Distribution Date]]) &amp; "/" &amp; YEAR(Table_NFI[[#This Row],[Distribution Date]])</f>
        <v>1/2018</v>
      </c>
      <c r="D195" s="198" t="s">
        <v>1458</v>
      </c>
      <c r="E195" s="198"/>
      <c r="F195" s="198" t="s">
        <v>378</v>
      </c>
      <c r="G195" s="197" t="s">
        <v>151</v>
      </c>
      <c r="H195" s="198" t="s">
        <v>160</v>
      </c>
      <c r="I195" s="183"/>
      <c r="J195" s="541">
        <v>1</v>
      </c>
      <c r="K195" s="541"/>
      <c r="L195" s="541"/>
      <c r="M195" s="541"/>
      <c r="N195" s="541"/>
      <c r="O195" s="541"/>
      <c r="P195" s="541"/>
      <c r="Q195" s="541">
        <v>1</v>
      </c>
      <c r="R195" s="541"/>
      <c r="S195" s="541"/>
      <c r="T195" s="541"/>
      <c r="U195" s="541">
        <v>1</v>
      </c>
      <c r="V195" s="541">
        <v>1</v>
      </c>
      <c r="W195" s="541">
        <v>1</v>
      </c>
      <c r="X195" s="541">
        <v>1</v>
      </c>
      <c r="Y195" s="541"/>
      <c r="Z195" s="541"/>
      <c r="AA195" s="541"/>
      <c r="AB195" s="541"/>
      <c r="AC195" s="542" t="e">
        <f>IF(NFI_Expiration=1,IF(#REF!&lt;VLOOKUP(L$5,NFI,5,0),1,0)*Table_NFI[[#This Row],[NFI Core Kit]],Table_NFI[NFI Core Kit])</f>
        <v>#REF!</v>
      </c>
      <c r="AD195" s="542" t="e">
        <f>IF(NFI_Expiration=1,IF(#REF!&lt;VLOOKUP(M$5,NFI,5,0),1,0)*Table_NFI[[#This Row],[Sanitary Kit]],Table_NFI[Sanitary Kit])</f>
        <v>#REF!</v>
      </c>
      <c r="AE195" s="542" t="e">
        <f>IF(NFI_Expiration=1,IF(#REF!&lt;VLOOKUP(N$5,NFI,5,0),1,0)*Table_NFI[[#This Row],[Mosquito net]],Table_NFI[Mosquito net])</f>
        <v>#REF!</v>
      </c>
      <c r="AF195" s="542" t="e">
        <f>IF(NFI_Expiration=1,IF(#REF!&lt;VLOOKUP(O$5,NFI,5,0),1,0)*Table_NFI[[#This Row],[Tarpaulin]],Table_NFI[[#This Row],[Tarpaulin]])</f>
        <v>#REF!</v>
      </c>
      <c r="AG195" s="542" t="e">
        <f>IF(NFI_Expiration=1,IF(#REF!&lt;VLOOKUP(P$5,NFI,5,0),1,0)*Table_NFI[[#This Row],[Blanket]],Table_NFI[[#This Row],[Blanket]])</f>
        <v>#REF!</v>
      </c>
      <c r="AH195" s="542" t="e">
        <f>IF(NFI_Expiration=1,IF(#REF!&lt;VLOOKUP(Q$5,NFI,5,0),1,0)*Table_NFI[[#This Row],[Kitchen Set]],Table_NFI[Kitchen Set])</f>
        <v>#REF!</v>
      </c>
      <c r="AI195" s="542" t="e">
        <f>IF(NFI_Expiration=1,IF(#REF!&lt;VLOOKUP(R$5,NFI,5,0),1,0)*Table_NFI[[#This Row],[Clothes Kit]],Table_NFI[Clothes Kit])</f>
        <v>#REF!</v>
      </c>
      <c r="AJ195" s="542" t="e">
        <f>IF(NFI_Expiration=1,IF(#REF!&lt;VLOOKUP(S$5,NFI,5,0),1,0)*Table_NFI[[#This Row],[Plastic Bucket]],Table_NFI[Plastic Bucket])</f>
        <v>#REF!</v>
      </c>
      <c r="AK195" s="542" t="e">
        <f>IF(NFI_Expiration=1,IF(#REF!&lt;VLOOKUP(T$5,NFI,5,0),1,0)*Table_NFI[[#This Row],[Plastic Mat]],Table_NFI[Plastic Mat])*IF(Table_NFI[[#This Row],[Distribution Date]]&gt;"2014-04-01",1,2.5)</f>
        <v>#REF!</v>
      </c>
      <c r="AL195" s="542" t="e">
        <f>IF(NFI_Expiration=1,IF(#REF!&lt;VLOOKUP(U$5,NFI,5,0),1,0)*Table_NFI[[#This Row],[Winter Clothes Adult]],Table_NFI[Winter Clothes Adult])</f>
        <v>#REF!</v>
      </c>
      <c r="AM195" s="542"/>
      <c r="AN195" s="542"/>
      <c r="AO195" s="542"/>
      <c r="AP195" s="542">
        <f>IF(Table_NFI[[#This Row],[Winter Clothes Adult]]+Table_NFI[[#This Row],[Winter Clothes Children]]+Table_NFI[[#This Row],[Winter Items Other]]+Table_NFI[[#This Row],[Winter Blanket]]&gt;0,1,0)</f>
        <v>1</v>
      </c>
      <c r="AQ195" s="542"/>
      <c r="AR195" s="542"/>
      <c r="AS195" s="542"/>
      <c r="AT195" s="205" t="str">
        <f>IFERROR(VLOOKUP(Table_NFI[[#This Row],[Location]],CL,2,0),"")</f>
        <v>MMR001CMP133</v>
      </c>
      <c r="AU195" s="183" t="s">
        <v>1619</v>
      </c>
    </row>
    <row r="196" spans="2:47" x14ac:dyDescent="0.25">
      <c r="B196" s="540">
        <v>43116</v>
      </c>
      <c r="C196" s="540" t="str">
        <f>MONTH(Table_NFI[[#This Row],[Distribution Date]]) &amp; "/" &amp; YEAR(Table_NFI[[#This Row],[Distribution Date]])</f>
        <v>1/2018</v>
      </c>
      <c r="D196" s="198" t="s">
        <v>1458</v>
      </c>
      <c r="E196" s="198"/>
      <c r="F196" s="198" t="s">
        <v>378</v>
      </c>
      <c r="G196" s="197" t="s">
        <v>151</v>
      </c>
      <c r="H196" s="198" t="s">
        <v>937</v>
      </c>
      <c r="I196" s="183"/>
      <c r="J196" s="541">
        <v>25</v>
      </c>
      <c r="K196" s="541"/>
      <c r="L196" s="541"/>
      <c r="M196" s="541"/>
      <c r="N196" s="541"/>
      <c r="O196" s="541"/>
      <c r="P196" s="541"/>
      <c r="Q196" s="541">
        <v>25</v>
      </c>
      <c r="R196" s="541"/>
      <c r="S196" s="541"/>
      <c r="T196" s="541"/>
      <c r="U196" s="541">
        <v>25</v>
      </c>
      <c r="V196" s="541">
        <v>25</v>
      </c>
      <c r="W196" s="541">
        <v>25</v>
      </c>
      <c r="X196" s="541">
        <v>25</v>
      </c>
      <c r="Y196" s="541"/>
      <c r="Z196" s="541"/>
      <c r="AA196" s="541"/>
      <c r="AB196" s="541"/>
      <c r="AC196" s="542" t="e">
        <f>IF(NFI_Expiration=1,IF(#REF!&lt;VLOOKUP(L$5,NFI,5,0),1,0)*Table_NFI[[#This Row],[NFI Core Kit]],Table_NFI[NFI Core Kit])</f>
        <v>#REF!</v>
      </c>
      <c r="AD196" s="542" t="e">
        <f>IF(NFI_Expiration=1,IF(#REF!&lt;VLOOKUP(M$5,NFI,5,0),1,0)*Table_NFI[[#This Row],[Sanitary Kit]],Table_NFI[Sanitary Kit])</f>
        <v>#REF!</v>
      </c>
      <c r="AE196" s="542" t="e">
        <f>IF(NFI_Expiration=1,IF(#REF!&lt;VLOOKUP(N$5,NFI,5,0),1,0)*Table_NFI[[#This Row],[Mosquito net]],Table_NFI[Mosquito net])</f>
        <v>#REF!</v>
      </c>
      <c r="AF196" s="542" t="e">
        <f>IF(NFI_Expiration=1,IF(#REF!&lt;VLOOKUP(O$5,NFI,5,0),1,0)*Table_NFI[[#This Row],[Tarpaulin]],Table_NFI[[#This Row],[Tarpaulin]])</f>
        <v>#REF!</v>
      </c>
      <c r="AG196" s="542" t="e">
        <f>IF(NFI_Expiration=1,IF(#REF!&lt;VLOOKUP(P$5,NFI,5,0),1,0)*Table_NFI[[#This Row],[Blanket]],Table_NFI[[#This Row],[Blanket]])</f>
        <v>#REF!</v>
      </c>
      <c r="AH196" s="542" t="e">
        <f>IF(NFI_Expiration=1,IF(#REF!&lt;VLOOKUP(Q$5,NFI,5,0),1,0)*Table_NFI[[#This Row],[Kitchen Set]],Table_NFI[Kitchen Set])</f>
        <v>#REF!</v>
      </c>
      <c r="AI196" s="542" t="e">
        <f>IF(NFI_Expiration=1,IF(#REF!&lt;VLOOKUP(R$5,NFI,5,0),1,0)*Table_NFI[[#This Row],[Clothes Kit]],Table_NFI[Clothes Kit])</f>
        <v>#REF!</v>
      </c>
      <c r="AJ196" s="542" t="e">
        <f>IF(NFI_Expiration=1,IF(#REF!&lt;VLOOKUP(S$5,NFI,5,0),1,0)*Table_NFI[[#This Row],[Plastic Bucket]],Table_NFI[Plastic Bucket])</f>
        <v>#REF!</v>
      </c>
      <c r="AK196" s="542" t="e">
        <f>IF(NFI_Expiration=1,IF(#REF!&lt;VLOOKUP(T$5,NFI,5,0),1,0)*Table_NFI[[#This Row],[Plastic Mat]],Table_NFI[Plastic Mat])*IF(Table_NFI[[#This Row],[Distribution Date]]&gt;"2014-04-01",1,2.5)</f>
        <v>#REF!</v>
      </c>
      <c r="AL196" s="542" t="e">
        <f>IF(NFI_Expiration=1,IF(#REF!&lt;VLOOKUP(U$5,NFI,5,0),1,0)*Table_NFI[[#This Row],[Winter Clothes Adult]],Table_NFI[Winter Clothes Adult])</f>
        <v>#REF!</v>
      </c>
      <c r="AM196" s="542"/>
      <c r="AN196" s="542"/>
      <c r="AO196" s="542"/>
      <c r="AP196" s="542">
        <f>IF(Table_NFI[[#This Row],[Winter Clothes Adult]]+Table_NFI[[#This Row],[Winter Clothes Children]]+Table_NFI[[#This Row],[Winter Items Other]]+Table_NFI[[#This Row],[Winter Blanket]]&gt;0,1,0)</f>
        <v>1</v>
      </c>
      <c r="AQ196" s="542"/>
      <c r="AR196" s="542"/>
      <c r="AS196" s="542"/>
      <c r="AT196" s="205" t="str">
        <f>IFERROR(VLOOKUP(Table_NFI[[#This Row],[Location]],CL,2,0),"")</f>
        <v>MMR001CMP230</v>
      </c>
      <c r="AU196" s="183" t="s">
        <v>1620</v>
      </c>
    </row>
    <row r="197" spans="2:47" x14ac:dyDescent="0.25">
      <c r="B197" s="540">
        <v>43125</v>
      </c>
      <c r="C197" s="540" t="str">
        <f>MONTH(Table_NFI[[#This Row],[Distribution Date]]) &amp; "/" &amp; YEAR(Table_NFI[[#This Row],[Distribution Date]])</f>
        <v>1/2018</v>
      </c>
      <c r="D197" s="198" t="s">
        <v>1458</v>
      </c>
      <c r="E197" s="198"/>
      <c r="F197" s="198" t="s">
        <v>506</v>
      </c>
      <c r="G197" s="197" t="s">
        <v>297</v>
      </c>
      <c r="H197" s="198" t="s">
        <v>1190</v>
      </c>
      <c r="I197" s="183">
        <v>1</v>
      </c>
      <c r="J197" s="541"/>
      <c r="K197" s="541"/>
      <c r="L197" s="541"/>
      <c r="M197" s="541">
        <v>7</v>
      </c>
      <c r="N197" s="541"/>
      <c r="O197" s="541"/>
      <c r="P197" s="541"/>
      <c r="Q197" s="541">
        <v>6</v>
      </c>
      <c r="R197" s="541"/>
      <c r="S197" s="541"/>
      <c r="T197" s="541"/>
      <c r="U197" s="541">
        <v>19</v>
      </c>
      <c r="V197" s="541">
        <v>19</v>
      </c>
      <c r="W197" s="541"/>
      <c r="X197" s="541">
        <v>19</v>
      </c>
      <c r="Y197" s="541"/>
      <c r="Z197" s="541"/>
      <c r="AA197" s="541"/>
      <c r="AB197" s="541"/>
      <c r="AC197" s="542" t="e">
        <f>IF(NFI_Expiration=1,IF(#REF!&lt;VLOOKUP(L$5,NFI,5,0),1,0)*Table_NFI[[#This Row],[NFI Core Kit]],Table_NFI[NFI Core Kit])</f>
        <v>#REF!</v>
      </c>
      <c r="AD197" s="542" t="e">
        <f>IF(NFI_Expiration=1,IF(#REF!&lt;VLOOKUP(M$5,NFI,5,0),1,0)*Table_NFI[[#This Row],[Sanitary Kit]],Table_NFI[Sanitary Kit])</f>
        <v>#REF!</v>
      </c>
      <c r="AE197" s="542" t="e">
        <f>IF(NFI_Expiration=1,IF(#REF!&lt;VLOOKUP(N$5,NFI,5,0),1,0)*Table_NFI[[#This Row],[Mosquito net]],Table_NFI[Mosquito net])</f>
        <v>#REF!</v>
      </c>
      <c r="AF197" s="542" t="e">
        <f>IF(NFI_Expiration=1,IF(#REF!&lt;VLOOKUP(O$5,NFI,5,0),1,0)*Table_NFI[[#This Row],[Tarpaulin]],Table_NFI[[#This Row],[Tarpaulin]])</f>
        <v>#REF!</v>
      </c>
      <c r="AG197" s="542" t="e">
        <f>IF(NFI_Expiration=1,IF(#REF!&lt;VLOOKUP(P$5,NFI,5,0),1,0)*Table_NFI[[#This Row],[Blanket]],Table_NFI[[#This Row],[Blanket]])</f>
        <v>#REF!</v>
      </c>
      <c r="AH197" s="542" t="e">
        <f>IF(NFI_Expiration=1,IF(#REF!&lt;VLOOKUP(Q$5,NFI,5,0),1,0)*Table_NFI[[#This Row],[Kitchen Set]],Table_NFI[Kitchen Set])</f>
        <v>#REF!</v>
      </c>
      <c r="AI197" s="542" t="e">
        <f>IF(NFI_Expiration=1,IF(#REF!&lt;VLOOKUP(R$5,NFI,5,0),1,0)*Table_NFI[[#This Row],[Clothes Kit]],Table_NFI[Clothes Kit])</f>
        <v>#REF!</v>
      </c>
      <c r="AJ197" s="542" t="e">
        <f>IF(NFI_Expiration=1,IF(#REF!&lt;VLOOKUP(S$5,NFI,5,0),1,0)*Table_NFI[[#This Row],[Plastic Bucket]],Table_NFI[Plastic Bucket])</f>
        <v>#REF!</v>
      </c>
      <c r="AK197" s="542" t="e">
        <f>IF(NFI_Expiration=1,IF(#REF!&lt;VLOOKUP(T$5,NFI,5,0),1,0)*Table_NFI[[#This Row],[Plastic Mat]],Table_NFI[Plastic Mat])*IF(Table_NFI[[#This Row],[Distribution Date]]&gt;"2014-04-01",1,2.5)</f>
        <v>#REF!</v>
      </c>
      <c r="AL197" s="542" t="e">
        <f>IF(NFI_Expiration=1,IF(#REF!&lt;VLOOKUP(U$5,NFI,5,0),1,0)*Table_NFI[[#This Row],[Winter Clothes Adult]],Table_NFI[Winter Clothes Adult])</f>
        <v>#REF!</v>
      </c>
      <c r="AM197" s="542"/>
      <c r="AN197" s="542"/>
      <c r="AO197" s="542"/>
      <c r="AP197" s="542">
        <f>IF(Table_NFI[[#This Row],[Winter Clothes Adult]]+Table_NFI[[#This Row],[Winter Clothes Children]]+Table_NFI[[#This Row],[Winter Items Other]]+Table_NFI[[#This Row],[Winter Blanket]]&gt;0,1,0)</f>
        <v>1</v>
      </c>
      <c r="AQ197" s="542"/>
      <c r="AR197" s="542"/>
      <c r="AS197" s="542"/>
      <c r="AT197" s="205" t="str">
        <f>IFERROR(VLOOKUP(Table_NFI[[#This Row],[Location]],CL,2,0),"")</f>
        <v>MMR015CMP232</v>
      </c>
      <c r="AU197" s="183"/>
    </row>
    <row r="198" spans="2:47" x14ac:dyDescent="0.25">
      <c r="B198" s="540">
        <v>43139</v>
      </c>
      <c r="C198" s="540" t="str">
        <f>MONTH(Table_NFI[[#This Row],[Distribution Date]]) &amp; "/" &amp; YEAR(Table_NFI[[#This Row],[Distribution Date]])</f>
        <v>2/2018</v>
      </c>
      <c r="D198" s="198" t="s">
        <v>1458</v>
      </c>
      <c r="E198" s="198"/>
      <c r="F198" s="198" t="s">
        <v>506</v>
      </c>
      <c r="G198" s="197" t="s">
        <v>297</v>
      </c>
      <c r="H198" s="198" t="s">
        <v>759</v>
      </c>
      <c r="I198" s="183">
        <v>18</v>
      </c>
      <c r="J198" s="541"/>
      <c r="K198" s="541"/>
      <c r="L198" s="541"/>
      <c r="M198" s="541"/>
      <c r="N198" s="541"/>
      <c r="O198" s="541"/>
      <c r="P198" s="541"/>
      <c r="Q198" s="541"/>
      <c r="R198" s="541"/>
      <c r="S198" s="541"/>
      <c r="T198" s="541"/>
      <c r="U198" s="541"/>
      <c r="V198" s="541"/>
      <c r="W198" s="541"/>
      <c r="X198" s="541"/>
      <c r="Y198" s="541"/>
      <c r="Z198" s="541"/>
      <c r="AA198" s="541"/>
      <c r="AB198" s="541"/>
      <c r="AC198" s="542" t="e">
        <f>IF(NFI_Expiration=1,IF(#REF!&lt;VLOOKUP(L$5,NFI,5,0),1,0)*Table_NFI[[#This Row],[NFI Core Kit]],Table_NFI[NFI Core Kit])</f>
        <v>#REF!</v>
      </c>
      <c r="AD198" s="542" t="e">
        <f>IF(NFI_Expiration=1,IF(#REF!&lt;VLOOKUP(M$5,NFI,5,0),1,0)*Table_NFI[[#This Row],[Sanitary Kit]],Table_NFI[Sanitary Kit])</f>
        <v>#REF!</v>
      </c>
      <c r="AE198" s="542" t="e">
        <f>IF(NFI_Expiration=1,IF(#REF!&lt;VLOOKUP(N$5,NFI,5,0),1,0)*Table_NFI[[#This Row],[Mosquito net]],Table_NFI[Mosquito net])</f>
        <v>#REF!</v>
      </c>
      <c r="AF198" s="542" t="e">
        <f>IF(NFI_Expiration=1,IF(#REF!&lt;VLOOKUP(O$5,NFI,5,0),1,0)*Table_NFI[[#This Row],[Tarpaulin]],Table_NFI[[#This Row],[Tarpaulin]])</f>
        <v>#REF!</v>
      </c>
      <c r="AG198" s="542" t="e">
        <f>IF(NFI_Expiration=1,IF(#REF!&lt;VLOOKUP(P$5,NFI,5,0),1,0)*Table_NFI[[#This Row],[Blanket]],Table_NFI[[#This Row],[Blanket]])</f>
        <v>#REF!</v>
      </c>
      <c r="AH198" s="542" t="e">
        <f>IF(NFI_Expiration=1,IF(#REF!&lt;VLOOKUP(Q$5,NFI,5,0),1,0)*Table_NFI[[#This Row],[Kitchen Set]],Table_NFI[Kitchen Set])</f>
        <v>#REF!</v>
      </c>
      <c r="AI198" s="542" t="e">
        <f>IF(NFI_Expiration=1,IF(#REF!&lt;VLOOKUP(R$5,NFI,5,0),1,0)*Table_NFI[[#This Row],[Clothes Kit]],Table_NFI[Clothes Kit])</f>
        <v>#REF!</v>
      </c>
      <c r="AJ198" s="542" t="e">
        <f>IF(NFI_Expiration=1,IF(#REF!&lt;VLOOKUP(S$5,NFI,5,0),1,0)*Table_NFI[[#This Row],[Plastic Bucket]],Table_NFI[Plastic Bucket])</f>
        <v>#REF!</v>
      </c>
      <c r="AK198" s="542" t="e">
        <f>IF(NFI_Expiration=1,IF(#REF!&lt;VLOOKUP(T$5,NFI,5,0),1,0)*Table_NFI[[#This Row],[Plastic Mat]],Table_NFI[Plastic Mat])*IF(Table_NFI[[#This Row],[Distribution Date]]&gt;"2014-04-01",1,2.5)</f>
        <v>#REF!</v>
      </c>
      <c r="AL198" s="542" t="e">
        <f>IF(NFI_Expiration=1,IF(#REF!&lt;VLOOKUP(U$5,NFI,5,0),1,0)*Table_NFI[[#This Row],[Winter Clothes Adult]],Table_NFI[Winter Clothes Adult])</f>
        <v>#REF!</v>
      </c>
      <c r="AM198" s="542"/>
      <c r="AN198" s="542"/>
      <c r="AO198" s="542"/>
      <c r="AP198" s="542">
        <f>IF(Table_NFI[[#This Row],[Winter Clothes Adult]]+Table_NFI[[#This Row],[Winter Clothes Children]]+Table_NFI[[#This Row],[Winter Items Other]]+Table_NFI[[#This Row],[Winter Blanket]]&gt;0,1,0)</f>
        <v>0</v>
      </c>
      <c r="AQ198" s="542"/>
      <c r="AR198" s="542"/>
      <c r="AS198" s="542"/>
      <c r="AT198" s="205" t="str">
        <f>IFERROR(VLOOKUP(Table_NFI[[#This Row],[Location]],CL,2,0),"")</f>
        <v>MMR015CMP014</v>
      </c>
      <c r="AU198" s="183" t="s">
        <v>1621</v>
      </c>
    </row>
    <row r="199" spans="2:47" x14ac:dyDescent="0.25">
      <c r="B199" s="540">
        <v>43143</v>
      </c>
      <c r="C199" s="540" t="str">
        <f>MONTH(Table_NFI[[#This Row],[Distribution Date]]) &amp; "/" &amp; YEAR(Table_NFI[[#This Row],[Distribution Date]])</f>
        <v>2/2018</v>
      </c>
      <c r="D199" s="198" t="s">
        <v>1458</v>
      </c>
      <c r="E199" s="198"/>
      <c r="F199" s="198" t="s">
        <v>378</v>
      </c>
      <c r="G199" s="197" t="s">
        <v>151</v>
      </c>
      <c r="H199" s="198" t="s">
        <v>154</v>
      </c>
      <c r="I199" s="183"/>
      <c r="J199" s="541">
        <v>8</v>
      </c>
      <c r="K199" s="541"/>
      <c r="L199" s="541"/>
      <c r="M199" s="541"/>
      <c r="N199" s="541"/>
      <c r="O199" s="541"/>
      <c r="P199" s="541"/>
      <c r="Q199" s="541">
        <v>8</v>
      </c>
      <c r="R199" s="541"/>
      <c r="S199" s="541"/>
      <c r="T199" s="541"/>
      <c r="U199" s="541">
        <v>8</v>
      </c>
      <c r="V199" s="541">
        <v>8</v>
      </c>
      <c r="W199" s="541">
        <v>8</v>
      </c>
      <c r="X199" s="541"/>
      <c r="Y199" s="541"/>
      <c r="Z199" s="541"/>
      <c r="AA199" s="541"/>
      <c r="AB199" s="541"/>
      <c r="AC199" s="542" t="e">
        <f>IF(NFI_Expiration=1,IF(#REF!&lt;VLOOKUP(L$5,NFI,5,0),1,0)*Table_NFI[[#This Row],[NFI Core Kit]],Table_NFI[NFI Core Kit])</f>
        <v>#REF!</v>
      </c>
      <c r="AD199" s="542" t="e">
        <f>IF(NFI_Expiration=1,IF(#REF!&lt;VLOOKUP(M$5,NFI,5,0),1,0)*Table_NFI[[#This Row],[Sanitary Kit]],Table_NFI[Sanitary Kit])</f>
        <v>#REF!</v>
      </c>
      <c r="AE199" s="542" t="e">
        <f>IF(NFI_Expiration=1,IF(#REF!&lt;VLOOKUP(N$5,NFI,5,0),1,0)*Table_NFI[[#This Row],[Mosquito net]],Table_NFI[Mosquito net])</f>
        <v>#REF!</v>
      </c>
      <c r="AF199" s="542" t="e">
        <f>IF(NFI_Expiration=1,IF(#REF!&lt;VLOOKUP(O$5,NFI,5,0),1,0)*Table_NFI[[#This Row],[Tarpaulin]],Table_NFI[[#This Row],[Tarpaulin]])</f>
        <v>#REF!</v>
      </c>
      <c r="AG199" s="542" t="e">
        <f>IF(NFI_Expiration=1,IF(#REF!&lt;VLOOKUP(P$5,NFI,5,0),1,0)*Table_NFI[[#This Row],[Blanket]],Table_NFI[[#This Row],[Blanket]])</f>
        <v>#REF!</v>
      </c>
      <c r="AH199" s="542" t="e">
        <f>IF(NFI_Expiration=1,IF(#REF!&lt;VLOOKUP(Q$5,NFI,5,0),1,0)*Table_NFI[[#This Row],[Kitchen Set]],Table_NFI[Kitchen Set])</f>
        <v>#REF!</v>
      </c>
      <c r="AI199" s="542" t="e">
        <f>IF(NFI_Expiration=1,IF(#REF!&lt;VLOOKUP(R$5,NFI,5,0),1,0)*Table_NFI[[#This Row],[Clothes Kit]],Table_NFI[Clothes Kit])</f>
        <v>#REF!</v>
      </c>
      <c r="AJ199" s="542" t="e">
        <f>IF(NFI_Expiration=1,IF(#REF!&lt;VLOOKUP(S$5,NFI,5,0),1,0)*Table_NFI[[#This Row],[Plastic Bucket]],Table_NFI[Plastic Bucket])</f>
        <v>#REF!</v>
      </c>
      <c r="AK199" s="542" t="e">
        <f>IF(NFI_Expiration=1,IF(#REF!&lt;VLOOKUP(T$5,NFI,5,0),1,0)*Table_NFI[[#This Row],[Plastic Mat]],Table_NFI[Plastic Mat])*IF(Table_NFI[[#This Row],[Distribution Date]]&gt;"2014-04-01",1,2.5)</f>
        <v>#REF!</v>
      </c>
      <c r="AL199" s="542" t="e">
        <f>IF(NFI_Expiration=1,IF(#REF!&lt;VLOOKUP(U$5,NFI,5,0),1,0)*Table_NFI[[#This Row],[Winter Clothes Adult]],Table_NFI[Winter Clothes Adult])</f>
        <v>#REF!</v>
      </c>
      <c r="AM199" s="542"/>
      <c r="AN199" s="542"/>
      <c r="AO199" s="542"/>
      <c r="AP199" s="542">
        <f>IF(Table_NFI[[#This Row],[Winter Clothes Adult]]+Table_NFI[[#This Row],[Winter Clothes Children]]+Table_NFI[[#This Row],[Winter Items Other]]+Table_NFI[[#This Row],[Winter Blanket]]&gt;0,1,0)</f>
        <v>1</v>
      </c>
      <c r="AQ199" s="542"/>
      <c r="AR199" s="542"/>
      <c r="AS199" s="542"/>
      <c r="AT199" s="205" t="str">
        <f>IFERROR(VLOOKUP(Table_NFI[[#This Row],[Location]],CL,2,0),"")</f>
        <v>MMR001CMP132</v>
      </c>
      <c r="AU199" s="183"/>
    </row>
    <row r="200" spans="2:47" x14ac:dyDescent="0.25">
      <c r="B200" s="540">
        <v>43143</v>
      </c>
      <c r="C200" s="540" t="str">
        <f>MONTH(Table_NFI[[#This Row],[Distribution Date]]) &amp; "/" &amp; YEAR(Table_NFI[[#This Row],[Distribution Date]])</f>
        <v>2/2018</v>
      </c>
      <c r="D200" s="198" t="s">
        <v>1458</v>
      </c>
      <c r="E200" s="198"/>
      <c r="F200" s="198" t="s">
        <v>378</v>
      </c>
      <c r="G200" s="197" t="s">
        <v>151</v>
      </c>
      <c r="H200" s="198" t="s">
        <v>910</v>
      </c>
      <c r="I200" s="183">
        <v>1</v>
      </c>
      <c r="J200" s="541"/>
      <c r="K200" s="541"/>
      <c r="L200" s="541"/>
      <c r="M200" s="541"/>
      <c r="N200" s="541"/>
      <c r="O200" s="541"/>
      <c r="P200" s="541"/>
      <c r="Q200" s="541"/>
      <c r="R200" s="541"/>
      <c r="S200" s="541"/>
      <c r="T200" s="541"/>
      <c r="U200" s="541"/>
      <c r="V200" s="541"/>
      <c r="W200" s="541"/>
      <c r="X200" s="541"/>
      <c r="Y200" s="541"/>
      <c r="Z200" s="541"/>
      <c r="AA200" s="541"/>
      <c r="AB200" s="541"/>
      <c r="AC200" s="542" t="e">
        <f>IF(NFI_Expiration=1,IF(#REF!&lt;VLOOKUP(L$5,NFI,5,0),1,0)*Table_NFI[[#This Row],[NFI Core Kit]],Table_NFI[NFI Core Kit])</f>
        <v>#REF!</v>
      </c>
      <c r="AD200" s="542" t="e">
        <f>IF(NFI_Expiration=1,IF(#REF!&lt;VLOOKUP(M$5,NFI,5,0),1,0)*Table_NFI[[#This Row],[Sanitary Kit]],Table_NFI[Sanitary Kit])</f>
        <v>#REF!</v>
      </c>
      <c r="AE200" s="542" t="e">
        <f>IF(NFI_Expiration=1,IF(#REF!&lt;VLOOKUP(N$5,NFI,5,0),1,0)*Table_NFI[[#This Row],[Mosquito net]],Table_NFI[Mosquito net])</f>
        <v>#REF!</v>
      </c>
      <c r="AF200" s="542" t="e">
        <f>IF(NFI_Expiration=1,IF(#REF!&lt;VLOOKUP(O$5,NFI,5,0),1,0)*Table_NFI[[#This Row],[Tarpaulin]],Table_NFI[[#This Row],[Tarpaulin]])</f>
        <v>#REF!</v>
      </c>
      <c r="AG200" s="542" t="e">
        <f>IF(NFI_Expiration=1,IF(#REF!&lt;VLOOKUP(P$5,NFI,5,0),1,0)*Table_NFI[[#This Row],[Blanket]],Table_NFI[[#This Row],[Blanket]])</f>
        <v>#REF!</v>
      </c>
      <c r="AH200" s="542" t="e">
        <f>IF(NFI_Expiration=1,IF(#REF!&lt;VLOOKUP(Q$5,NFI,5,0),1,0)*Table_NFI[[#This Row],[Kitchen Set]],Table_NFI[Kitchen Set])</f>
        <v>#REF!</v>
      </c>
      <c r="AI200" s="542" t="e">
        <f>IF(NFI_Expiration=1,IF(#REF!&lt;VLOOKUP(R$5,NFI,5,0),1,0)*Table_NFI[[#This Row],[Clothes Kit]],Table_NFI[Clothes Kit])</f>
        <v>#REF!</v>
      </c>
      <c r="AJ200" s="542" t="e">
        <f>IF(NFI_Expiration=1,IF(#REF!&lt;VLOOKUP(S$5,NFI,5,0),1,0)*Table_NFI[[#This Row],[Plastic Bucket]],Table_NFI[Plastic Bucket])</f>
        <v>#REF!</v>
      </c>
      <c r="AK200" s="542" t="e">
        <f>IF(NFI_Expiration=1,IF(#REF!&lt;VLOOKUP(T$5,NFI,5,0),1,0)*Table_NFI[[#This Row],[Plastic Mat]],Table_NFI[Plastic Mat])*IF(Table_NFI[[#This Row],[Distribution Date]]&gt;"2014-04-01",1,2.5)</f>
        <v>#REF!</v>
      </c>
      <c r="AL200" s="542" t="e">
        <f>IF(NFI_Expiration=1,IF(#REF!&lt;VLOOKUP(U$5,NFI,5,0),1,0)*Table_NFI[[#This Row],[Winter Clothes Adult]],Table_NFI[Winter Clothes Adult])</f>
        <v>#REF!</v>
      </c>
      <c r="AM200" s="542"/>
      <c r="AN200" s="542"/>
      <c r="AO200" s="542"/>
      <c r="AP200" s="542">
        <f>IF(Table_NFI[[#This Row],[Winter Clothes Adult]]+Table_NFI[[#This Row],[Winter Clothes Children]]+Table_NFI[[#This Row],[Winter Items Other]]+Table_NFI[[#This Row],[Winter Blanket]]&gt;0,1,0)</f>
        <v>0</v>
      </c>
      <c r="AQ200" s="542"/>
      <c r="AR200" s="542"/>
      <c r="AS200" s="542"/>
      <c r="AT200" s="205" t="str">
        <f>IFERROR(VLOOKUP(Table_NFI[[#This Row],[Location]],CL,2,0),"")</f>
        <v>MMR001CMP228</v>
      </c>
      <c r="AU200" s="183"/>
    </row>
    <row r="201" spans="2:47" x14ac:dyDescent="0.25">
      <c r="B201" s="540">
        <v>43143</v>
      </c>
      <c r="C201" s="540" t="str">
        <f>MONTH(Table_NFI[[#This Row],[Distribution Date]]) &amp; "/" &amp; YEAR(Table_NFI[[#This Row],[Distribution Date]])</f>
        <v>2/2018</v>
      </c>
      <c r="D201" s="198" t="s">
        <v>1458</v>
      </c>
      <c r="E201" s="198"/>
      <c r="F201" s="198" t="s">
        <v>378</v>
      </c>
      <c r="G201" s="197" t="s">
        <v>151</v>
      </c>
      <c r="H201" s="198" t="s">
        <v>937</v>
      </c>
      <c r="I201" s="183">
        <v>1</v>
      </c>
      <c r="J201" s="541"/>
      <c r="K201" s="541"/>
      <c r="L201" s="541"/>
      <c r="M201" s="541"/>
      <c r="N201" s="541"/>
      <c r="O201" s="541"/>
      <c r="P201" s="541"/>
      <c r="Q201" s="541"/>
      <c r="R201" s="541"/>
      <c r="S201" s="541"/>
      <c r="T201" s="541"/>
      <c r="U201" s="541"/>
      <c r="V201" s="541"/>
      <c r="W201" s="541"/>
      <c r="X201" s="541"/>
      <c r="Y201" s="541"/>
      <c r="Z201" s="541"/>
      <c r="AA201" s="541"/>
      <c r="AB201" s="541"/>
      <c r="AC201" s="542" t="e">
        <f>IF(NFI_Expiration=1,IF(#REF!&lt;VLOOKUP(L$5,NFI,5,0),1,0)*Table_NFI[[#This Row],[NFI Core Kit]],Table_NFI[NFI Core Kit])</f>
        <v>#REF!</v>
      </c>
      <c r="AD201" s="542" t="e">
        <f>IF(NFI_Expiration=1,IF(#REF!&lt;VLOOKUP(M$5,NFI,5,0),1,0)*Table_NFI[[#This Row],[Sanitary Kit]],Table_NFI[Sanitary Kit])</f>
        <v>#REF!</v>
      </c>
      <c r="AE201" s="542" t="e">
        <f>IF(NFI_Expiration=1,IF(#REF!&lt;VLOOKUP(N$5,NFI,5,0),1,0)*Table_NFI[[#This Row],[Mosquito net]],Table_NFI[Mosquito net])</f>
        <v>#REF!</v>
      </c>
      <c r="AF201" s="542" t="e">
        <f>IF(NFI_Expiration=1,IF(#REF!&lt;VLOOKUP(O$5,NFI,5,0),1,0)*Table_NFI[[#This Row],[Tarpaulin]],Table_NFI[[#This Row],[Tarpaulin]])</f>
        <v>#REF!</v>
      </c>
      <c r="AG201" s="542" t="e">
        <f>IF(NFI_Expiration=1,IF(#REF!&lt;VLOOKUP(P$5,NFI,5,0),1,0)*Table_NFI[[#This Row],[Blanket]],Table_NFI[[#This Row],[Blanket]])</f>
        <v>#REF!</v>
      </c>
      <c r="AH201" s="542" t="e">
        <f>IF(NFI_Expiration=1,IF(#REF!&lt;VLOOKUP(Q$5,NFI,5,0),1,0)*Table_NFI[[#This Row],[Kitchen Set]],Table_NFI[Kitchen Set])</f>
        <v>#REF!</v>
      </c>
      <c r="AI201" s="542" t="e">
        <f>IF(NFI_Expiration=1,IF(#REF!&lt;VLOOKUP(R$5,NFI,5,0),1,0)*Table_NFI[[#This Row],[Clothes Kit]],Table_NFI[Clothes Kit])</f>
        <v>#REF!</v>
      </c>
      <c r="AJ201" s="542" t="e">
        <f>IF(NFI_Expiration=1,IF(#REF!&lt;VLOOKUP(S$5,NFI,5,0),1,0)*Table_NFI[[#This Row],[Plastic Bucket]],Table_NFI[Plastic Bucket])</f>
        <v>#REF!</v>
      </c>
      <c r="AK201" s="542" t="e">
        <f>IF(NFI_Expiration=1,IF(#REF!&lt;VLOOKUP(T$5,NFI,5,0),1,0)*Table_NFI[[#This Row],[Plastic Mat]],Table_NFI[Plastic Mat])*IF(Table_NFI[[#This Row],[Distribution Date]]&gt;"2014-04-01",1,2.5)</f>
        <v>#REF!</v>
      </c>
      <c r="AL201" s="542" t="e">
        <f>IF(NFI_Expiration=1,IF(#REF!&lt;VLOOKUP(U$5,NFI,5,0),1,0)*Table_NFI[[#This Row],[Winter Clothes Adult]],Table_NFI[Winter Clothes Adult])</f>
        <v>#REF!</v>
      </c>
      <c r="AM201" s="542"/>
      <c r="AN201" s="542"/>
      <c r="AO201" s="542"/>
      <c r="AP201" s="542">
        <f>IF(Table_NFI[[#This Row],[Winter Clothes Adult]]+Table_NFI[[#This Row],[Winter Clothes Children]]+Table_NFI[[#This Row],[Winter Items Other]]+Table_NFI[[#This Row],[Winter Blanket]]&gt;0,1,0)</f>
        <v>0</v>
      </c>
      <c r="AQ201" s="542"/>
      <c r="AR201" s="542"/>
      <c r="AS201" s="542"/>
      <c r="AT201" s="205" t="str">
        <f>IFERROR(VLOOKUP(Table_NFI[[#This Row],[Location]],CL,2,0),"")</f>
        <v>MMR001CMP230</v>
      </c>
      <c r="AU201" s="183"/>
    </row>
    <row r="202" spans="2:47" x14ac:dyDescent="0.25">
      <c r="B202" s="540">
        <v>43145</v>
      </c>
      <c r="C202" s="540" t="str">
        <f>MONTH(Table_NFI[[#This Row],[Distribution Date]]) &amp; "/" &amp; YEAR(Table_NFI[[#This Row],[Distribution Date]])</f>
        <v>2/2018</v>
      </c>
      <c r="D202" s="198" t="s">
        <v>1458</v>
      </c>
      <c r="E202" s="198"/>
      <c r="F202" s="198" t="s">
        <v>506</v>
      </c>
      <c r="G202" s="197" t="s">
        <v>297</v>
      </c>
      <c r="H202" s="198" t="s">
        <v>1275</v>
      </c>
      <c r="I202" s="183">
        <v>1</v>
      </c>
      <c r="J202" s="541"/>
      <c r="K202" s="541"/>
      <c r="L202" s="541"/>
      <c r="M202" s="541"/>
      <c r="N202" s="541"/>
      <c r="O202" s="541"/>
      <c r="P202" s="541"/>
      <c r="Q202" s="541"/>
      <c r="R202" s="541"/>
      <c r="S202" s="541"/>
      <c r="T202" s="541"/>
      <c r="U202" s="541"/>
      <c r="V202" s="541"/>
      <c r="W202" s="541"/>
      <c r="X202" s="541"/>
      <c r="Y202" s="541"/>
      <c r="Z202" s="541"/>
      <c r="AA202" s="541"/>
      <c r="AB202" s="541"/>
      <c r="AC202" s="542" t="e">
        <f>IF(NFI_Expiration=1,IF(#REF!&lt;VLOOKUP(L$5,NFI,5,0),1,0)*Table_NFI[[#This Row],[NFI Core Kit]],Table_NFI[NFI Core Kit])</f>
        <v>#REF!</v>
      </c>
      <c r="AD202" s="542" t="e">
        <f>IF(NFI_Expiration=1,IF(#REF!&lt;VLOOKUP(M$5,NFI,5,0),1,0)*Table_NFI[[#This Row],[Sanitary Kit]],Table_NFI[Sanitary Kit])</f>
        <v>#REF!</v>
      </c>
      <c r="AE202" s="542" t="e">
        <f>IF(NFI_Expiration=1,IF(#REF!&lt;VLOOKUP(N$5,NFI,5,0),1,0)*Table_NFI[[#This Row],[Mosquito net]],Table_NFI[Mosquito net])</f>
        <v>#REF!</v>
      </c>
      <c r="AF202" s="542" t="e">
        <f>IF(NFI_Expiration=1,IF(#REF!&lt;VLOOKUP(O$5,NFI,5,0),1,0)*Table_NFI[[#This Row],[Tarpaulin]],Table_NFI[[#This Row],[Tarpaulin]])</f>
        <v>#REF!</v>
      </c>
      <c r="AG202" s="542" t="e">
        <f>IF(NFI_Expiration=1,IF(#REF!&lt;VLOOKUP(P$5,NFI,5,0),1,0)*Table_NFI[[#This Row],[Blanket]],Table_NFI[[#This Row],[Blanket]])</f>
        <v>#REF!</v>
      </c>
      <c r="AH202" s="542" t="e">
        <f>IF(NFI_Expiration=1,IF(#REF!&lt;VLOOKUP(Q$5,NFI,5,0),1,0)*Table_NFI[[#This Row],[Kitchen Set]],Table_NFI[Kitchen Set])</f>
        <v>#REF!</v>
      </c>
      <c r="AI202" s="542" t="e">
        <f>IF(NFI_Expiration=1,IF(#REF!&lt;VLOOKUP(R$5,NFI,5,0),1,0)*Table_NFI[[#This Row],[Clothes Kit]],Table_NFI[Clothes Kit])</f>
        <v>#REF!</v>
      </c>
      <c r="AJ202" s="542" t="e">
        <f>IF(NFI_Expiration=1,IF(#REF!&lt;VLOOKUP(S$5,NFI,5,0),1,0)*Table_NFI[[#This Row],[Plastic Bucket]],Table_NFI[Plastic Bucket])</f>
        <v>#REF!</v>
      </c>
      <c r="AK202" s="542" t="e">
        <f>IF(NFI_Expiration=1,IF(#REF!&lt;VLOOKUP(T$5,NFI,5,0),1,0)*Table_NFI[[#This Row],[Plastic Mat]],Table_NFI[Plastic Mat])*IF(Table_NFI[[#This Row],[Distribution Date]]&gt;"2014-04-01",1,2.5)</f>
        <v>#REF!</v>
      </c>
      <c r="AL202" s="542" t="e">
        <f>IF(NFI_Expiration=1,IF(#REF!&lt;VLOOKUP(U$5,NFI,5,0),1,0)*Table_NFI[[#This Row],[Winter Clothes Adult]],Table_NFI[Winter Clothes Adult])</f>
        <v>#REF!</v>
      </c>
      <c r="AM202" s="542"/>
      <c r="AN202" s="542"/>
      <c r="AO202" s="542"/>
      <c r="AP202" s="542">
        <f>IF(Table_NFI[[#This Row],[Winter Clothes Adult]]+Table_NFI[[#This Row],[Winter Clothes Children]]+Table_NFI[[#This Row],[Winter Items Other]]+Table_NFI[[#This Row],[Winter Blanket]]&gt;0,1,0)</f>
        <v>0</v>
      </c>
      <c r="AQ202" s="542"/>
      <c r="AR202" s="542"/>
      <c r="AS202" s="542"/>
      <c r="AT202" s="205" t="str">
        <f>IFERROR(VLOOKUP(Table_NFI[[#This Row],[Location]],CL,2,0),"")</f>
        <v>MMR015CMP248</v>
      </c>
      <c r="AU202" s="183"/>
    </row>
    <row r="203" spans="2:47" x14ac:dyDescent="0.25">
      <c r="B203" s="540">
        <v>43145</v>
      </c>
      <c r="C203" s="540" t="str">
        <f>MONTH(Table_NFI[[#This Row],[Distribution Date]]) &amp; "/" &amp; YEAR(Table_NFI[[#This Row],[Distribution Date]])</f>
        <v>2/2018</v>
      </c>
      <c r="D203" s="198" t="s">
        <v>1458</v>
      </c>
      <c r="E203" s="198"/>
      <c r="F203" s="198" t="s">
        <v>506</v>
      </c>
      <c r="G203" s="197" t="s">
        <v>297</v>
      </c>
      <c r="H203" s="198" t="s">
        <v>1190</v>
      </c>
      <c r="I203" s="183">
        <v>1</v>
      </c>
      <c r="J203" s="541"/>
      <c r="K203" s="541"/>
      <c r="L203" s="541"/>
      <c r="M203" s="541"/>
      <c r="N203" s="541"/>
      <c r="O203" s="541"/>
      <c r="P203" s="541"/>
      <c r="Q203" s="541"/>
      <c r="R203" s="541"/>
      <c r="S203" s="541"/>
      <c r="T203" s="541"/>
      <c r="U203" s="541"/>
      <c r="V203" s="541"/>
      <c r="W203" s="541"/>
      <c r="X203" s="541"/>
      <c r="Y203" s="541"/>
      <c r="Z203" s="541"/>
      <c r="AA203" s="541"/>
      <c r="AB203" s="541"/>
      <c r="AC203" s="542" t="e">
        <f>IF(NFI_Expiration=1,IF(#REF!&lt;VLOOKUP(L$5,NFI,5,0),1,0)*Table_NFI[[#This Row],[NFI Core Kit]],Table_NFI[NFI Core Kit])</f>
        <v>#REF!</v>
      </c>
      <c r="AD203" s="542" t="e">
        <f>IF(NFI_Expiration=1,IF(#REF!&lt;VLOOKUP(M$5,NFI,5,0),1,0)*Table_NFI[[#This Row],[Sanitary Kit]],Table_NFI[Sanitary Kit])</f>
        <v>#REF!</v>
      </c>
      <c r="AE203" s="542" t="e">
        <f>IF(NFI_Expiration=1,IF(#REF!&lt;VLOOKUP(N$5,NFI,5,0),1,0)*Table_NFI[[#This Row],[Mosquito net]],Table_NFI[Mosquito net])</f>
        <v>#REF!</v>
      </c>
      <c r="AF203" s="542" t="e">
        <f>IF(NFI_Expiration=1,IF(#REF!&lt;VLOOKUP(O$5,NFI,5,0),1,0)*Table_NFI[[#This Row],[Tarpaulin]],Table_NFI[[#This Row],[Tarpaulin]])</f>
        <v>#REF!</v>
      </c>
      <c r="AG203" s="542" t="e">
        <f>IF(NFI_Expiration=1,IF(#REF!&lt;VLOOKUP(P$5,NFI,5,0),1,0)*Table_NFI[[#This Row],[Blanket]],Table_NFI[[#This Row],[Blanket]])</f>
        <v>#REF!</v>
      </c>
      <c r="AH203" s="542" t="e">
        <f>IF(NFI_Expiration=1,IF(#REF!&lt;VLOOKUP(Q$5,NFI,5,0),1,0)*Table_NFI[[#This Row],[Kitchen Set]],Table_NFI[Kitchen Set])</f>
        <v>#REF!</v>
      </c>
      <c r="AI203" s="542" t="e">
        <f>IF(NFI_Expiration=1,IF(#REF!&lt;VLOOKUP(R$5,NFI,5,0),1,0)*Table_NFI[[#This Row],[Clothes Kit]],Table_NFI[Clothes Kit])</f>
        <v>#REF!</v>
      </c>
      <c r="AJ203" s="542" t="e">
        <f>IF(NFI_Expiration=1,IF(#REF!&lt;VLOOKUP(S$5,NFI,5,0),1,0)*Table_NFI[[#This Row],[Plastic Bucket]],Table_NFI[Plastic Bucket])</f>
        <v>#REF!</v>
      </c>
      <c r="AK203" s="542" t="e">
        <f>IF(NFI_Expiration=1,IF(#REF!&lt;VLOOKUP(T$5,NFI,5,0),1,0)*Table_NFI[[#This Row],[Plastic Mat]],Table_NFI[Plastic Mat])*IF(Table_NFI[[#This Row],[Distribution Date]]&gt;"2014-04-01",1,2.5)</f>
        <v>#REF!</v>
      </c>
      <c r="AL203" s="542" t="e">
        <f>IF(NFI_Expiration=1,IF(#REF!&lt;VLOOKUP(U$5,NFI,5,0),1,0)*Table_NFI[[#This Row],[Winter Clothes Adult]],Table_NFI[Winter Clothes Adult])</f>
        <v>#REF!</v>
      </c>
      <c r="AM203" s="542"/>
      <c r="AN203" s="542"/>
      <c r="AO203" s="542"/>
      <c r="AP203" s="542">
        <f>IF(Table_NFI[[#This Row],[Winter Clothes Adult]]+Table_NFI[[#This Row],[Winter Clothes Children]]+Table_NFI[[#This Row],[Winter Items Other]]+Table_NFI[[#This Row],[Winter Blanket]]&gt;0,1,0)</f>
        <v>0</v>
      </c>
      <c r="AQ203" s="542"/>
      <c r="AR203" s="542"/>
      <c r="AS203" s="542"/>
      <c r="AT203" s="205" t="str">
        <f>IFERROR(VLOOKUP(Table_NFI[[#This Row],[Location]],CL,2,0),"")</f>
        <v>MMR015CMP232</v>
      </c>
      <c r="AU203" s="183"/>
    </row>
    <row r="204" spans="2:47" x14ac:dyDescent="0.25">
      <c r="B204" s="540">
        <v>43151</v>
      </c>
      <c r="C204" s="540" t="str">
        <f>MONTH(Table_NFI[[#This Row],[Distribution Date]]) &amp; "/" &amp; YEAR(Table_NFI[[#This Row],[Distribution Date]])</f>
        <v>2/2018</v>
      </c>
      <c r="D204" s="198" t="s">
        <v>1458</v>
      </c>
      <c r="E204" s="198"/>
      <c r="F204" s="198" t="s">
        <v>506</v>
      </c>
      <c r="G204" s="197" t="s">
        <v>288</v>
      </c>
      <c r="H204" s="198" t="s">
        <v>1129</v>
      </c>
      <c r="I204" s="183"/>
      <c r="J204" s="541">
        <v>2</v>
      </c>
      <c r="K204" s="541"/>
      <c r="L204" s="541"/>
      <c r="M204" s="541"/>
      <c r="N204" s="541">
        <v>2</v>
      </c>
      <c r="O204" s="541"/>
      <c r="P204" s="541">
        <v>2</v>
      </c>
      <c r="Q204" s="541">
        <v>2</v>
      </c>
      <c r="R204" s="541"/>
      <c r="S204" s="541"/>
      <c r="T204" s="541"/>
      <c r="U204" s="541">
        <v>2</v>
      </c>
      <c r="V204" s="541">
        <v>2</v>
      </c>
      <c r="W204" s="541">
        <v>2</v>
      </c>
      <c r="X204" s="541"/>
      <c r="Y204" s="541"/>
      <c r="Z204" s="541"/>
      <c r="AA204" s="541"/>
      <c r="AB204" s="541"/>
      <c r="AC204" s="542" t="e">
        <f>IF(NFI_Expiration=1,IF(#REF!&lt;VLOOKUP(L$5,NFI,5,0),1,0)*Table_NFI[[#This Row],[NFI Core Kit]],Table_NFI[NFI Core Kit])</f>
        <v>#REF!</v>
      </c>
      <c r="AD204" s="542" t="e">
        <f>IF(NFI_Expiration=1,IF(#REF!&lt;VLOOKUP(M$5,NFI,5,0),1,0)*Table_NFI[[#This Row],[Sanitary Kit]],Table_NFI[Sanitary Kit])</f>
        <v>#REF!</v>
      </c>
      <c r="AE204" s="542" t="e">
        <f>IF(NFI_Expiration=1,IF(#REF!&lt;VLOOKUP(N$5,NFI,5,0),1,0)*Table_NFI[[#This Row],[Mosquito net]],Table_NFI[Mosquito net])</f>
        <v>#REF!</v>
      </c>
      <c r="AF204" s="542" t="e">
        <f>IF(NFI_Expiration=1,IF(#REF!&lt;VLOOKUP(O$5,NFI,5,0),1,0)*Table_NFI[[#This Row],[Tarpaulin]],Table_NFI[[#This Row],[Tarpaulin]])</f>
        <v>#REF!</v>
      </c>
      <c r="AG204" s="542" t="e">
        <f>IF(NFI_Expiration=1,IF(#REF!&lt;VLOOKUP(P$5,NFI,5,0),1,0)*Table_NFI[[#This Row],[Blanket]],Table_NFI[[#This Row],[Blanket]])</f>
        <v>#REF!</v>
      </c>
      <c r="AH204" s="542" t="e">
        <f>IF(NFI_Expiration=1,IF(#REF!&lt;VLOOKUP(Q$5,NFI,5,0),1,0)*Table_NFI[[#This Row],[Kitchen Set]],Table_NFI[Kitchen Set])</f>
        <v>#REF!</v>
      </c>
      <c r="AI204" s="542" t="e">
        <f>IF(NFI_Expiration=1,IF(#REF!&lt;VLOOKUP(R$5,NFI,5,0),1,0)*Table_NFI[[#This Row],[Clothes Kit]],Table_NFI[Clothes Kit])</f>
        <v>#REF!</v>
      </c>
      <c r="AJ204" s="542" t="e">
        <f>IF(NFI_Expiration=1,IF(#REF!&lt;VLOOKUP(S$5,NFI,5,0),1,0)*Table_NFI[[#This Row],[Plastic Bucket]],Table_NFI[Plastic Bucket])</f>
        <v>#REF!</v>
      </c>
      <c r="AK204" s="542" t="e">
        <f>IF(NFI_Expiration=1,IF(#REF!&lt;VLOOKUP(T$5,NFI,5,0),1,0)*Table_NFI[[#This Row],[Plastic Mat]],Table_NFI[Plastic Mat])*IF(Table_NFI[[#This Row],[Distribution Date]]&gt;"2014-04-01",1,2.5)</f>
        <v>#REF!</v>
      </c>
      <c r="AL204" s="542" t="e">
        <f>IF(NFI_Expiration=1,IF(#REF!&lt;VLOOKUP(U$5,NFI,5,0),1,0)*Table_NFI[[#This Row],[Winter Clothes Adult]],Table_NFI[Winter Clothes Adult])</f>
        <v>#REF!</v>
      </c>
      <c r="AM204" s="542"/>
      <c r="AN204" s="542"/>
      <c r="AO204" s="542"/>
      <c r="AP204" s="542">
        <f>IF(Table_NFI[[#This Row],[Winter Clothes Adult]]+Table_NFI[[#This Row],[Winter Clothes Children]]+Table_NFI[[#This Row],[Winter Items Other]]+Table_NFI[[#This Row],[Winter Blanket]]&gt;0,1,0)</f>
        <v>1</v>
      </c>
      <c r="AQ204" s="542"/>
      <c r="AR204" s="542"/>
      <c r="AS204" s="542"/>
      <c r="AT204" s="205" t="str">
        <f>IFERROR(VLOOKUP(Table_NFI[[#This Row],[Location]],CL,2,0),"")</f>
        <v>MMR015CMP224</v>
      </c>
      <c r="AU204" s="183"/>
    </row>
    <row r="205" spans="2:47" x14ac:dyDescent="0.25">
      <c r="B205" s="540">
        <v>43152</v>
      </c>
      <c r="C205" s="540" t="str">
        <f>MONTH(Table_NFI[[#This Row],[Distribution Date]]) &amp; "/" &amp; YEAR(Table_NFI[[#This Row],[Distribution Date]])</f>
        <v>2/2018</v>
      </c>
      <c r="D205" s="198" t="s">
        <v>1458</v>
      </c>
      <c r="E205" s="198"/>
      <c r="F205" s="198" t="s">
        <v>506</v>
      </c>
      <c r="G205" s="197" t="s">
        <v>288</v>
      </c>
      <c r="H205" s="198" t="s">
        <v>1129</v>
      </c>
      <c r="I205" s="183">
        <v>1</v>
      </c>
      <c r="J205" s="541"/>
      <c r="K205" s="541"/>
      <c r="L205" s="541"/>
      <c r="M205" s="541"/>
      <c r="N205" s="541"/>
      <c r="O205" s="541"/>
      <c r="P205" s="541"/>
      <c r="Q205" s="541"/>
      <c r="R205" s="541"/>
      <c r="S205" s="541"/>
      <c r="T205" s="541"/>
      <c r="U205" s="541"/>
      <c r="V205" s="541"/>
      <c r="W205" s="541"/>
      <c r="X205" s="541"/>
      <c r="Y205" s="541"/>
      <c r="Z205" s="541"/>
      <c r="AA205" s="541"/>
      <c r="AB205" s="541"/>
      <c r="AC205" s="542" t="e">
        <f>IF(NFI_Expiration=1,IF(#REF!&lt;VLOOKUP(L$5,NFI,5,0),1,0)*Table_NFI[[#This Row],[NFI Core Kit]],Table_NFI[NFI Core Kit])</f>
        <v>#REF!</v>
      </c>
      <c r="AD205" s="542" t="e">
        <f>IF(NFI_Expiration=1,IF(#REF!&lt;VLOOKUP(M$5,NFI,5,0),1,0)*Table_NFI[[#This Row],[Sanitary Kit]],Table_NFI[Sanitary Kit])</f>
        <v>#REF!</v>
      </c>
      <c r="AE205" s="542" t="e">
        <f>IF(NFI_Expiration=1,IF(#REF!&lt;VLOOKUP(N$5,NFI,5,0),1,0)*Table_NFI[[#This Row],[Mosquito net]],Table_NFI[Mosquito net])</f>
        <v>#REF!</v>
      </c>
      <c r="AF205" s="542" t="e">
        <f>IF(NFI_Expiration=1,IF(#REF!&lt;VLOOKUP(O$5,NFI,5,0),1,0)*Table_NFI[[#This Row],[Tarpaulin]],Table_NFI[[#This Row],[Tarpaulin]])</f>
        <v>#REF!</v>
      </c>
      <c r="AG205" s="542" t="e">
        <f>IF(NFI_Expiration=1,IF(#REF!&lt;VLOOKUP(P$5,NFI,5,0),1,0)*Table_NFI[[#This Row],[Blanket]],Table_NFI[[#This Row],[Blanket]])</f>
        <v>#REF!</v>
      </c>
      <c r="AH205" s="542" t="e">
        <f>IF(NFI_Expiration=1,IF(#REF!&lt;VLOOKUP(Q$5,NFI,5,0),1,0)*Table_NFI[[#This Row],[Kitchen Set]],Table_NFI[Kitchen Set])</f>
        <v>#REF!</v>
      </c>
      <c r="AI205" s="542" t="e">
        <f>IF(NFI_Expiration=1,IF(#REF!&lt;VLOOKUP(R$5,NFI,5,0),1,0)*Table_NFI[[#This Row],[Clothes Kit]],Table_NFI[Clothes Kit])</f>
        <v>#REF!</v>
      </c>
      <c r="AJ205" s="542" t="e">
        <f>IF(NFI_Expiration=1,IF(#REF!&lt;VLOOKUP(S$5,NFI,5,0),1,0)*Table_NFI[[#This Row],[Plastic Bucket]],Table_NFI[Plastic Bucket])</f>
        <v>#REF!</v>
      </c>
      <c r="AK205" s="542" t="e">
        <f>IF(NFI_Expiration=1,IF(#REF!&lt;VLOOKUP(T$5,NFI,5,0),1,0)*Table_NFI[[#This Row],[Plastic Mat]],Table_NFI[Plastic Mat])*IF(Table_NFI[[#This Row],[Distribution Date]]&gt;"2014-04-01",1,2.5)</f>
        <v>#REF!</v>
      </c>
      <c r="AL205" s="542" t="e">
        <f>IF(NFI_Expiration=1,IF(#REF!&lt;VLOOKUP(U$5,NFI,5,0),1,0)*Table_NFI[[#This Row],[Winter Clothes Adult]],Table_NFI[Winter Clothes Adult])</f>
        <v>#REF!</v>
      </c>
      <c r="AM205" s="542"/>
      <c r="AN205" s="542"/>
      <c r="AO205" s="542"/>
      <c r="AP205" s="542">
        <f>IF(Table_NFI[[#This Row],[Winter Clothes Adult]]+Table_NFI[[#This Row],[Winter Clothes Children]]+Table_NFI[[#This Row],[Winter Items Other]]+Table_NFI[[#This Row],[Winter Blanket]]&gt;0,1,0)</f>
        <v>0</v>
      </c>
      <c r="AQ205" s="542"/>
      <c r="AR205" s="542"/>
      <c r="AS205" s="542"/>
      <c r="AT205" s="205" t="str">
        <f>IFERROR(VLOOKUP(Table_NFI[[#This Row],[Location]],CL,2,0),"")</f>
        <v>MMR015CMP224</v>
      </c>
      <c r="AU205" s="183"/>
    </row>
    <row r="206" spans="2:47" x14ac:dyDescent="0.25">
      <c r="B206" s="540">
        <v>43166</v>
      </c>
      <c r="C206" s="540" t="str">
        <f>MONTH(Table_NFI[[#This Row],[Distribution Date]]) &amp; "/" &amp; YEAR(Table_NFI[[#This Row],[Distribution Date]])</f>
        <v>3/2018</v>
      </c>
      <c r="D206" s="198" t="s">
        <v>1458</v>
      </c>
      <c r="E206" s="198"/>
      <c r="F206" s="198" t="s">
        <v>378</v>
      </c>
      <c r="G206" s="197" t="s">
        <v>151</v>
      </c>
      <c r="H206" s="198" t="s">
        <v>154</v>
      </c>
      <c r="I206" s="183">
        <v>2</v>
      </c>
      <c r="J206" s="541"/>
      <c r="K206" s="541"/>
      <c r="L206" s="541"/>
      <c r="M206" s="541"/>
      <c r="N206" s="541"/>
      <c r="O206" s="541"/>
      <c r="P206" s="541"/>
      <c r="Q206" s="541"/>
      <c r="R206" s="541"/>
      <c r="S206" s="541"/>
      <c r="T206" s="541"/>
      <c r="U206" s="541"/>
      <c r="V206" s="541"/>
      <c r="W206" s="541"/>
      <c r="X206" s="541"/>
      <c r="Y206" s="541"/>
      <c r="Z206" s="541"/>
      <c r="AA206" s="541"/>
      <c r="AB206" s="541"/>
      <c r="AC206" s="542" t="e">
        <f>IF(NFI_Expiration=1,IF(#REF!&lt;VLOOKUP(L$5,NFI,5,0),1,0)*Table_NFI[[#This Row],[NFI Core Kit]],Table_NFI[NFI Core Kit])</f>
        <v>#REF!</v>
      </c>
      <c r="AD206" s="542" t="e">
        <f>IF(NFI_Expiration=1,IF(#REF!&lt;VLOOKUP(M$5,NFI,5,0),1,0)*Table_NFI[[#This Row],[Sanitary Kit]],Table_NFI[Sanitary Kit])</f>
        <v>#REF!</v>
      </c>
      <c r="AE206" s="542" t="e">
        <f>IF(NFI_Expiration=1,IF(#REF!&lt;VLOOKUP(N$5,NFI,5,0),1,0)*Table_NFI[[#This Row],[Mosquito net]],Table_NFI[Mosquito net])</f>
        <v>#REF!</v>
      </c>
      <c r="AF206" s="542" t="e">
        <f>IF(NFI_Expiration=1,IF(#REF!&lt;VLOOKUP(O$5,NFI,5,0),1,0)*Table_NFI[[#This Row],[Tarpaulin]],Table_NFI[[#This Row],[Tarpaulin]])</f>
        <v>#REF!</v>
      </c>
      <c r="AG206" s="542" t="e">
        <f>IF(NFI_Expiration=1,IF(#REF!&lt;VLOOKUP(P$5,NFI,5,0),1,0)*Table_NFI[[#This Row],[Blanket]],Table_NFI[[#This Row],[Blanket]])</f>
        <v>#REF!</v>
      </c>
      <c r="AH206" s="542" t="e">
        <f>IF(NFI_Expiration=1,IF(#REF!&lt;VLOOKUP(Q$5,NFI,5,0),1,0)*Table_NFI[[#This Row],[Kitchen Set]],Table_NFI[Kitchen Set])</f>
        <v>#REF!</v>
      </c>
      <c r="AI206" s="542" t="e">
        <f>IF(NFI_Expiration=1,IF(#REF!&lt;VLOOKUP(R$5,NFI,5,0),1,0)*Table_NFI[[#This Row],[Clothes Kit]],Table_NFI[Clothes Kit])</f>
        <v>#REF!</v>
      </c>
      <c r="AJ206" s="542" t="e">
        <f>IF(NFI_Expiration=1,IF(#REF!&lt;VLOOKUP(S$5,NFI,5,0),1,0)*Table_NFI[[#This Row],[Plastic Bucket]],Table_NFI[Plastic Bucket])</f>
        <v>#REF!</v>
      </c>
      <c r="AK206" s="542" t="e">
        <f>IF(NFI_Expiration=1,IF(#REF!&lt;VLOOKUP(T$5,NFI,5,0),1,0)*Table_NFI[[#This Row],[Plastic Mat]],Table_NFI[Plastic Mat])*IF(Table_NFI[[#This Row],[Distribution Date]]&gt;"2014-04-01",1,2.5)</f>
        <v>#REF!</v>
      </c>
      <c r="AL206" s="542" t="e">
        <f>IF(NFI_Expiration=1,IF(#REF!&lt;VLOOKUP(U$5,NFI,5,0),1,0)*Table_NFI[[#This Row],[Winter Clothes Adult]],Table_NFI[Winter Clothes Adult])</f>
        <v>#REF!</v>
      </c>
      <c r="AM206" s="542"/>
      <c r="AN206" s="542"/>
      <c r="AO206" s="542"/>
      <c r="AP206" s="542">
        <f>IF(Table_NFI[[#This Row],[Winter Clothes Adult]]+Table_NFI[[#This Row],[Winter Clothes Children]]+Table_NFI[[#This Row],[Winter Items Other]]+Table_NFI[[#This Row],[Winter Blanket]]&gt;0,1,0)</f>
        <v>0</v>
      </c>
      <c r="AQ206" s="542"/>
      <c r="AR206" s="542"/>
      <c r="AS206" s="542"/>
      <c r="AT206" s="205" t="str">
        <f>IFERROR(VLOOKUP(Table_NFI[[#This Row],[Location]],CL,2,0),"")</f>
        <v>MMR001CMP132</v>
      </c>
      <c r="AU206" s="183"/>
    </row>
    <row r="207" spans="2:47" x14ac:dyDescent="0.25">
      <c r="B207" s="540">
        <v>43175</v>
      </c>
      <c r="C207" s="540" t="str">
        <f>MONTH(Table_NFI[[#This Row],[Distribution Date]]) &amp; "/" &amp; YEAR(Table_NFI[[#This Row],[Distribution Date]])</f>
        <v>3/2018</v>
      </c>
      <c r="D207" s="198" t="s">
        <v>1458</v>
      </c>
      <c r="E207" s="198"/>
      <c r="F207" s="198" t="s">
        <v>378</v>
      </c>
      <c r="G207" s="197" t="s">
        <v>151</v>
      </c>
      <c r="H207" s="198" t="s">
        <v>154</v>
      </c>
      <c r="I207" s="183"/>
      <c r="J207" s="541">
        <v>16</v>
      </c>
      <c r="K207" s="541"/>
      <c r="L207" s="541"/>
      <c r="M207" s="541"/>
      <c r="N207" s="541"/>
      <c r="O207" s="541"/>
      <c r="P207" s="541"/>
      <c r="Q207" s="541">
        <v>16</v>
      </c>
      <c r="R207" s="541"/>
      <c r="S207" s="541"/>
      <c r="T207" s="541"/>
      <c r="U207" s="541">
        <v>16</v>
      </c>
      <c r="V207" s="541">
        <v>16</v>
      </c>
      <c r="W207" s="541">
        <v>16</v>
      </c>
      <c r="X207" s="541">
        <v>16</v>
      </c>
      <c r="Y207" s="541"/>
      <c r="Z207" s="541"/>
      <c r="AA207" s="541"/>
      <c r="AB207" s="541"/>
      <c r="AC207" s="542" t="e">
        <f>IF(NFI_Expiration=1,IF(#REF!&lt;VLOOKUP(L$5,NFI,5,0),1,0)*Table_NFI[[#This Row],[NFI Core Kit]],Table_NFI[NFI Core Kit])</f>
        <v>#REF!</v>
      </c>
      <c r="AD207" s="542" t="e">
        <f>IF(NFI_Expiration=1,IF(#REF!&lt;VLOOKUP(M$5,NFI,5,0),1,0)*Table_NFI[[#This Row],[Sanitary Kit]],Table_NFI[Sanitary Kit])</f>
        <v>#REF!</v>
      </c>
      <c r="AE207" s="542" t="e">
        <f>IF(NFI_Expiration=1,IF(#REF!&lt;VLOOKUP(N$5,NFI,5,0),1,0)*Table_NFI[[#This Row],[Mosquito net]],Table_NFI[Mosquito net])</f>
        <v>#REF!</v>
      </c>
      <c r="AF207" s="542" t="e">
        <f>IF(NFI_Expiration=1,IF(#REF!&lt;VLOOKUP(O$5,NFI,5,0),1,0)*Table_NFI[[#This Row],[Tarpaulin]],Table_NFI[[#This Row],[Tarpaulin]])</f>
        <v>#REF!</v>
      </c>
      <c r="AG207" s="542" t="e">
        <f>IF(NFI_Expiration=1,IF(#REF!&lt;VLOOKUP(P$5,NFI,5,0),1,0)*Table_NFI[[#This Row],[Blanket]],Table_NFI[[#This Row],[Blanket]])</f>
        <v>#REF!</v>
      </c>
      <c r="AH207" s="542" t="e">
        <f>IF(NFI_Expiration=1,IF(#REF!&lt;VLOOKUP(Q$5,NFI,5,0),1,0)*Table_NFI[[#This Row],[Kitchen Set]],Table_NFI[Kitchen Set])</f>
        <v>#REF!</v>
      </c>
      <c r="AI207" s="542" t="e">
        <f>IF(NFI_Expiration=1,IF(#REF!&lt;VLOOKUP(R$5,NFI,5,0),1,0)*Table_NFI[[#This Row],[Clothes Kit]],Table_NFI[Clothes Kit])</f>
        <v>#REF!</v>
      </c>
      <c r="AJ207" s="542" t="e">
        <f>IF(NFI_Expiration=1,IF(#REF!&lt;VLOOKUP(S$5,NFI,5,0),1,0)*Table_NFI[[#This Row],[Plastic Bucket]],Table_NFI[Plastic Bucket])</f>
        <v>#REF!</v>
      </c>
      <c r="AK207" s="542" t="e">
        <f>IF(NFI_Expiration=1,IF(#REF!&lt;VLOOKUP(T$5,NFI,5,0),1,0)*Table_NFI[[#This Row],[Plastic Mat]],Table_NFI[Plastic Mat])*IF(Table_NFI[[#This Row],[Distribution Date]]&gt;"2014-04-01",1,2.5)</f>
        <v>#REF!</v>
      </c>
      <c r="AL207" s="542" t="e">
        <f>IF(NFI_Expiration=1,IF(#REF!&lt;VLOOKUP(U$5,NFI,5,0),1,0)*Table_NFI[[#This Row],[Winter Clothes Adult]],Table_NFI[Winter Clothes Adult])</f>
        <v>#REF!</v>
      </c>
      <c r="AM207" s="542"/>
      <c r="AN207" s="542"/>
      <c r="AO207" s="542"/>
      <c r="AP207" s="542">
        <f>IF(Table_NFI[[#This Row],[Winter Clothes Adult]]+Table_NFI[[#This Row],[Winter Clothes Children]]+Table_NFI[[#This Row],[Winter Items Other]]+Table_NFI[[#This Row],[Winter Blanket]]&gt;0,1,0)</f>
        <v>1</v>
      </c>
      <c r="AQ207" s="542"/>
      <c r="AR207" s="542"/>
      <c r="AS207" s="542"/>
      <c r="AT207" s="205" t="str">
        <f>IFERROR(VLOOKUP(Table_NFI[[#This Row],[Location]],CL,2,0),"")</f>
        <v>MMR001CMP132</v>
      </c>
      <c r="AU207" s="183"/>
    </row>
    <row r="208" spans="2:47" x14ac:dyDescent="0.25">
      <c r="B208" s="540">
        <v>43185</v>
      </c>
      <c r="C208" s="540" t="str">
        <f>MONTH(Table_NFI[[#This Row],[Distribution Date]]) &amp; "/" &amp; YEAR(Table_NFI[[#This Row],[Distribution Date]])</f>
        <v>3/2018</v>
      </c>
      <c r="D208" s="198" t="s">
        <v>1458</v>
      </c>
      <c r="E208" s="198"/>
      <c r="F208" s="198" t="s">
        <v>506</v>
      </c>
      <c r="G208" s="197" t="s">
        <v>297</v>
      </c>
      <c r="H208" s="198" t="s">
        <v>1136</v>
      </c>
      <c r="I208" s="183"/>
      <c r="J208" s="541"/>
      <c r="K208" s="541"/>
      <c r="L208" s="541"/>
      <c r="M208" s="541"/>
      <c r="N208" s="541"/>
      <c r="O208" s="541"/>
      <c r="P208" s="541"/>
      <c r="Q208" s="541"/>
      <c r="R208" s="541"/>
      <c r="S208" s="541"/>
      <c r="T208" s="541"/>
      <c r="U208" s="541"/>
      <c r="V208" s="541"/>
      <c r="W208" s="541"/>
      <c r="X208" s="541"/>
      <c r="Y208" s="541"/>
      <c r="Z208" s="541"/>
      <c r="AA208" s="541">
        <v>14</v>
      </c>
      <c r="AB208" s="541"/>
      <c r="AC208" s="542" t="e">
        <f>IF(NFI_Expiration=1,IF(#REF!&lt;VLOOKUP(L$5,NFI,5,0),1,0)*Table_NFI[[#This Row],[NFI Core Kit]],Table_NFI[NFI Core Kit])</f>
        <v>#REF!</v>
      </c>
      <c r="AD208" s="542" t="e">
        <f>IF(NFI_Expiration=1,IF(#REF!&lt;VLOOKUP(M$5,NFI,5,0),1,0)*Table_NFI[[#This Row],[Sanitary Kit]],Table_NFI[Sanitary Kit])</f>
        <v>#REF!</v>
      </c>
      <c r="AE208" s="542" t="e">
        <f>IF(NFI_Expiration=1,IF(#REF!&lt;VLOOKUP(N$5,NFI,5,0),1,0)*Table_NFI[[#This Row],[Mosquito net]],Table_NFI[Mosquito net])</f>
        <v>#REF!</v>
      </c>
      <c r="AF208" s="542" t="e">
        <f>IF(NFI_Expiration=1,IF(#REF!&lt;VLOOKUP(O$5,NFI,5,0),1,0)*Table_NFI[[#This Row],[Tarpaulin]],Table_NFI[[#This Row],[Tarpaulin]])</f>
        <v>#REF!</v>
      </c>
      <c r="AG208" s="542" t="e">
        <f>IF(NFI_Expiration=1,IF(#REF!&lt;VLOOKUP(P$5,NFI,5,0),1,0)*Table_NFI[[#This Row],[Blanket]],Table_NFI[[#This Row],[Blanket]])</f>
        <v>#REF!</v>
      </c>
      <c r="AH208" s="542" t="e">
        <f>IF(NFI_Expiration=1,IF(#REF!&lt;VLOOKUP(Q$5,NFI,5,0),1,0)*Table_NFI[[#This Row],[Kitchen Set]],Table_NFI[Kitchen Set])</f>
        <v>#REF!</v>
      </c>
      <c r="AI208" s="542" t="e">
        <f>IF(NFI_Expiration=1,IF(#REF!&lt;VLOOKUP(R$5,NFI,5,0),1,0)*Table_NFI[[#This Row],[Clothes Kit]],Table_NFI[Clothes Kit])</f>
        <v>#REF!</v>
      </c>
      <c r="AJ208" s="542" t="e">
        <f>IF(NFI_Expiration=1,IF(#REF!&lt;VLOOKUP(S$5,NFI,5,0),1,0)*Table_NFI[[#This Row],[Plastic Bucket]],Table_NFI[Plastic Bucket])</f>
        <v>#REF!</v>
      </c>
      <c r="AK208" s="542" t="e">
        <f>IF(NFI_Expiration=1,IF(#REF!&lt;VLOOKUP(T$5,NFI,5,0),1,0)*Table_NFI[[#This Row],[Plastic Mat]],Table_NFI[Plastic Mat])*IF(Table_NFI[[#This Row],[Distribution Date]]&gt;"2014-04-01",1,2.5)</f>
        <v>#REF!</v>
      </c>
      <c r="AL208" s="542" t="e">
        <f>IF(NFI_Expiration=1,IF(#REF!&lt;VLOOKUP(U$5,NFI,5,0),1,0)*Table_NFI[[#This Row],[Winter Clothes Adult]],Table_NFI[Winter Clothes Adult])</f>
        <v>#REF!</v>
      </c>
      <c r="AM208" s="542"/>
      <c r="AN208" s="542"/>
      <c r="AO208" s="542"/>
      <c r="AP208" s="542">
        <f>IF(Table_NFI[[#This Row],[Winter Clothes Adult]]+Table_NFI[[#This Row],[Winter Clothes Children]]+Table_NFI[[#This Row],[Winter Items Other]]+Table_NFI[[#This Row],[Winter Blanket]]&gt;0,1,0)</f>
        <v>0</v>
      </c>
      <c r="AQ208" s="542"/>
      <c r="AR208" s="542"/>
      <c r="AS208" s="542"/>
      <c r="AT208" s="205" t="str">
        <f>IFERROR(VLOOKUP(Table_NFI[[#This Row],[Location]],CL,2,0),"")</f>
        <v>MMR015CMP221</v>
      </c>
      <c r="AU208" s="183" t="s">
        <v>1622</v>
      </c>
    </row>
    <row r="209" spans="2:47" x14ac:dyDescent="0.25">
      <c r="B209" s="540">
        <v>43180</v>
      </c>
      <c r="C209" s="540" t="str">
        <f>MONTH(Table_NFI[[#This Row],[Distribution Date]]) &amp; "/" &amp; YEAR(Table_NFI[[#This Row],[Distribution Date]])</f>
        <v>3/2018</v>
      </c>
      <c r="D209" s="198" t="s">
        <v>1258</v>
      </c>
      <c r="E209" s="198" t="s">
        <v>424</v>
      </c>
      <c r="F209" s="198" t="s">
        <v>378</v>
      </c>
      <c r="G209" s="197" t="s">
        <v>185</v>
      </c>
      <c r="H209" s="198" t="s">
        <v>209</v>
      </c>
      <c r="I209" s="183"/>
      <c r="J209" s="541"/>
      <c r="K209" s="541"/>
      <c r="L209" s="541"/>
      <c r="M209" s="541"/>
      <c r="N209" s="541"/>
      <c r="O209" s="541"/>
      <c r="P209" s="541">
        <v>124</v>
      </c>
      <c r="Q209" s="541"/>
      <c r="R209" s="541"/>
      <c r="S209" s="541"/>
      <c r="T209" s="541">
        <v>124</v>
      </c>
      <c r="U209" s="541"/>
      <c r="V209" s="541"/>
      <c r="W209" s="541"/>
      <c r="X209" s="541"/>
      <c r="Y209" s="541"/>
      <c r="Z209" s="541"/>
      <c r="AA209" s="541"/>
      <c r="AB209" s="541"/>
      <c r="AC209" s="542" t="e">
        <f>IF(NFI_Expiration=1,IF(#REF!&lt;VLOOKUP(L$5,NFI,5,0),1,0)*Table_NFI[[#This Row],[NFI Core Kit]],Table_NFI[NFI Core Kit])</f>
        <v>#REF!</v>
      </c>
      <c r="AD209" s="542" t="e">
        <f>IF(NFI_Expiration=1,IF(#REF!&lt;VLOOKUP(M$5,NFI,5,0),1,0)*Table_NFI[[#This Row],[Sanitary Kit]],Table_NFI[Sanitary Kit])</f>
        <v>#REF!</v>
      </c>
      <c r="AE209" s="542" t="e">
        <f>IF(NFI_Expiration=1,IF(#REF!&lt;VLOOKUP(N$5,NFI,5,0),1,0)*Table_NFI[[#This Row],[Mosquito net]],Table_NFI[Mosquito net])</f>
        <v>#REF!</v>
      </c>
      <c r="AF209" s="542" t="e">
        <f>IF(NFI_Expiration=1,IF(#REF!&lt;VLOOKUP(O$5,NFI,5,0),1,0)*Table_NFI[[#This Row],[Tarpaulin]],Table_NFI[[#This Row],[Tarpaulin]])</f>
        <v>#REF!</v>
      </c>
      <c r="AG209" s="542" t="e">
        <f>IF(NFI_Expiration=1,IF(#REF!&lt;VLOOKUP(P$5,NFI,5,0),1,0)*Table_NFI[[#This Row],[Blanket]],Table_NFI[[#This Row],[Blanket]])</f>
        <v>#REF!</v>
      </c>
      <c r="AH209" s="542" t="e">
        <f>IF(NFI_Expiration=1,IF(#REF!&lt;VLOOKUP(Q$5,NFI,5,0),1,0)*Table_NFI[[#This Row],[Kitchen Set]],Table_NFI[Kitchen Set])</f>
        <v>#REF!</v>
      </c>
      <c r="AI209" s="542" t="e">
        <f>IF(NFI_Expiration=1,IF(#REF!&lt;VLOOKUP(R$5,NFI,5,0),1,0)*Table_NFI[[#This Row],[Clothes Kit]],Table_NFI[Clothes Kit])</f>
        <v>#REF!</v>
      </c>
      <c r="AJ209" s="542" t="e">
        <f>IF(NFI_Expiration=1,IF(#REF!&lt;VLOOKUP(S$5,NFI,5,0),1,0)*Table_NFI[[#This Row],[Plastic Bucket]],Table_NFI[Plastic Bucket])</f>
        <v>#REF!</v>
      </c>
      <c r="AK209" s="542" t="e">
        <f>IF(NFI_Expiration=1,IF(#REF!&lt;VLOOKUP(T$5,NFI,5,0),1,0)*Table_NFI[[#This Row],[Plastic Mat]],Table_NFI[Plastic Mat])*IF(Table_NFI[[#This Row],[Distribution Date]]&gt;"2014-04-01",1,2.5)</f>
        <v>#REF!</v>
      </c>
      <c r="AL209" s="542" t="e">
        <f>IF(NFI_Expiration=1,IF(#REF!&lt;VLOOKUP(U$5,NFI,5,0),1,0)*Table_NFI[[#This Row],[Winter Clothes Adult]],Table_NFI[Winter Clothes Adult])</f>
        <v>#REF!</v>
      </c>
      <c r="AM209" s="542"/>
      <c r="AN209" s="542"/>
      <c r="AO209" s="542"/>
      <c r="AP209" s="542">
        <f>IF(Table_NFI[[#This Row],[Winter Clothes Adult]]+Table_NFI[[#This Row],[Winter Clothes Children]]+Table_NFI[[#This Row],[Winter Items Other]]+Table_NFI[[#This Row],[Winter Blanket]]&gt;0,1,0)</f>
        <v>0</v>
      </c>
      <c r="AQ209" s="542"/>
      <c r="AR209" s="542"/>
      <c r="AS209" s="542"/>
      <c r="AT209" s="205" t="str">
        <f>IFERROR(VLOOKUP(Table_NFI[[#This Row],[Location]],CL,2,0),"")</f>
        <v>MMR001CMP056</v>
      </c>
      <c r="AU209" s="183" t="s">
        <v>1624</v>
      </c>
    </row>
    <row r="210" spans="2:47" x14ac:dyDescent="0.25">
      <c r="B210" s="540">
        <v>43187</v>
      </c>
      <c r="C210" s="540" t="str">
        <f>MONTH(Table_NFI[[#This Row],[Distribution Date]]) &amp; "/" &amp; YEAR(Table_NFI[[#This Row],[Distribution Date]])</f>
        <v>3/2018</v>
      </c>
      <c r="D210" s="198" t="s">
        <v>1258</v>
      </c>
      <c r="E210" s="198"/>
      <c r="F210" s="198" t="s">
        <v>378</v>
      </c>
      <c r="G210" s="197" t="s">
        <v>185</v>
      </c>
      <c r="H210" s="198" t="s">
        <v>12</v>
      </c>
      <c r="I210" s="183"/>
      <c r="J210" s="541"/>
      <c r="K210" s="541"/>
      <c r="L210" s="541"/>
      <c r="M210" s="541"/>
      <c r="N210" s="541"/>
      <c r="O210" s="541"/>
      <c r="P210" s="541">
        <v>387</v>
      </c>
      <c r="Q210" s="541"/>
      <c r="R210" s="541"/>
      <c r="S210" s="541"/>
      <c r="T210" s="541">
        <v>387</v>
      </c>
      <c r="U210" s="541"/>
      <c r="V210" s="541"/>
      <c r="W210" s="541"/>
      <c r="X210" s="541"/>
      <c r="Y210" s="541"/>
      <c r="Z210" s="541"/>
      <c r="AA210" s="541"/>
      <c r="AB210" s="541"/>
      <c r="AC210" s="542" t="e">
        <f>IF(NFI_Expiration=1,IF(#REF!&lt;VLOOKUP(L$5,NFI,5,0),1,0)*Table_NFI[[#This Row],[NFI Core Kit]],Table_NFI[NFI Core Kit])</f>
        <v>#REF!</v>
      </c>
      <c r="AD210" s="542" t="e">
        <f>IF(NFI_Expiration=1,IF(#REF!&lt;VLOOKUP(M$5,NFI,5,0),1,0)*Table_NFI[[#This Row],[Sanitary Kit]],Table_NFI[Sanitary Kit])</f>
        <v>#REF!</v>
      </c>
      <c r="AE210" s="542" t="e">
        <f>IF(NFI_Expiration=1,IF(#REF!&lt;VLOOKUP(N$5,NFI,5,0),1,0)*Table_NFI[[#This Row],[Mosquito net]],Table_NFI[Mosquito net])</f>
        <v>#REF!</v>
      </c>
      <c r="AF210" s="542" t="e">
        <f>IF(NFI_Expiration=1,IF(#REF!&lt;VLOOKUP(O$5,NFI,5,0),1,0)*Table_NFI[[#This Row],[Tarpaulin]],Table_NFI[[#This Row],[Tarpaulin]])</f>
        <v>#REF!</v>
      </c>
      <c r="AG210" s="542" t="e">
        <f>IF(NFI_Expiration=1,IF(#REF!&lt;VLOOKUP(P$5,NFI,5,0),1,0)*Table_NFI[[#This Row],[Blanket]],Table_NFI[[#This Row],[Blanket]])</f>
        <v>#REF!</v>
      </c>
      <c r="AH210" s="542" t="e">
        <f>IF(NFI_Expiration=1,IF(#REF!&lt;VLOOKUP(Q$5,NFI,5,0),1,0)*Table_NFI[[#This Row],[Kitchen Set]],Table_NFI[Kitchen Set])</f>
        <v>#REF!</v>
      </c>
      <c r="AI210" s="542" t="e">
        <f>IF(NFI_Expiration=1,IF(#REF!&lt;VLOOKUP(R$5,NFI,5,0),1,0)*Table_NFI[[#This Row],[Clothes Kit]],Table_NFI[Clothes Kit])</f>
        <v>#REF!</v>
      </c>
      <c r="AJ210" s="542" t="e">
        <f>IF(NFI_Expiration=1,IF(#REF!&lt;VLOOKUP(S$5,NFI,5,0),1,0)*Table_NFI[[#This Row],[Plastic Bucket]],Table_NFI[Plastic Bucket])</f>
        <v>#REF!</v>
      </c>
      <c r="AK210" s="542" t="e">
        <f>IF(NFI_Expiration=1,IF(#REF!&lt;VLOOKUP(T$5,NFI,5,0),1,0)*Table_NFI[[#This Row],[Plastic Mat]],Table_NFI[Plastic Mat])*IF(Table_NFI[[#This Row],[Distribution Date]]&gt;"2014-04-01",1,2.5)</f>
        <v>#REF!</v>
      </c>
      <c r="AL210" s="542" t="e">
        <f>IF(NFI_Expiration=1,IF(#REF!&lt;VLOOKUP(U$5,NFI,5,0),1,0)*Table_NFI[[#This Row],[Winter Clothes Adult]],Table_NFI[Winter Clothes Adult])</f>
        <v>#REF!</v>
      </c>
      <c r="AM210" s="542"/>
      <c r="AN210" s="542"/>
      <c r="AO210" s="542"/>
      <c r="AP210" s="542">
        <f>IF(Table_NFI[[#This Row],[Winter Clothes Adult]]+Table_NFI[[#This Row],[Winter Clothes Children]]+Table_NFI[[#This Row],[Winter Items Other]]+Table_NFI[[#This Row],[Winter Blanket]]&gt;0,1,0)</f>
        <v>0</v>
      </c>
      <c r="AQ210" s="542"/>
      <c r="AR210" s="542"/>
      <c r="AS210" s="542"/>
      <c r="AT210" s="205" t="str">
        <f>IFERROR(VLOOKUP(Table_NFI[[#This Row],[Location]],CL,2,0),"")</f>
        <v>MMR001CMP163</v>
      </c>
      <c r="AU210" s="183" t="s">
        <v>1625</v>
      </c>
    </row>
    <row r="211" spans="2:47" x14ac:dyDescent="0.25">
      <c r="B211" s="540">
        <v>43189</v>
      </c>
      <c r="C211" s="540" t="str">
        <f>MONTH(Table_NFI[[#This Row],[Distribution Date]]) &amp; "/" &amp; YEAR(Table_NFI[[#This Row],[Distribution Date]])</f>
        <v>3/2018</v>
      </c>
      <c r="D211" s="198" t="s">
        <v>1258</v>
      </c>
      <c r="E211" s="198"/>
      <c r="F211" s="198" t="s">
        <v>378</v>
      </c>
      <c r="G211" s="219" t="s">
        <v>151</v>
      </c>
      <c r="H211" s="198" t="s">
        <v>12</v>
      </c>
      <c r="I211" s="183"/>
      <c r="J211" s="541"/>
      <c r="K211" s="541"/>
      <c r="L211" s="541"/>
      <c r="M211" s="541"/>
      <c r="N211" s="541"/>
      <c r="O211" s="541"/>
      <c r="P211" s="541">
        <v>77</v>
      </c>
      <c r="Q211" s="541"/>
      <c r="R211" s="541"/>
      <c r="S211" s="541"/>
      <c r="T211" s="541">
        <v>77</v>
      </c>
      <c r="U211" s="541"/>
      <c r="V211" s="541"/>
      <c r="W211" s="541"/>
      <c r="X211" s="541"/>
      <c r="Y211" s="541"/>
      <c r="Z211" s="541"/>
      <c r="AA211" s="541"/>
      <c r="AB211" s="541"/>
      <c r="AC211" s="542" t="e">
        <f>IF(NFI_Expiration=1,IF(#REF!&lt;VLOOKUP(L$5,NFI,5,0),1,0)*Table_NFI[[#This Row],[NFI Core Kit]],Table_NFI[NFI Core Kit])</f>
        <v>#REF!</v>
      </c>
      <c r="AD211" s="542" t="e">
        <f>IF(NFI_Expiration=1,IF(#REF!&lt;VLOOKUP(M$5,NFI,5,0),1,0)*Table_NFI[[#This Row],[Sanitary Kit]],Table_NFI[Sanitary Kit])</f>
        <v>#REF!</v>
      </c>
      <c r="AE211" s="542" t="e">
        <f>IF(NFI_Expiration=1,IF(#REF!&lt;VLOOKUP(N$5,NFI,5,0),1,0)*Table_NFI[[#This Row],[Mosquito net]],Table_NFI[Mosquito net])</f>
        <v>#REF!</v>
      </c>
      <c r="AF211" s="542" t="e">
        <f>IF(NFI_Expiration=1,IF(#REF!&lt;VLOOKUP(O$5,NFI,5,0),1,0)*Table_NFI[[#This Row],[Tarpaulin]],Table_NFI[[#This Row],[Tarpaulin]])</f>
        <v>#REF!</v>
      </c>
      <c r="AG211" s="542" t="e">
        <f>IF(NFI_Expiration=1,IF(#REF!&lt;VLOOKUP(P$5,NFI,5,0),1,0)*Table_NFI[[#This Row],[Blanket]],Table_NFI[[#This Row],[Blanket]])</f>
        <v>#REF!</v>
      </c>
      <c r="AH211" s="542" t="e">
        <f>IF(NFI_Expiration=1,IF(#REF!&lt;VLOOKUP(Q$5,NFI,5,0),1,0)*Table_NFI[[#This Row],[Kitchen Set]],Table_NFI[Kitchen Set])</f>
        <v>#REF!</v>
      </c>
      <c r="AI211" s="542" t="e">
        <f>IF(NFI_Expiration=1,IF(#REF!&lt;VLOOKUP(R$5,NFI,5,0),1,0)*Table_NFI[[#This Row],[Clothes Kit]],Table_NFI[Clothes Kit])</f>
        <v>#REF!</v>
      </c>
      <c r="AJ211" s="542" t="e">
        <f>IF(NFI_Expiration=1,IF(#REF!&lt;VLOOKUP(S$5,NFI,5,0),1,0)*Table_NFI[[#This Row],[Plastic Bucket]],Table_NFI[Plastic Bucket])</f>
        <v>#REF!</v>
      </c>
      <c r="AK211" s="542" t="e">
        <f>IF(NFI_Expiration=1,IF(#REF!&lt;VLOOKUP(T$5,NFI,5,0),1,0)*Table_NFI[[#This Row],[Plastic Mat]],Table_NFI[Plastic Mat])*IF(Table_NFI[[#This Row],[Distribution Date]]&gt;"2014-04-01",1,2.5)</f>
        <v>#REF!</v>
      </c>
      <c r="AL211" s="542" t="e">
        <f>IF(NFI_Expiration=1,IF(#REF!&lt;VLOOKUP(U$5,NFI,5,0),1,0)*Table_NFI[[#This Row],[Winter Clothes Adult]],Table_NFI[Winter Clothes Adult])</f>
        <v>#REF!</v>
      </c>
      <c r="AM211" s="542"/>
      <c r="AN211" s="542"/>
      <c r="AO211" s="542"/>
      <c r="AP211" s="542">
        <f>IF(Table_NFI[[#This Row],[Winter Clothes Adult]]+Table_NFI[[#This Row],[Winter Clothes Children]]+Table_NFI[[#This Row],[Winter Items Other]]+Table_NFI[[#This Row],[Winter Blanket]]&gt;0,1,0)</f>
        <v>0</v>
      </c>
      <c r="AQ211" s="542"/>
      <c r="AR211" s="542"/>
      <c r="AS211" s="542"/>
      <c r="AT211" s="205" t="str">
        <f>IFERROR(VLOOKUP(Table_NFI[[#This Row],[Location]],CL,2,0),"")</f>
        <v>MMR001CMP163</v>
      </c>
      <c r="AU211" s="183" t="s">
        <v>1626</v>
      </c>
    </row>
    <row r="212" spans="2:47" x14ac:dyDescent="0.25">
      <c r="B212" s="540">
        <v>43180</v>
      </c>
      <c r="C212" s="540" t="str">
        <f>MONTH(Table_NFI[[#This Row],[Distribution Date]]) &amp; "/" &amp; YEAR(Table_NFI[[#This Row],[Distribution Date]])</f>
        <v>3/2018</v>
      </c>
      <c r="D212" s="198" t="s">
        <v>1258</v>
      </c>
      <c r="E212" s="198" t="s">
        <v>1623</v>
      </c>
      <c r="F212" s="198" t="s">
        <v>378</v>
      </c>
      <c r="G212" s="197" t="s">
        <v>185</v>
      </c>
      <c r="H212" s="198" t="s">
        <v>202</v>
      </c>
      <c r="I212" s="183"/>
      <c r="J212" s="541"/>
      <c r="K212" s="541"/>
      <c r="L212" s="541"/>
      <c r="M212" s="541"/>
      <c r="N212" s="541"/>
      <c r="O212" s="541"/>
      <c r="P212" s="541">
        <v>34</v>
      </c>
      <c r="Q212" s="541"/>
      <c r="R212" s="541"/>
      <c r="S212" s="541"/>
      <c r="T212" s="541">
        <v>34</v>
      </c>
      <c r="U212" s="541"/>
      <c r="V212" s="541"/>
      <c r="W212" s="541"/>
      <c r="X212" s="541"/>
      <c r="Y212" s="541"/>
      <c r="Z212" s="541"/>
      <c r="AA212" s="541"/>
      <c r="AB212" s="541"/>
      <c r="AC212" s="542" t="e">
        <f>IF(NFI_Expiration=1,IF(#REF!&lt;VLOOKUP(L$5,NFI,5,0),1,0)*Table_NFI[[#This Row],[NFI Core Kit]],Table_NFI[NFI Core Kit])</f>
        <v>#REF!</v>
      </c>
      <c r="AD212" s="542" t="e">
        <f>IF(NFI_Expiration=1,IF(#REF!&lt;VLOOKUP(M$5,NFI,5,0),1,0)*Table_NFI[[#This Row],[Sanitary Kit]],Table_NFI[Sanitary Kit])</f>
        <v>#REF!</v>
      </c>
      <c r="AE212" s="542" t="e">
        <f>IF(NFI_Expiration=1,IF(#REF!&lt;VLOOKUP(N$5,NFI,5,0),1,0)*Table_NFI[[#This Row],[Mosquito net]],Table_NFI[Mosquito net])</f>
        <v>#REF!</v>
      </c>
      <c r="AF212" s="542" t="e">
        <f>IF(NFI_Expiration=1,IF(#REF!&lt;VLOOKUP(O$5,NFI,5,0),1,0)*Table_NFI[[#This Row],[Tarpaulin]],Table_NFI[[#This Row],[Tarpaulin]])</f>
        <v>#REF!</v>
      </c>
      <c r="AG212" s="542" t="e">
        <f>IF(NFI_Expiration=1,IF(#REF!&lt;VLOOKUP(P$5,NFI,5,0),1,0)*Table_NFI[[#This Row],[Blanket]],Table_NFI[[#This Row],[Blanket]])</f>
        <v>#REF!</v>
      </c>
      <c r="AH212" s="542" t="e">
        <f>IF(NFI_Expiration=1,IF(#REF!&lt;VLOOKUP(Q$5,NFI,5,0),1,0)*Table_NFI[[#This Row],[Kitchen Set]],Table_NFI[Kitchen Set])</f>
        <v>#REF!</v>
      </c>
      <c r="AI212" s="542" t="e">
        <f>IF(NFI_Expiration=1,IF(#REF!&lt;VLOOKUP(R$5,NFI,5,0),1,0)*Table_NFI[[#This Row],[Clothes Kit]],Table_NFI[Clothes Kit])</f>
        <v>#REF!</v>
      </c>
      <c r="AJ212" s="542" t="e">
        <f>IF(NFI_Expiration=1,IF(#REF!&lt;VLOOKUP(S$5,NFI,5,0),1,0)*Table_NFI[[#This Row],[Plastic Bucket]],Table_NFI[Plastic Bucket])</f>
        <v>#REF!</v>
      </c>
      <c r="AK212" s="542" t="e">
        <f>IF(NFI_Expiration=1,IF(#REF!&lt;VLOOKUP(T$5,NFI,5,0),1,0)*Table_NFI[[#This Row],[Plastic Mat]],Table_NFI[Plastic Mat])*IF(Table_NFI[[#This Row],[Distribution Date]]&gt;"2014-04-01",1,2.5)</f>
        <v>#REF!</v>
      </c>
      <c r="AL212" s="542" t="e">
        <f>IF(NFI_Expiration=1,IF(#REF!&lt;VLOOKUP(U$5,NFI,5,0),1,0)*Table_NFI[[#This Row],[Winter Clothes Adult]],Table_NFI[Winter Clothes Adult])</f>
        <v>#REF!</v>
      </c>
      <c r="AM212" s="542"/>
      <c r="AN212" s="542"/>
      <c r="AO212" s="542"/>
      <c r="AP212" s="542">
        <f>IF(Table_NFI[[#This Row],[Winter Clothes Adult]]+Table_NFI[[#This Row],[Winter Clothes Children]]+Table_NFI[[#This Row],[Winter Items Other]]+Table_NFI[[#This Row],[Winter Blanket]]&gt;0,1,0)</f>
        <v>0</v>
      </c>
      <c r="AQ212" s="542"/>
      <c r="AR212" s="542"/>
      <c r="AS212" s="542"/>
      <c r="AT212" s="205" t="str">
        <f>IFERROR(VLOOKUP(Table_NFI[[#This Row],[Location]],CL,2,0),"")</f>
        <v>MMR001CMP062</v>
      </c>
      <c r="AU212" s="183" t="s">
        <v>1627</v>
      </c>
    </row>
    <row r="213" spans="2:47" x14ac:dyDescent="0.25">
      <c r="B213" s="540">
        <v>43201</v>
      </c>
      <c r="C213" s="540"/>
      <c r="D213" s="198" t="s">
        <v>1458</v>
      </c>
      <c r="E213" s="198"/>
      <c r="F213" s="198" t="s">
        <v>506</v>
      </c>
      <c r="G213" s="197" t="s">
        <v>297</v>
      </c>
      <c r="H213" s="198" t="s">
        <v>1190</v>
      </c>
      <c r="I213" s="666"/>
      <c r="J213" s="541">
        <v>101</v>
      </c>
      <c r="K213" s="541"/>
      <c r="L213" s="541"/>
      <c r="M213" s="541"/>
      <c r="N213" s="541"/>
      <c r="O213" s="541"/>
      <c r="P213" s="541"/>
      <c r="Q213" s="541"/>
      <c r="R213" s="541"/>
      <c r="S213" s="541">
        <v>101</v>
      </c>
      <c r="T213" s="541"/>
      <c r="U213" s="541"/>
      <c r="V213" s="541"/>
      <c r="W213" s="541"/>
      <c r="X213" s="541"/>
      <c r="Y213" s="541"/>
      <c r="Z213" s="541"/>
      <c r="AA213" s="541"/>
      <c r="AB213" s="541"/>
      <c r="AC213" s="542" t="e">
        <f>IF(NFI_Expiration=1,IF(#REF!&lt;VLOOKUP(L$5,NFI,5,0),1,0)*Table_NFI[[#This Row],[NFI Core Kit]],Table_NFI[NFI Core Kit])</f>
        <v>#REF!</v>
      </c>
      <c r="AD213" s="542" t="e">
        <f>IF(NFI_Expiration=1,IF(#REF!&lt;VLOOKUP(M$5,NFI,5,0),1,0)*Table_NFI[[#This Row],[Sanitary Kit]],Table_NFI[Sanitary Kit])</f>
        <v>#REF!</v>
      </c>
      <c r="AE213" s="542" t="e">
        <f>IF(NFI_Expiration=1,IF(#REF!&lt;VLOOKUP(N$5,NFI,5,0),1,0)*Table_NFI[[#This Row],[Mosquito net]],Table_NFI[Mosquito net])</f>
        <v>#REF!</v>
      </c>
      <c r="AF213" s="542" t="e">
        <f>IF(NFI_Expiration=1,IF(#REF!&lt;VLOOKUP(O$5,NFI,5,0),1,0)*Table_NFI[[#This Row],[Tarpaulin]],Table_NFI[[#This Row],[Tarpaulin]])</f>
        <v>#REF!</v>
      </c>
      <c r="AG213" s="542" t="e">
        <f>IF(NFI_Expiration=1,IF(#REF!&lt;VLOOKUP(P$5,NFI,5,0),1,0)*Table_NFI[[#This Row],[Blanket]],Table_NFI[[#This Row],[Blanket]])</f>
        <v>#REF!</v>
      </c>
      <c r="AH213" s="542" t="e">
        <f>IF(NFI_Expiration=1,IF(#REF!&lt;VLOOKUP(Q$5,NFI,5,0),1,0)*Table_NFI[[#This Row],[Kitchen Set]],Table_NFI[Kitchen Set])</f>
        <v>#REF!</v>
      </c>
      <c r="AI213" s="542" t="e">
        <f>IF(NFI_Expiration=1,IF(#REF!&lt;VLOOKUP(R$5,NFI,5,0),1,0)*Table_NFI[[#This Row],[Clothes Kit]],Table_NFI[Clothes Kit])</f>
        <v>#REF!</v>
      </c>
      <c r="AJ213" s="542" t="e">
        <f>IF(NFI_Expiration=1,IF(#REF!&lt;VLOOKUP(S$5,NFI,5,0),1,0)*Table_NFI[[#This Row],[Plastic Bucket]],Table_NFI[Plastic Bucket])</f>
        <v>#REF!</v>
      </c>
      <c r="AK213" s="542" t="e">
        <f>IF(NFI_Expiration=1,IF(#REF!&lt;VLOOKUP(T$5,NFI,5,0),1,0)*Table_NFI[[#This Row],[Plastic Mat]],Table_NFI[Plastic Mat])*IF(Table_NFI[[#This Row],[Distribution Date]]&gt;"2014-04-01",1,2.5)</f>
        <v>#REF!</v>
      </c>
      <c r="AL213" s="542" t="e">
        <f>IF(NFI_Expiration=1,IF(#REF!&lt;VLOOKUP(U$5,NFI,5,0),1,0)*Table_NFI[[#This Row],[Winter Clothes Adult]],Table_NFI[Winter Clothes Adult])</f>
        <v>#REF!</v>
      </c>
      <c r="AM213" s="542"/>
      <c r="AN213" s="542"/>
      <c r="AO213" s="542"/>
      <c r="AP213" s="542">
        <f>IF(Table_NFI[[#This Row],[Winter Clothes Adult]]+Table_NFI[[#This Row],[Winter Clothes Children]]+Table_NFI[[#This Row],[Winter Items Other]]+Table_NFI[[#This Row],[Winter Blanket]]&gt;0,1,0)</f>
        <v>0</v>
      </c>
      <c r="AQ213" s="542"/>
      <c r="AR213" s="542"/>
      <c r="AS213" s="542"/>
      <c r="AT213" s="205" t="str">
        <f>IFERROR(VLOOKUP(Table_NFI[[#This Row],[Location]],CL,2,0),"")</f>
        <v>MMR015CMP232</v>
      </c>
      <c r="AU213" s="183"/>
    </row>
    <row r="214" spans="2:47" x14ac:dyDescent="0.25">
      <c r="B214" s="540">
        <v>43195</v>
      </c>
      <c r="C214" s="540"/>
      <c r="D214" s="198" t="s">
        <v>1458</v>
      </c>
      <c r="E214" s="198"/>
      <c r="F214" s="198" t="s">
        <v>506</v>
      </c>
      <c r="G214" s="197" t="s">
        <v>297</v>
      </c>
      <c r="H214" s="198" t="s">
        <v>759</v>
      </c>
      <c r="I214" s="665">
        <v>1</v>
      </c>
      <c r="J214" s="541"/>
      <c r="K214" s="541"/>
      <c r="L214" s="541"/>
      <c r="M214" s="541"/>
      <c r="N214" s="541"/>
      <c r="O214" s="541"/>
      <c r="P214" s="541"/>
      <c r="Q214" s="541"/>
      <c r="R214" s="541"/>
      <c r="S214" s="541"/>
      <c r="T214" s="541"/>
      <c r="U214" s="541"/>
      <c r="V214" s="541"/>
      <c r="W214" s="541"/>
      <c r="X214" s="541"/>
      <c r="Y214" s="541"/>
      <c r="Z214" s="541"/>
      <c r="AA214" s="541"/>
      <c r="AB214" s="541"/>
      <c r="AC214" s="542" t="e">
        <f>IF(NFI_Expiration=1,IF(#REF!&lt;VLOOKUP(L$5,NFI,5,0),1,0)*Table_NFI[[#This Row],[NFI Core Kit]],Table_NFI[NFI Core Kit])</f>
        <v>#REF!</v>
      </c>
      <c r="AD214" s="542" t="e">
        <f>IF(NFI_Expiration=1,IF(#REF!&lt;VLOOKUP(M$5,NFI,5,0),1,0)*Table_NFI[[#This Row],[Sanitary Kit]],Table_NFI[Sanitary Kit])</f>
        <v>#REF!</v>
      </c>
      <c r="AE214" s="542" t="e">
        <f>IF(NFI_Expiration=1,IF(#REF!&lt;VLOOKUP(N$5,NFI,5,0),1,0)*Table_NFI[[#This Row],[Mosquito net]],Table_NFI[Mosquito net])</f>
        <v>#REF!</v>
      </c>
      <c r="AF214" s="542" t="e">
        <f>IF(NFI_Expiration=1,IF(#REF!&lt;VLOOKUP(O$5,NFI,5,0),1,0)*Table_NFI[[#This Row],[Tarpaulin]],Table_NFI[[#This Row],[Tarpaulin]])</f>
        <v>#REF!</v>
      </c>
      <c r="AG214" s="542" t="e">
        <f>IF(NFI_Expiration=1,IF(#REF!&lt;VLOOKUP(P$5,NFI,5,0),1,0)*Table_NFI[[#This Row],[Blanket]],Table_NFI[[#This Row],[Blanket]])</f>
        <v>#REF!</v>
      </c>
      <c r="AH214" s="542" t="e">
        <f>IF(NFI_Expiration=1,IF(#REF!&lt;VLOOKUP(Q$5,NFI,5,0),1,0)*Table_NFI[[#This Row],[Kitchen Set]],Table_NFI[Kitchen Set])</f>
        <v>#REF!</v>
      </c>
      <c r="AI214" s="542" t="e">
        <f>IF(NFI_Expiration=1,IF(#REF!&lt;VLOOKUP(R$5,NFI,5,0),1,0)*Table_NFI[[#This Row],[Clothes Kit]],Table_NFI[Clothes Kit])</f>
        <v>#REF!</v>
      </c>
      <c r="AJ214" s="542" t="e">
        <f>IF(NFI_Expiration=1,IF(#REF!&lt;VLOOKUP(S$5,NFI,5,0),1,0)*Table_NFI[[#This Row],[Plastic Bucket]],Table_NFI[Plastic Bucket])</f>
        <v>#REF!</v>
      </c>
      <c r="AK214" s="542" t="e">
        <f>IF(NFI_Expiration=1,IF(#REF!&lt;VLOOKUP(T$5,NFI,5,0),1,0)*Table_NFI[[#This Row],[Plastic Mat]],Table_NFI[Plastic Mat])*IF(Table_NFI[[#This Row],[Distribution Date]]&gt;"2014-04-01",1,2.5)</f>
        <v>#REF!</v>
      </c>
      <c r="AL214" s="542" t="e">
        <f>IF(NFI_Expiration=1,IF(#REF!&lt;VLOOKUP(U$5,NFI,5,0),1,0)*Table_NFI[[#This Row],[Winter Clothes Adult]],Table_NFI[Winter Clothes Adult])</f>
        <v>#REF!</v>
      </c>
      <c r="AM214" s="542"/>
      <c r="AN214" s="542"/>
      <c r="AO214" s="542"/>
      <c r="AP214" s="542">
        <f>IF(Table_NFI[[#This Row],[Winter Clothes Adult]]+Table_NFI[[#This Row],[Winter Clothes Children]]+Table_NFI[[#This Row],[Winter Items Other]]+Table_NFI[[#This Row],[Winter Blanket]]&gt;0,1,0)</f>
        <v>0</v>
      </c>
      <c r="AQ214" s="542"/>
      <c r="AR214" s="542"/>
      <c r="AS214" s="542"/>
      <c r="AT214" s="205" t="str">
        <f>IFERROR(VLOOKUP(Table_NFI[[#This Row],[Location]],CL,2,0),"")</f>
        <v>MMR015CMP014</v>
      </c>
      <c r="AU214" s="183"/>
    </row>
    <row r="215" spans="2:47" x14ac:dyDescent="0.25">
      <c r="B215" s="540">
        <v>43195</v>
      </c>
      <c r="C215" s="540" t="str">
        <f>MONTH(Table_NFI[[#This Row],[Distribution Date]]) &amp; "/" &amp; YEAR(Table_NFI[[#This Row],[Distribution Date]])</f>
        <v>4/2018</v>
      </c>
      <c r="D215" s="198" t="s">
        <v>1458</v>
      </c>
      <c r="E215" s="198"/>
      <c r="F215" s="198" t="s">
        <v>506</v>
      </c>
      <c r="G215" s="197" t="s">
        <v>297</v>
      </c>
      <c r="H215" s="198" t="s">
        <v>1275</v>
      </c>
      <c r="I215" s="665">
        <v>1</v>
      </c>
      <c r="J215" s="541"/>
      <c r="K215" s="541"/>
      <c r="L215" s="541"/>
      <c r="M215" s="541"/>
      <c r="N215" s="541"/>
      <c r="O215" s="541"/>
      <c r="P215" s="541"/>
      <c r="Q215" s="541"/>
      <c r="R215" s="541"/>
      <c r="S215" s="541"/>
      <c r="T215" s="541"/>
      <c r="U215" s="541"/>
      <c r="V215" s="541"/>
      <c r="W215" s="541"/>
      <c r="X215" s="541"/>
      <c r="Y215" s="541"/>
      <c r="Z215" s="541"/>
      <c r="AA215" s="541"/>
      <c r="AB215" s="541"/>
      <c r="AC215" s="542" t="e">
        <f>IF(NFI_Expiration=1,IF(#REF!&lt;VLOOKUP(L$5,NFI,5,0),1,0)*Table_NFI[[#This Row],[NFI Core Kit]],Table_NFI[NFI Core Kit])</f>
        <v>#REF!</v>
      </c>
      <c r="AD215" s="542" t="e">
        <f>IF(NFI_Expiration=1,IF(#REF!&lt;VLOOKUP(M$5,NFI,5,0),1,0)*Table_NFI[[#This Row],[Sanitary Kit]],Table_NFI[Sanitary Kit])</f>
        <v>#REF!</v>
      </c>
      <c r="AE215" s="542" t="e">
        <f>IF(NFI_Expiration=1,IF(#REF!&lt;VLOOKUP(N$5,NFI,5,0),1,0)*Table_NFI[[#This Row],[Mosquito net]],Table_NFI[Mosquito net])</f>
        <v>#REF!</v>
      </c>
      <c r="AF215" s="542" t="e">
        <f>IF(NFI_Expiration=1,IF(#REF!&lt;VLOOKUP(O$5,NFI,5,0),1,0)*Table_NFI[[#This Row],[Tarpaulin]],Table_NFI[[#This Row],[Tarpaulin]])</f>
        <v>#REF!</v>
      </c>
      <c r="AG215" s="542" t="e">
        <f>IF(NFI_Expiration=1,IF(#REF!&lt;VLOOKUP(P$5,NFI,5,0),1,0)*Table_NFI[[#This Row],[Blanket]],Table_NFI[[#This Row],[Blanket]])</f>
        <v>#REF!</v>
      </c>
      <c r="AH215" s="542" t="e">
        <f>IF(NFI_Expiration=1,IF(#REF!&lt;VLOOKUP(Q$5,NFI,5,0),1,0)*Table_NFI[[#This Row],[Kitchen Set]],Table_NFI[Kitchen Set])</f>
        <v>#REF!</v>
      </c>
      <c r="AI215" s="542" t="e">
        <f>IF(NFI_Expiration=1,IF(#REF!&lt;VLOOKUP(R$5,NFI,5,0),1,0)*Table_NFI[[#This Row],[Clothes Kit]],Table_NFI[Clothes Kit])</f>
        <v>#REF!</v>
      </c>
      <c r="AJ215" s="542" t="e">
        <f>IF(NFI_Expiration=1,IF(#REF!&lt;VLOOKUP(S$5,NFI,5,0),1,0)*Table_NFI[[#This Row],[Plastic Bucket]],Table_NFI[Plastic Bucket])</f>
        <v>#REF!</v>
      </c>
      <c r="AK215" s="542" t="e">
        <f>IF(NFI_Expiration=1,IF(#REF!&lt;VLOOKUP(T$5,NFI,5,0),1,0)*Table_NFI[[#This Row],[Plastic Mat]],Table_NFI[Plastic Mat])*IF(Table_NFI[[#This Row],[Distribution Date]]&gt;"2014-04-01",1,2.5)</f>
        <v>#REF!</v>
      </c>
      <c r="AL215" s="542" t="e">
        <f>IF(NFI_Expiration=1,IF(#REF!&lt;VLOOKUP(U$5,NFI,5,0),1,0)*Table_NFI[[#This Row],[Winter Clothes Adult]],Table_NFI[Winter Clothes Adult])</f>
        <v>#REF!</v>
      </c>
      <c r="AM215" s="542"/>
      <c r="AN215" s="542"/>
      <c r="AO215" s="542"/>
      <c r="AP215" s="542">
        <f>IF(Table_NFI[[#This Row],[Winter Clothes Adult]]+Table_NFI[[#This Row],[Winter Clothes Children]]+Table_NFI[[#This Row],[Winter Items Other]]+Table_NFI[[#This Row],[Winter Blanket]]&gt;0,1,0)</f>
        <v>0</v>
      </c>
      <c r="AQ215" s="542"/>
      <c r="AR215" s="542"/>
      <c r="AS215" s="542"/>
      <c r="AT215" s="205" t="str">
        <f>IFERROR(VLOOKUP(Table_NFI[[#This Row],[Location]],CL,2,0),"")</f>
        <v>MMR015CMP248</v>
      </c>
      <c r="AU215" s="183"/>
    </row>
    <row r="216" spans="2:47" x14ac:dyDescent="0.25">
      <c r="B216" s="540">
        <v>43195</v>
      </c>
      <c r="C216" s="540" t="str">
        <f>MONTH(Table_NFI[[#This Row],[Distribution Date]]) &amp; "/" &amp; YEAR(Table_NFI[[#This Row],[Distribution Date]])</f>
        <v>4/2018</v>
      </c>
      <c r="D216" s="198" t="s">
        <v>1458</v>
      </c>
      <c r="E216" s="198"/>
      <c r="F216" s="198" t="s">
        <v>506</v>
      </c>
      <c r="G216" s="197" t="s">
        <v>297</v>
      </c>
      <c r="H216" s="198" t="s">
        <v>1275</v>
      </c>
      <c r="I216" s="665">
        <v>1</v>
      </c>
      <c r="J216" s="541"/>
      <c r="K216" s="541"/>
      <c r="L216" s="541"/>
      <c r="M216" s="541"/>
      <c r="N216" s="541"/>
      <c r="O216" s="541"/>
      <c r="P216" s="541"/>
      <c r="Q216" s="541"/>
      <c r="R216" s="541"/>
      <c r="S216" s="541"/>
      <c r="T216" s="541"/>
      <c r="U216" s="541"/>
      <c r="V216" s="541"/>
      <c r="W216" s="541"/>
      <c r="X216" s="541"/>
      <c r="Y216" s="541"/>
      <c r="Z216" s="541"/>
      <c r="AA216" s="541"/>
      <c r="AB216" s="541"/>
      <c r="AC216" s="542" t="e">
        <f>IF(NFI_Expiration=1,IF(#REF!&lt;VLOOKUP(L$5,NFI,5,0),1,0)*Table_NFI[[#This Row],[NFI Core Kit]],Table_NFI[NFI Core Kit])</f>
        <v>#REF!</v>
      </c>
      <c r="AD216" s="542" t="e">
        <f>IF(NFI_Expiration=1,IF(#REF!&lt;VLOOKUP(M$5,NFI,5,0),1,0)*Table_NFI[[#This Row],[Sanitary Kit]],Table_NFI[Sanitary Kit])</f>
        <v>#REF!</v>
      </c>
      <c r="AE216" s="542" t="e">
        <f>IF(NFI_Expiration=1,IF(#REF!&lt;VLOOKUP(N$5,NFI,5,0),1,0)*Table_NFI[[#This Row],[Mosquito net]],Table_NFI[Mosquito net])</f>
        <v>#REF!</v>
      </c>
      <c r="AF216" s="542" t="e">
        <f>IF(NFI_Expiration=1,IF(#REF!&lt;VLOOKUP(O$5,NFI,5,0),1,0)*Table_NFI[[#This Row],[Tarpaulin]],Table_NFI[[#This Row],[Tarpaulin]])</f>
        <v>#REF!</v>
      </c>
      <c r="AG216" s="542" t="e">
        <f>IF(NFI_Expiration=1,IF(#REF!&lt;VLOOKUP(P$5,NFI,5,0),1,0)*Table_NFI[[#This Row],[Blanket]],Table_NFI[[#This Row],[Blanket]])</f>
        <v>#REF!</v>
      </c>
      <c r="AH216" s="542" t="e">
        <f>IF(NFI_Expiration=1,IF(#REF!&lt;VLOOKUP(Q$5,NFI,5,0),1,0)*Table_NFI[[#This Row],[Kitchen Set]],Table_NFI[Kitchen Set])</f>
        <v>#REF!</v>
      </c>
      <c r="AI216" s="542" t="e">
        <f>IF(NFI_Expiration=1,IF(#REF!&lt;VLOOKUP(R$5,NFI,5,0),1,0)*Table_NFI[[#This Row],[Clothes Kit]],Table_NFI[Clothes Kit])</f>
        <v>#REF!</v>
      </c>
      <c r="AJ216" s="542" t="e">
        <f>IF(NFI_Expiration=1,IF(#REF!&lt;VLOOKUP(S$5,NFI,5,0),1,0)*Table_NFI[[#This Row],[Plastic Bucket]],Table_NFI[Plastic Bucket])</f>
        <v>#REF!</v>
      </c>
      <c r="AK216" s="542" t="e">
        <f>IF(NFI_Expiration=1,IF(#REF!&lt;VLOOKUP(T$5,NFI,5,0),1,0)*Table_NFI[[#This Row],[Plastic Mat]],Table_NFI[Plastic Mat])*IF(Table_NFI[[#This Row],[Distribution Date]]&gt;"2014-04-01",1,2.5)</f>
        <v>#REF!</v>
      </c>
      <c r="AL216" s="542" t="e">
        <f>IF(NFI_Expiration=1,IF(#REF!&lt;VLOOKUP(U$5,NFI,5,0),1,0)*Table_NFI[[#This Row],[Winter Clothes Adult]],Table_NFI[Winter Clothes Adult])</f>
        <v>#REF!</v>
      </c>
      <c r="AM216" s="542"/>
      <c r="AN216" s="542"/>
      <c r="AO216" s="542"/>
      <c r="AP216" s="542">
        <f>IF(Table_NFI[[#This Row],[Winter Clothes Adult]]+Table_NFI[[#This Row],[Winter Clothes Children]]+Table_NFI[[#This Row],[Winter Items Other]]+Table_NFI[[#This Row],[Winter Blanket]]&gt;0,1,0)</f>
        <v>0</v>
      </c>
      <c r="AQ216" s="542"/>
      <c r="AR216" s="542"/>
      <c r="AS216" s="542"/>
      <c r="AT216" s="205" t="str">
        <f>IFERROR(VLOOKUP(Table_NFI[[#This Row],[Location]],CL,2,0),"")</f>
        <v>MMR015CMP248</v>
      </c>
      <c r="AU216" s="183"/>
    </row>
    <row r="217" spans="2:47" x14ac:dyDescent="0.25">
      <c r="B217" s="540">
        <v>43216</v>
      </c>
      <c r="C217" s="540" t="str">
        <f>MONTH(Table_NFI[[#This Row],[Distribution Date]]) &amp; "/" &amp; YEAR(Table_NFI[[#This Row],[Distribution Date]])</f>
        <v>4/2018</v>
      </c>
      <c r="D217" s="198" t="s">
        <v>1458</v>
      </c>
      <c r="E217" s="198"/>
      <c r="F217" s="198" t="s">
        <v>378</v>
      </c>
      <c r="G217" s="197" t="s">
        <v>151</v>
      </c>
      <c r="H217" s="198" t="s">
        <v>154</v>
      </c>
      <c r="I217" s="665">
        <v>1</v>
      </c>
      <c r="J217" s="541"/>
      <c r="K217" s="541"/>
      <c r="L217" s="541"/>
      <c r="M217" s="541"/>
      <c r="N217" s="541"/>
      <c r="O217" s="541"/>
      <c r="P217" s="541"/>
      <c r="Q217" s="541"/>
      <c r="R217" s="541"/>
      <c r="S217" s="541"/>
      <c r="T217" s="541"/>
      <c r="U217" s="541"/>
      <c r="V217" s="541"/>
      <c r="W217" s="541"/>
      <c r="X217" s="541"/>
      <c r="Y217" s="541"/>
      <c r="Z217" s="541"/>
      <c r="AA217" s="541"/>
      <c r="AB217" s="541"/>
      <c r="AC217" s="542" t="e">
        <f>IF(NFI_Expiration=1,IF(#REF!&lt;VLOOKUP(L$5,NFI,5,0),1,0)*Table_NFI[[#This Row],[NFI Core Kit]],Table_NFI[NFI Core Kit])</f>
        <v>#REF!</v>
      </c>
      <c r="AD217" s="542" t="e">
        <f>IF(NFI_Expiration=1,IF(#REF!&lt;VLOOKUP(M$5,NFI,5,0),1,0)*Table_NFI[[#This Row],[Sanitary Kit]],Table_NFI[Sanitary Kit])</f>
        <v>#REF!</v>
      </c>
      <c r="AE217" s="542" t="e">
        <f>IF(NFI_Expiration=1,IF(#REF!&lt;VLOOKUP(N$5,NFI,5,0),1,0)*Table_NFI[[#This Row],[Mosquito net]],Table_NFI[Mosquito net])</f>
        <v>#REF!</v>
      </c>
      <c r="AF217" s="542" t="e">
        <f>IF(NFI_Expiration=1,IF(#REF!&lt;VLOOKUP(O$5,NFI,5,0),1,0)*Table_NFI[[#This Row],[Tarpaulin]],Table_NFI[[#This Row],[Tarpaulin]])</f>
        <v>#REF!</v>
      </c>
      <c r="AG217" s="542" t="e">
        <f>IF(NFI_Expiration=1,IF(#REF!&lt;VLOOKUP(P$5,NFI,5,0),1,0)*Table_NFI[[#This Row],[Blanket]],Table_NFI[[#This Row],[Blanket]])</f>
        <v>#REF!</v>
      </c>
      <c r="AH217" s="542" t="e">
        <f>IF(NFI_Expiration=1,IF(#REF!&lt;VLOOKUP(Q$5,NFI,5,0),1,0)*Table_NFI[[#This Row],[Kitchen Set]],Table_NFI[Kitchen Set])</f>
        <v>#REF!</v>
      </c>
      <c r="AI217" s="542" t="e">
        <f>IF(NFI_Expiration=1,IF(#REF!&lt;VLOOKUP(R$5,NFI,5,0),1,0)*Table_NFI[[#This Row],[Clothes Kit]],Table_NFI[Clothes Kit])</f>
        <v>#REF!</v>
      </c>
      <c r="AJ217" s="542" t="e">
        <f>IF(NFI_Expiration=1,IF(#REF!&lt;VLOOKUP(S$5,NFI,5,0),1,0)*Table_NFI[[#This Row],[Plastic Bucket]],Table_NFI[Plastic Bucket])</f>
        <v>#REF!</v>
      </c>
      <c r="AK217" s="542" t="e">
        <f>IF(NFI_Expiration=1,IF(#REF!&lt;VLOOKUP(T$5,NFI,5,0),1,0)*Table_NFI[[#This Row],[Plastic Mat]],Table_NFI[Plastic Mat])*IF(Table_NFI[[#This Row],[Distribution Date]]&gt;"2014-04-01",1,2.5)</f>
        <v>#REF!</v>
      </c>
      <c r="AL217" s="542" t="e">
        <f>IF(NFI_Expiration=1,IF(#REF!&lt;VLOOKUP(U$5,NFI,5,0),1,0)*Table_NFI[[#This Row],[Winter Clothes Adult]],Table_NFI[Winter Clothes Adult])</f>
        <v>#REF!</v>
      </c>
      <c r="AM217" s="542"/>
      <c r="AN217" s="542"/>
      <c r="AO217" s="542"/>
      <c r="AP217" s="542">
        <f>IF(Table_NFI[[#This Row],[Winter Clothes Adult]]+Table_NFI[[#This Row],[Winter Clothes Children]]+Table_NFI[[#This Row],[Winter Items Other]]+Table_NFI[[#This Row],[Winter Blanket]]&gt;0,1,0)</f>
        <v>0</v>
      </c>
      <c r="AQ217" s="542"/>
      <c r="AR217" s="542"/>
      <c r="AS217" s="542"/>
      <c r="AT217" s="205" t="str">
        <f>IFERROR(VLOOKUP(Table_NFI[[#This Row],[Location]],CL,2,0),"")</f>
        <v>MMR001CMP132</v>
      </c>
      <c r="AU217" s="183"/>
    </row>
    <row r="218" spans="2:47" x14ac:dyDescent="0.25">
      <c r="B218" s="540">
        <v>43216</v>
      </c>
      <c r="C218" s="540" t="str">
        <f>MONTH(Table_NFI[[#This Row],[Distribution Date]]) &amp; "/" &amp; YEAR(Table_NFI[[#This Row],[Distribution Date]])</f>
        <v>4/2018</v>
      </c>
      <c r="D218" s="198" t="s">
        <v>1458</v>
      </c>
      <c r="E218" s="198"/>
      <c r="F218" s="198" t="s">
        <v>378</v>
      </c>
      <c r="G218" s="197" t="s">
        <v>151</v>
      </c>
      <c r="H218" s="198" t="s">
        <v>154</v>
      </c>
      <c r="I218" s="665">
        <v>1</v>
      </c>
      <c r="J218" s="541"/>
      <c r="K218" s="541"/>
      <c r="L218" s="665">
        <v>1</v>
      </c>
      <c r="M218" s="541"/>
      <c r="N218" s="541"/>
      <c r="O218" s="541"/>
      <c r="P218" s="541"/>
      <c r="Q218" s="541"/>
      <c r="R218" s="541"/>
      <c r="S218" s="541"/>
      <c r="T218" s="541"/>
      <c r="U218" s="541"/>
      <c r="V218" s="541"/>
      <c r="W218" s="541"/>
      <c r="X218" s="541"/>
      <c r="Y218" s="541"/>
      <c r="Z218" s="541"/>
      <c r="AA218" s="541"/>
      <c r="AB218" s="541"/>
      <c r="AC218" s="542" t="e">
        <f>IF(NFI_Expiration=1,IF(#REF!&lt;VLOOKUP(L$5,NFI,5,0),1,0)*Table_NFI[[#This Row],[NFI Core Kit]],Table_NFI[NFI Core Kit])</f>
        <v>#REF!</v>
      </c>
      <c r="AD218" s="542" t="e">
        <f>IF(NFI_Expiration=1,IF(#REF!&lt;VLOOKUP(M$5,NFI,5,0),1,0)*Table_NFI[[#This Row],[Sanitary Kit]],Table_NFI[Sanitary Kit])</f>
        <v>#REF!</v>
      </c>
      <c r="AE218" s="542" t="e">
        <f>IF(NFI_Expiration=1,IF(#REF!&lt;VLOOKUP(N$5,NFI,5,0),1,0)*Table_NFI[[#This Row],[Mosquito net]],Table_NFI[Mosquito net])</f>
        <v>#REF!</v>
      </c>
      <c r="AF218" s="542" t="e">
        <f>IF(NFI_Expiration=1,IF(#REF!&lt;VLOOKUP(O$5,NFI,5,0),1,0)*Table_NFI[[#This Row],[Tarpaulin]],Table_NFI[[#This Row],[Tarpaulin]])</f>
        <v>#REF!</v>
      </c>
      <c r="AG218" s="542" t="e">
        <f>IF(NFI_Expiration=1,IF(#REF!&lt;VLOOKUP(P$5,NFI,5,0),1,0)*Table_NFI[[#This Row],[Blanket]],Table_NFI[[#This Row],[Blanket]])</f>
        <v>#REF!</v>
      </c>
      <c r="AH218" s="542" t="e">
        <f>IF(NFI_Expiration=1,IF(#REF!&lt;VLOOKUP(Q$5,NFI,5,0),1,0)*Table_NFI[[#This Row],[Kitchen Set]],Table_NFI[Kitchen Set])</f>
        <v>#REF!</v>
      </c>
      <c r="AI218" s="542" t="e">
        <f>IF(NFI_Expiration=1,IF(#REF!&lt;VLOOKUP(R$5,NFI,5,0),1,0)*Table_NFI[[#This Row],[Clothes Kit]],Table_NFI[Clothes Kit])</f>
        <v>#REF!</v>
      </c>
      <c r="AJ218" s="542" t="e">
        <f>IF(NFI_Expiration=1,IF(#REF!&lt;VLOOKUP(S$5,NFI,5,0),1,0)*Table_NFI[[#This Row],[Plastic Bucket]],Table_NFI[Plastic Bucket])</f>
        <v>#REF!</v>
      </c>
      <c r="AK218" s="542" t="e">
        <f>IF(NFI_Expiration=1,IF(#REF!&lt;VLOOKUP(T$5,NFI,5,0),1,0)*Table_NFI[[#This Row],[Plastic Mat]],Table_NFI[Plastic Mat])*IF(Table_NFI[[#This Row],[Distribution Date]]&gt;"2014-04-01",1,2.5)</f>
        <v>#REF!</v>
      </c>
      <c r="AL218" s="542" t="e">
        <f>IF(NFI_Expiration=1,IF(#REF!&lt;VLOOKUP(U$5,NFI,5,0),1,0)*Table_NFI[[#This Row],[Winter Clothes Adult]],Table_NFI[Winter Clothes Adult])</f>
        <v>#REF!</v>
      </c>
      <c r="AM218" s="542"/>
      <c r="AN218" s="542"/>
      <c r="AO218" s="542"/>
      <c r="AP218" s="542">
        <f>IF(Table_NFI[[#This Row],[Winter Clothes Adult]]+Table_NFI[[#This Row],[Winter Clothes Children]]+Table_NFI[[#This Row],[Winter Items Other]]+Table_NFI[[#This Row],[Winter Blanket]]&gt;0,1,0)</f>
        <v>0</v>
      </c>
      <c r="AQ218" s="542"/>
      <c r="AR218" s="542"/>
      <c r="AS218" s="542"/>
      <c r="AT218" s="205" t="str">
        <f>IFERROR(VLOOKUP(Table_NFI[[#This Row],[Location]],CL,2,0),"")</f>
        <v>MMR001CMP132</v>
      </c>
      <c r="AU218" s="183"/>
    </row>
    <row r="219" spans="2:47" x14ac:dyDescent="0.25">
      <c r="B219" s="540">
        <v>43201</v>
      </c>
      <c r="C219" s="540" t="str">
        <f>MONTH(Table_NFI[[#This Row],[Distribution Date]]) &amp; "/" &amp; YEAR(Table_NFI[[#This Row],[Distribution Date]])</f>
        <v>4/2018</v>
      </c>
      <c r="D219" s="198" t="s">
        <v>1458</v>
      </c>
      <c r="E219" s="198"/>
      <c r="F219" s="198" t="s">
        <v>506</v>
      </c>
      <c r="G219" s="197" t="s">
        <v>297</v>
      </c>
      <c r="H219" s="198" t="s">
        <v>759</v>
      </c>
      <c r="I219" s="665"/>
      <c r="J219" s="541"/>
      <c r="K219" s="541"/>
      <c r="L219" s="665">
        <v>1</v>
      </c>
      <c r="M219" s="541"/>
      <c r="N219" s="541"/>
      <c r="O219" s="541"/>
      <c r="P219" s="541"/>
      <c r="Q219" s="541"/>
      <c r="R219" s="541"/>
      <c r="S219" s="541"/>
      <c r="T219" s="541"/>
      <c r="U219" s="541"/>
      <c r="V219" s="541"/>
      <c r="W219" s="541"/>
      <c r="X219" s="541"/>
      <c r="Y219" s="541"/>
      <c r="Z219" s="541"/>
      <c r="AA219" s="541"/>
      <c r="AB219" s="541"/>
      <c r="AC219" s="542" t="e">
        <f>IF(NFI_Expiration=1,IF(#REF!&lt;VLOOKUP(L$5,NFI,5,0),1,0)*Table_NFI[[#This Row],[NFI Core Kit]],Table_NFI[NFI Core Kit])</f>
        <v>#REF!</v>
      </c>
      <c r="AD219" s="542" t="e">
        <f>IF(NFI_Expiration=1,IF(#REF!&lt;VLOOKUP(M$5,NFI,5,0),1,0)*Table_NFI[[#This Row],[Sanitary Kit]],Table_NFI[Sanitary Kit])</f>
        <v>#REF!</v>
      </c>
      <c r="AE219" s="542" t="e">
        <f>IF(NFI_Expiration=1,IF(#REF!&lt;VLOOKUP(N$5,NFI,5,0),1,0)*Table_NFI[[#This Row],[Mosquito net]],Table_NFI[Mosquito net])</f>
        <v>#REF!</v>
      </c>
      <c r="AF219" s="542" t="e">
        <f>IF(NFI_Expiration=1,IF(#REF!&lt;VLOOKUP(O$5,NFI,5,0),1,0)*Table_NFI[[#This Row],[Tarpaulin]],Table_NFI[[#This Row],[Tarpaulin]])</f>
        <v>#REF!</v>
      </c>
      <c r="AG219" s="542" t="e">
        <f>IF(NFI_Expiration=1,IF(#REF!&lt;VLOOKUP(P$5,NFI,5,0),1,0)*Table_NFI[[#This Row],[Blanket]],Table_NFI[[#This Row],[Blanket]])</f>
        <v>#REF!</v>
      </c>
      <c r="AH219" s="542" t="e">
        <f>IF(NFI_Expiration=1,IF(#REF!&lt;VLOOKUP(Q$5,NFI,5,0),1,0)*Table_NFI[[#This Row],[Kitchen Set]],Table_NFI[Kitchen Set])</f>
        <v>#REF!</v>
      </c>
      <c r="AI219" s="542" t="e">
        <f>IF(NFI_Expiration=1,IF(#REF!&lt;VLOOKUP(R$5,NFI,5,0),1,0)*Table_NFI[[#This Row],[Clothes Kit]],Table_NFI[Clothes Kit])</f>
        <v>#REF!</v>
      </c>
      <c r="AJ219" s="542" t="e">
        <f>IF(NFI_Expiration=1,IF(#REF!&lt;VLOOKUP(S$5,NFI,5,0),1,0)*Table_NFI[[#This Row],[Plastic Bucket]],Table_NFI[Plastic Bucket])</f>
        <v>#REF!</v>
      </c>
      <c r="AK219" s="542" t="e">
        <f>IF(NFI_Expiration=1,IF(#REF!&lt;VLOOKUP(T$5,NFI,5,0),1,0)*Table_NFI[[#This Row],[Plastic Mat]],Table_NFI[Plastic Mat])*IF(Table_NFI[[#This Row],[Distribution Date]]&gt;"2014-04-01",1,2.5)</f>
        <v>#REF!</v>
      </c>
      <c r="AL219" s="542" t="e">
        <f>IF(NFI_Expiration=1,IF(#REF!&lt;VLOOKUP(U$5,NFI,5,0),1,0)*Table_NFI[[#This Row],[Winter Clothes Adult]],Table_NFI[Winter Clothes Adult])</f>
        <v>#REF!</v>
      </c>
      <c r="AM219" s="542"/>
      <c r="AN219" s="542"/>
      <c r="AO219" s="542"/>
      <c r="AP219" s="542">
        <f>IF(Table_NFI[[#This Row],[Winter Clothes Adult]]+Table_NFI[[#This Row],[Winter Clothes Children]]+Table_NFI[[#This Row],[Winter Items Other]]+Table_NFI[[#This Row],[Winter Blanket]]&gt;0,1,0)</f>
        <v>0</v>
      </c>
      <c r="AQ219" s="542"/>
      <c r="AR219" s="542"/>
      <c r="AS219" s="542"/>
      <c r="AT219" s="205" t="str">
        <f>IFERROR(VLOOKUP(Table_NFI[[#This Row],[Location]],CL,2,0),"")</f>
        <v>MMR015CMP014</v>
      </c>
      <c r="AU219" s="183"/>
    </row>
    <row r="220" spans="2:47" x14ac:dyDescent="0.25">
      <c r="B220" s="540">
        <v>43201</v>
      </c>
      <c r="C220" s="540" t="str">
        <f>MONTH(Table_NFI[[#This Row],[Distribution Date]]) &amp; "/" &amp; YEAR(Table_NFI[[#This Row],[Distribution Date]])</f>
        <v>4/2018</v>
      </c>
      <c r="D220" s="198" t="s">
        <v>1458</v>
      </c>
      <c r="E220" s="198"/>
      <c r="F220" s="198" t="s">
        <v>506</v>
      </c>
      <c r="G220" s="197" t="s">
        <v>297</v>
      </c>
      <c r="H220" s="198" t="s">
        <v>1190</v>
      </c>
      <c r="I220" s="665"/>
      <c r="J220" s="541"/>
      <c r="K220" s="541"/>
      <c r="L220" s="665">
        <v>1</v>
      </c>
      <c r="M220" s="541"/>
      <c r="N220" s="541"/>
      <c r="O220" s="541"/>
      <c r="P220" s="541"/>
      <c r="Q220" s="541"/>
      <c r="R220" s="541"/>
      <c r="S220" s="541"/>
      <c r="T220" s="541"/>
      <c r="U220" s="541"/>
      <c r="V220" s="541"/>
      <c r="W220" s="541"/>
      <c r="X220" s="541"/>
      <c r="Y220" s="541"/>
      <c r="Z220" s="541"/>
      <c r="AA220" s="541"/>
      <c r="AB220" s="541"/>
      <c r="AC220" s="542" t="e">
        <f>IF(NFI_Expiration=1,IF(#REF!&lt;VLOOKUP(L$5,NFI,5,0),1,0)*Table_NFI[[#This Row],[NFI Core Kit]],Table_NFI[NFI Core Kit])</f>
        <v>#REF!</v>
      </c>
      <c r="AD220" s="542" t="e">
        <f>IF(NFI_Expiration=1,IF(#REF!&lt;VLOOKUP(M$5,NFI,5,0),1,0)*Table_NFI[[#This Row],[Sanitary Kit]],Table_NFI[Sanitary Kit])</f>
        <v>#REF!</v>
      </c>
      <c r="AE220" s="542" t="e">
        <f>IF(NFI_Expiration=1,IF(#REF!&lt;VLOOKUP(N$5,NFI,5,0),1,0)*Table_NFI[[#This Row],[Mosquito net]],Table_NFI[Mosquito net])</f>
        <v>#REF!</v>
      </c>
      <c r="AF220" s="542" t="e">
        <f>IF(NFI_Expiration=1,IF(#REF!&lt;VLOOKUP(O$5,NFI,5,0),1,0)*Table_NFI[[#This Row],[Tarpaulin]],Table_NFI[[#This Row],[Tarpaulin]])</f>
        <v>#REF!</v>
      </c>
      <c r="AG220" s="542" t="e">
        <f>IF(NFI_Expiration=1,IF(#REF!&lt;VLOOKUP(P$5,NFI,5,0),1,0)*Table_NFI[[#This Row],[Blanket]],Table_NFI[[#This Row],[Blanket]])</f>
        <v>#REF!</v>
      </c>
      <c r="AH220" s="542" t="e">
        <f>IF(NFI_Expiration=1,IF(#REF!&lt;VLOOKUP(Q$5,NFI,5,0),1,0)*Table_NFI[[#This Row],[Kitchen Set]],Table_NFI[Kitchen Set])</f>
        <v>#REF!</v>
      </c>
      <c r="AI220" s="542" t="e">
        <f>IF(NFI_Expiration=1,IF(#REF!&lt;VLOOKUP(R$5,NFI,5,0),1,0)*Table_NFI[[#This Row],[Clothes Kit]],Table_NFI[Clothes Kit])</f>
        <v>#REF!</v>
      </c>
      <c r="AJ220" s="542" t="e">
        <f>IF(NFI_Expiration=1,IF(#REF!&lt;VLOOKUP(S$5,NFI,5,0),1,0)*Table_NFI[[#This Row],[Plastic Bucket]],Table_NFI[Plastic Bucket])</f>
        <v>#REF!</v>
      </c>
      <c r="AK220" s="542" t="e">
        <f>IF(NFI_Expiration=1,IF(#REF!&lt;VLOOKUP(T$5,NFI,5,0),1,0)*Table_NFI[[#This Row],[Plastic Mat]],Table_NFI[Plastic Mat])*IF(Table_NFI[[#This Row],[Distribution Date]]&gt;"2014-04-01",1,2.5)</f>
        <v>#REF!</v>
      </c>
      <c r="AL220" s="542" t="e">
        <f>IF(NFI_Expiration=1,IF(#REF!&lt;VLOOKUP(U$5,NFI,5,0),1,0)*Table_NFI[[#This Row],[Winter Clothes Adult]],Table_NFI[Winter Clothes Adult])</f>
        <v>#REF!</v>
      </c>
      <c r="AM220" s="542"/>
      <c r="AN220" s="542"/>
      <c r="AO220" s="542"/>
      <c r="AP220" s="542">
        <f>IF(Table_NFI[[#This Row],[Winter Clothes Adult]]+Table_NFI[[#This Row],[Winter Clothes Children]]+Table_NFI[[#This Row],[Winter Items Other]]+Table_NFI[[#This Row],[Winter Blanket]]&gt;0,1,0)</f>
        <v>0</v>
      </c>
      <c r="AQ220" s="542"/>
      <c r="AR220" s="542"/>
      <c r="AS220" s="542"/>
      <c r="AT220" s="205" t="str">
        <f>IFERROR(VLOOKUP(Table_NFI[[#This Row],[Location]],CL,2,0),"")</f>
        <v>MMR015CMP232</v>
      </c>
      <c r="AU220" s="183"/>
    </row>
    <row r="221" spans="2:47" x14ac:dyDescent="0.25">
      <c r="B221" s="540">
        <v>43201</v>
      </c>
      <c r="C221" s="540" t="str">
        <f>MONTH(Table_NFI[[#This Row],[Distribution Date]]) &amp; "/" &amp; YEAR(Table_NFI[[#This Row],[Distribution Date]])</f>
        <v>4/2018</v>
      </c>
      <c r="D221" s="198" t="s">
        <v>1458</v>
      </c>
      <c r="E221" s="198"/>
      <c r="F221" s="198" t="s">
        <v>506</v>
      </c>
      <c r="G221" s="197" t="s">
        <v>297</v>
      </c>
      <c r="H221" s="198" t="s">
        <v>1275</v>
      </c>
      <c r="I221" s="665"/>
      <c r="J221" s="541"/>
      <c r="K221" s="541"/>
      <c r="L221" s="541"/>
      <c r="M221" s="541"/>
      <c r="N221" s="541"/>
      <c r="O221" s="541"/>
      <c r="P221" s="541"/>
      <c r="Q221" s="541"/>
      <c r="R221" s="541"/>
      <c r="S221" s="541"/>
      <c r="T221" s="541"/>
      <c r="U221" s="541"/>
      <c r="V221" s="541"/>
      <c r="W221" s="541"/>
      <c r="X221" s="541"/>
      <c r="Y221" s="541"/>
      <c r="Z221" s="541"/>
      <c r="AA221" s="541"/>
      <c r="AB221" s="541"/>
      <c r="AC221" s="542" t="e">
        <f>IF(NFI_Expiration=1,IF(#REF!&lt;VLOOKUP(L$5,NFI,5,0),1,0)*Table_NFI[[#This Row],[NFI Core Kit]],Table_NFI[NFI Core Kit])</f>
        <v>#REF!</v>
      </c>
      <c r="AD221" s="542" t="e">
        <f>IF(NFI_Expiration=1,IF(#REF!&lt;VLOOKUP(M$5,NFI,5,0),1,0)*Table_NFI[[#This Row],[Sanitary Kit]],Table_NFI[Sanitary Kit])</f>
        <v>#REF!</v>
      </c>
      <c r="AE221" s="542" t="e">
        <f>IF(NFI_Expiration=1,IF(#REF!&lt;VLOOKUP(N$5,NFI,5,0),1,0)*Table_NFI[[#This Row],[Mosquito net]],Table_NFI[Mosquito net])</f>
        <v>#REF!</v>
      </c>
      <c r="AF221" s="542" t="e">
        <f>IF(NFI_Expiration=1,IF(#REF!&lt;VLOOKUP(O$5,NFI,5,0),1,0)*Table_NFI[[#This Row],[Tarpaulin]],Table_NFI[[#This Row],[Tarpaulin]])</f>
        <v>#REF!</v>
      </c>
      <c r="AG221" s="542" t="e">
        <f>IF(NFI_Expiration=1,IF(#REF!&lt;VLOOKUP(P$5,NFI,5,0),1,0)*Table_NFI[[#This Row],[Blanket]],Table_NFI[[#This Row],[Blanket]])</f>
        <v>#REF!</v>
      </c>
      <c r="AH221" s="542" t="e">
        <f>IF(NFI_Expiration=1,IF(#REF!&lt;VLOOKUP(Q$5,NFI,5,0),1,0)*Table_NFI[[#This Row],[Kitchen Set]],Table_NFI[Kitchen Set])</f>
        <v>#REF!</v>
      </c>
      <c r="AI221" s="542" t="e">
        <f>IF(NFI_Expiration=1,IF(#REF!&lt;VLOOKUP(R$5,NFI,5,0),1,0)*Table_NFI[[#This Row],[Clothes Kit]],Table_NFI[Clothes Kit])</f>
        <v>#REF!</v>
      </c>
      <c r="AJ221" s="542" t="e">
        <f>IF(NFI_Expiration=1,IF(#REF!&lt;VLOOKUP(S$5,NFI,5,0),1,0)*Table_NFI[[#This Row],[Plastic Bucket]],Table_NFI[Plastic Bucket])</f>
        <v>#REF!</v>
      </c>
      <c r="AK221" s="542" t="e">
        <f>IF(NFI_Expiration=1,IF(#REF!&lt;VLOOKUP(T$5,NFI,5,0),1,0)*Table_NFI[[#This Row],[Plastic Mat]],Table_NFI[Plastic Mat])*IF(Table_NFI[[#This Row],[Distribution Date]]&gt;"2014-04-01",1,2.5)</f>
        <v>#REF!</v>
      </c>
      <c r="AL221" s="542" t="e">
        <f>IF(NFI_Expiration=1,IF(#REF!&lt;VLOOKUP(U$5,NFI,5,0),1,0)*Table_NFI[[#This Row],[Winter Clothes Adult]],Table_NFI[Winter Clothes Adult])</f>
        <v>#REF!</v>
      </c>
      <c r="AM221" s="542"/>
      <c r="AN221" s="542"/>
      <c r="AO221" s="542"/>
      <c r="AP221" s="542">
        <f>IF(Table_NFI[[#This Row],[Winter Clothes Adult]]+Table_NFI[[#This Row],[Winter Clothes Children]]+Table_NFI[[#This Row],[Winter Items Other]]+Table_NFI[[#This Row],[Winter Blanket]]&gt;0,1,0)</f>
        <v>0</v>
      </c>
      <c r="AQ221" s="542"/>
      <c r="AR221" s="542"/>
      <c r="AS221" s="542"/>
      <c r="AT221" s="205" t="str">
        <f>IFERROR(VLOOKUP(Table_NFI[[#This Row],[Location]],CL,2,0),"")</f>
        <v>MMR015CMP248</v>
      </c>
      <c r="AU221" s="183"/>
    </row>
    <row r="222" spans="2:47" x14ac:dyDescent="0.25">
      <c r="B222" s="540">
        <v>43200</v>
      </c>
      <c r="C222" s="540"/>
      <c r="D222" s="198" t="s">
        <v>420</v>
      </c>
      <c r="E222" s="198" t="s">
        <v>462</v>
      </c>
      <c r="F222" s="198" t="s">
        <v>378</v>
      </c>
      <c r="G222" s="197" t="s">
        <v>237</v>
      </c>
      <c r="H222" s="198" t="s">
        <v>1030</v>
      </c>
      <c r="I222" s="183"/>
      <c r="J222" s="541"/>
      <c r="K222" s="541"/>
      <c r="L222" s="541">
        <v>3</v>
      </c>
      <c r="M222" s="541">
        <v>2</v>
      </c>
      <c r="N222" s="541">
        <v>6</v>
      </c>
      <c r="O222" s="541">
        <v>3</v>
      </c>
      <c r="P222" s="541">
        <v>6</v>
      </c>
      <c r="Q222" s="541">
        <v>3</v>
      </c>
      <c r="R222" s="541"/>
      <c r="S222" s="541">
        <v>3</v>
      </c>
      <c r="T222" s="541">
        <v>7</v>
      </c>
      <c r="U222" s="541"/>
      <c r="V222" s="541"/>
      <c r="W222" s="541"/>
      <c r="X222" s="541"/>
      <c r="Y222" s="541">
        <v>3</v>
      </c>
      <c r="Z222" s="541"/>
      <c r="AA222" s="541"/>
      <c r="AB222" s="541"/>
      <c r="AC222" s="542" t="e">
        <f>IF(NFI_Expiration=1,IF(#REF!&lt;VLOOKUP(L$5,NFI,5,0),1,0)*Table_NFI[[#This Row],[NFI Core Kit]],Table_NFI[NFI Core Kit])</f>
        <v>#REF!</v>
      </c>
      <c r="AD222" s="542" t="e">
        <f>IF(NFI_Expiration=1,IF(#REF!&lt;VLOOKUP(M$5,NFI,5,0),1,0)*Table_NFI[[#This Row],[Sanitary Kit]],Table_NFI[Sanitary Kit])</f>
        <v>#REF!</v>
      </c>
      <c r="AE222" s="542" t="e">
        <f>IF(NFI_Expiration=1,IF(#REF!&lt;VLOOKUP(N$5,NFI,5,0),1,0)*Table_NFI[[#This Row],[Mosquito net]],Table_NFI[Mosquito net])</f>
        <v>#REF!</v>
      </c>
      <c r="AF222" s="542" t="e">
        <f>IF(NFI_Expiration=1,IF(#REF!&lt;VLOOKUP(O$5,NFI,5,0),1,0)*Table_NFI[[#This Row],[Tarpaulin]],Table_NFI[[#This Row],[Tarpaulin]])</f>
        <v>#REF!</v>
      </c>
      <c r="AG222" s="542" t="e">
        <f>IF(NFI_Expiration=1,IF(#REF!&lt;VLOOKUP(P$5,NFI,5,0),1,0)*Table_NFI[[#This Row],[Blanket]],Table_NFI[[#This Row],[Blanket]])</f>
        <v>#REF!</v>
      </c>
      <c r="AH222" s="542" t="e">
        <f>IF(NFI_Expiration=1,IF(#REF!&lt;VLOOKUP(Q$5,NFI,5,0),1,0)*Table_NFI[[#This Row],[Kitchen Set]],Table_NFI[Kitchen Set])</f>
        <v>#REF!</v>
      </c>
      <c r="AI222" s="542" t="e">
        <f>IF(NFI_Expiration=1,IF(#REF!&lt;VLOOKUP(R$5,NFI,5,0),1,0)*Table_NFI[[#This Row],[Clothes Kit]],Table_NFI[Clothes Kit])</f>
        <v>#REF!</v>
      </c>
      <c r="AJ222" s="542" t="e">
        <f>IF(NFI_Expiration=1,IF(#REF!&lt;VLOOKUP(S$5,NFI,5,0),1,0)*Table_NFI[[#This Row],[Plastic Bucket]],Table_NFI[Plastic Bucket])</f>
        <v>#REF!</v>
      </c>
      <c r="AK222" s="542" t="e">
        <f>IF(NFI_Expiration=1,IF(#REF!&lt;VLOOKUP(T$5,NFI,5,0),1,0)*Table_NFI[[#This Row],[Plastic Mat]],Table_NFI[Plastic Mat])*IF(Table_NFI[[#This Row],[Distribution Date]]&gt;"2014-04-01",1,2.5)</f>
        <v>#REF!</v>
      </c>
      <c r="AL222" s="542" t="e">
        <f>IF(NFI_Expiration=1,IF(#REF!&lt;VLOOKUP(U$5,NFI,5,0),1,0)*Table_NFI[[#This Row],[Winter Clothes Adult]],Table_NFI[Winter Clothes Adult])</f>
        <v>#REF!</v>
      </c>
      <c r="AM222" s="542"/>
      <c r="AN222" s="542"/>
      <c r="AO222" s="542"/>
      <c r="AP222" s="542">
        <f>IF(Table_NFI[[#This Row],[Winter Clothes Adult]]+Table_NFI[[#This Row],[Winter Clothes Children]]+Table_NFI[[#This Row],[Winter Items Other]]+Table_NFI[[#This Row],[Winter Blanket]]&gt;0,1,0)</f>
        <v>0</v>
      </c>
      <c r="AQ222" s="542"/>
      <c r="AR222" s="542"/>
      <c r="AS222" s="542"/>
      <c r="AT222" s="205" t="str">
        <f>IFERROR(VLOOKUP(Table_NFI[[#This Row],[Location]],CL,2,0),"")</f>
        <v>MMR001CMP023</v>
      </c>
      <c r="AU222" s="183"/>
    </row>
    <row r="223" spans="2:47" x14ac:dyDescent="0.25">
      <c r="B223" s="540">
        <v>43200</v>
      </c>
      <c r="C223" s="540" t="str">
        <f>MONTH(Table_NFI[[#This Row],[Distribution Date]]) &amp; "/" &amp; YEAR(Table_NFI[[#This Row],[Distribution Date]])</f>
        <v>4/2018</v>
      </c>
      <c r="D223" s="198" t="s">
        <v>420</v>
      </c>
      <c r="E223" s="198" t="s">
        <v>462</v>
      </c>
      <c r="F223" s="198" t="s">
        <v>378</v>
      </c>
      <c r="G223" s="197" t="s">
        <v>309</v>
      </c>
      <c r="H223" s="198" t="s">
        <v>317</v>
      </c>
      <c r="I223" s="183"/>
      <c r="J223" s="541"/>
      <c r="K223" s="541"/>
      <c r="L223" s="541">
        <v>2</v>
      </c>
      <c r="M223" s="541">
        <v>2</v>
      </c>
      <c r="N223" s="541">
        <v>7</v>
      </c>
      <c r="O223" s="541">
        <v>2</v>
      </c>
      <c r="P223" s="541">
        <v>7</v>
      </c>
      <c r="Q223" s="541">
        <v>2</v>
      </c>
      <c r="R223" s="541"/>
      <c r="S223" s="541">
        <v>2</v>
      </c>
      <c r="T223" s="541">
        <v>10</v>
      </c>
      <c r="U223" s="541"/>
      <c r="V223" s="541"/>
      <c r="W223" s="541"/>
      <c r="X223" s="541"/>
      <c r="Y223" s="541">
        <v>2</v>
      </c>
      <c r="Z223" s="541"/>
      <c r="AA223" s="541"/>
      <c r="AB223" s="541"/>
      <c r="AC223" s="542" t="e">
        <f>IF(NFI_Expiration=1,IF(#REF!&lt;VLOOKUP(L$5,NFI,5,0),1,0)*Table_NFI[[#This Row],[NFI Core Kit]],Table_NFI[NFI Core Kit])</f>
        <v>#REF!</v>
      </c>
      <c r="AD223" s="542" t="e">
        <f>IF(NFI_Expiration=1,IF(#REF!&lt;VLOOKUP(M$5,NFI,5,0),1,0)*Table_NFI[[#This Row],[Sanitary Kit]],Table_NFI[Sanitary Kit])</f>
        <v>#REF!</v>
      </c>
      <c r="AE223" s="542" t="e">
        <f>IF(NFI_Expiration=1,IF(#REF!&lt;VLOOKUP(N$5,NFI,5,0),1,0)*Table_NFI[[#This Row],[Mosquito net]],Table_NFI[Mosquito net])</f>
        <v>#REF!</v>
      </c>
      <c r="AF223" s="542" t="e">
        <f>IF(NFI_Expiration=1,IF(#REF!&lt;VLOOKUP(O$5,NFI,5,0),1,0)*Table_NFI[[#This Row],[Tarpaulin]],Table_NFI[[#This Row],[Tarpaulin]])</f>
        <v>#REF!</v>
      </c>
      <c r="AG223" s="542" t="e">
        <f>IF(NFI_Expiration=1,IF(#REF!&lt;VLOOKUP(P$5,NFI,5,0),1,0)*Table_NFI[[#This Row],[Blanket]],Table_NFI[[#This Row],[Blanket]])</f>
        <v>#REF!</v>
      </c>
      <c r="AH223" s="542" t="e">
        <f>IF(NFI_Expiration=1,IF(#REF!&lt;VLOOKUP(Q$5,NFI,5,0),1,0)*Table_NFI[[#This Row],[Kitchen Set]],Table_NFI[Kitchen Set])</f>
        <v>#REF!</v>
      </c>
      <c r="AI223" s="542" t="e">
        <f>IF(NFI_Expiration=1,IF(#REF!&lt;VLOOKUP(R$5,NFI,5,0),1,0)*Table_NFI[[#This Row],[Clothes Kit]],Table_NFI[Clothes Kit])</f>
        <v>#REF!</v>
      </c>
      <c r="AJ223" s="542" t="e">
        <f>IF(NFI_Expiration=1,IF(#REF!&lt;VLOOKUP(S$5,NFI,5,0),1,0)*Table_NFI[[#This Row],[Plastic Bucket]],Table_NFI[Plastic Bucket])</f>
        <v>#REF!</v>
      </c>
      <c r="AK223" s="542" t="e">
        <f>IF(NFI_Expiration=1,IF(#REF!&lt;VLOOKUP(T$5,NFI,5,0),1,0)*Table_NFI[[#This Row],[Plastic Mat]],Table_NFI[Plastic Mat])*IF(Table_NFI[[#This Row],[Distribution Date]]&gt;"2014-04-01",1,2.5)</f>
        <v>#REF!</v>
      </c>
      <c r="AL223" s="542" t="e">
        <f>IF(NFI_Expiration=1,IF(#REF!&lt;VLOOKUP(U$5,NFI,5,0),1,0)*Table_NFI[[#This Row],[Winter Clothes Adult]],Table_NFI[Winter Clothes Adult])</f>
        <v>#REF!</v>
      </c>
      <c r="AM223" s="542"/>
      <c r="AN223" s="542"/>
      <c r="AO223" s="542"/>
      <c r="AP223" s="542">
        <f>IF(Table_NFI[[#This Row],[Winter Clothes Adult]]+Table_NFI[[#This Row],[Winter Clothes Children]]+Table_NFI[[#This Row],[Winter Items Other]]+Table_NFI[[#This Row],[Winter Blanket]]&gt;0,1,0)</f>
        <v>0</v>
      </c>
      <c r="AQ223" s="542"/>
      <c r="AR223" s="542"/>
      <c r="AS223" s="542"/>
      <c r="AT223" s="205" t="str">
        <f>IFERROR(VLOOKUP(Table_NFI[[#This Row],[Location]],CL,2,0),"")</f>
        <v>MMR001CMP032</v>
      </c>
      <c r="AU223" s="183"/>
    </row>
    <row r="224" spans="2:47" x14ac:dyDescent="0.25">
      <c r="B224" s="540">
        <v>43217</v>
      </c>
      <c r="C224" s="540" t="str">
        <f>MONTH(Table_NFI[[#This Row],[Distribution Date]]) &amp; "/" &amp; YEAR(Table_NFI[[#This Row],[Distribution Date]])</f>
        <v>4/2018</v>
      </c>
      <c r="D224" s="198" t="s">
        <v>424</v>
      </c>
      <c r="E224" s="198"/>
      <c r="F224" s="198" t="s">
        <v>378</v>
      </c>
      <c r="G224" s="197" t="s">
        <v>237</v>
      </c>
      <c r="H224" s="198" t="s">
        <v>1671</v>
      </c>
      <c r="I224" s="183"/>
      <c r="J224" s="541"/>
      <c r="K224" s="541"/>
      <c r="L224" s="541"/>
      <c r="M224" s="541"/>
      <c r="N224" s="668">
        <v>412</v>
      </c>
      <c r="O224" s="667">
        <v>254</v>
      </c>
      <c r="P224" s="541"/>
      <c r="Q224" s="541"/>
      <c r="R224" s="541"/>
      <c r="S224" s="667">
        <v>166</v>
      </c>
      <c r="T224" s="541">
        <v>254</v>
      </c>
      <c r="U224" s="541"/>
      <c r="V224" s="541"/>
      <c r="W224" s="541"/>
      <c r="X224" s="541"/>
      <c r="Y224" s="541"/>
      <c r="Z224" s="541"/>
      <c r="AA224" s="541"/>
      <c r="AB224" s="541"/>
      <c r="AC224" s="542" t="e">
        <f>IF(NFI_Expiration=1,IF(#REF!&lt;VLOOKUP(L$5,NFI,5,0),1,0)*Table_NFI[[#This Row],[NFI Core Kit]],Table_NFI[NFI Core Kit])</f>
        <v>#REF!</v>
      </c>
      <c r="AD224" s="542" t="e">
        <f>IF(NFI_Expiration=1,IF(#REF!&lt;VLOOKUP(M$5,NFI,5,0),1,0)*Table_NFI[[#This Row],[Sanitary Kit]],Table_NFI[Sanitary Kit])</f>
        <v>#REF!</v>
      </c>
      <c r="AE224" s="542" t="e">
        <f>IF(NFI_Expiration=1,IF(#REF!&lt;VLOOKUP(N$5,NFI,5,0),1,0)*Table_NFI[[#This Row],[Mosquito net]],Table_NFI[Mosquito net])</f>
        <v>#REF!</v>
      </c>
      <c r="AF224" s="542" t="e">
        <f>IF(NFI_Expiration=1,IF(#REF!&lt;VLOOKUP(O$5,NFI,5,0),1,0)*Table_NFI[[#This Row],[Tarpaulin]],Table_NFI[[#This Row],[Tarpaulin]])</f>
        <v>#REF!</v>
      </c>
      <c r="AG224" s="542" t="e">
        <f>IF(NFI_Expiration=1,IF(#REF!&lt;VLOOKUP(P$5,NFI,5,0),1,0)*Table_NFI[[#This Row],[Blanket]],Table_NFI[[#This Row],[Blanket]])</f>
        <v>#REF!</v>
      </c>
      <c r="AH224" s="542" t="e">
        <f>IF(NFI_Expiration=1,IF(#REF!&lt;VLOOKUP(Q$5,NFI,5,0),1,0)*Table_NFI[[#This Row],[Kitchen Set]],Table_NFI[Kitchen Set])</f>
        <v>#REF!</v>
      </c>
      <c r="AI224" s="542" t="e">
        <f>IF(NFI_Expiration=1,IF(#REF!&lt;VLOOKUP(R$5,NFI,5,0),1,0)*Table_NFI[[#This Row],[Clothes Kit]],Table_NFI[Clothes Kit])</f>
        <v>#REF!</v>
      </c>
      <c r="AJ224" s="542" t="e">
        <f>IF(NFI_Expiration=1,IF(#REF!&lt;VLOOKUP(S$5,NFI,5,0),1,0)*Table_NFI[[#This Row],[Plastic Bucket]],Table_NFI[Plastic Bucket])</f>
        <v>#REF!</v>
      </c>
      <c r="AK224" s="542" t="e">
        <f>IF(NFI_Expiration=1,IF(#REF!&lt;VLOOKUP(T$5,NFI,5,0),1,0)*Table_NFI[[#This Row],[Plastic Mat]],Table_NFI[Plastic Mat])*IF(Table_NFI[[#This Row],[Distribution Date]]&gt;"2014-04-01",1,2.5)</f>
        <v>#REF!</v>
      </c>
      <c r="AL224" s="542" t="e">
        <f>IF(NFI_Expiration=1,IF(#REF!&lt;VLOOKUP(U$5,NFI,5,0),1,0)*Table_NFI[[#This Row],[Winter Clothes Adult]],Table_NFI[Winter Clothes Adult])</f>
        <v>#REF!</v>
      </c>
      <c r="AM224" s="542"/>
      <c r="AN224" s="542"/>
      <c r="AO224" s="542"/>
      <c r="AP224" s="542">
        <f>IF(Table_NFI[[#This Row],[Winter Clothes Adult]]+Table_NFI[[#This Row],[Winter Clothes Children]]+Table_NFI[[#This Row],[Winter Items Other]]+Table_NFI[[#This Row],[Winter Blanket]]&gt;0,1,0)</f>
        <v>0</v>
      </c>
      <c r="AQ224" s="542"/>
      <c r="AR224" s="542"/>
      <c r="AS224" s="542"/>
      <c r="AT224" s="205" t="str">
        <f>IFERROR(VLOOKUP(Table_NFI[[#This Row],[Location]],CL,2,0),"")</f>
        <v>MMR001CMP264</v>
      </c>
      <c r="AU224" s="183"/>
    </row>
    <row r="225" spans="2:47" x14ac:dyDescent="0.25">
      <c r="B225" s="540">
        <v>43214</v>
      </c>
      <c r="C225" s="540" t="str">
        <f>MONTH(Table_NFI[[#This Row],[Distribution Date]]) &amp; "/" &amp; YEAR(Table_NFI[[#This Row],[Distribution Date]])</f>
        <v>4/2018</v>
      </c>
      <c r="D225" s="665" t="s">
        <v>825</v>
      </c>
      <c r="E225" s="665" t="s">
        <v>825</v>
      </c>
      <c r="F225" s="665" t="s">
        <v>378</v>
      </c>
      <c r="G225" s="197" t="s">
        <v>1135</v>
      </c>
      <c r="H225" s="665" t="s">
        <v>1636</v>
      </c>
      <c r="I225" s="665"/>
      <c r="J225" s="665"/>
      <c r="K225" s="541"/>
      <c r="L225" s="665"/>
      <c r="M225" s="665">
        <v>36</v>
      </c>
      <c r="N225" s="665"/>
      <c r="O225" s="665"/>
      <c r="P225" s="665"/>
      <c r="Q225" s="665"/>
      <c r="R225" s="541"/>
      <c r="S225" s="665"/>
      <c r="T225" s="665"/>
      <c r="U225" s="541"/>
      <c r="V225" s="541"/>
      <c r="W225" s="541"/>
      <c r="X225" s="541"/>
      <c r="Y225" s="665"/>
      <c r="Z225" s="541"/>
      <c r="AA225" s="541"/>
      <c r="AB225" s="541"/>
      <c r="AC225" s="542" t="e">
        <f>IF(NFI_Expiration=1,IF(#REF!&lt;VLOOKUP(L$5,NFI,5,0),1,0)*Table_NFI[[#This Row],[NFI Core Kit]],Table_NFI[NFI Core Kit])</f>
        <v>#REF!</v>
      </c>
      <c r="AD225" s="542" t="e">
        <f>IF(NFI_Expiration=1,IF(#REF!&lt;VLOOKUP(M$5,NFI,5,0),1,0)*Table_NFI[[#This Row],[Sanitary Kit]],Table_NFI[Sanitary Kit])</f>
        <v>#REF!</v>
      </c>
      <c r="AE225" s="542" t="e">
        <f>IF(NFI_Expiration=1,IF(#REF!&lt;VLOOKUP(N$5,NFI,5,0),1,0)*Table_NFI[[#This Row],[Mosquito net]],Table_NFI[Mosquito net])</f>
        <v>#REF!</v>
      </c>
      <c r="AF225" s="542" t="e">
        <f>IF(NFI_Expiration=1,IF(#REF!&lt;VLOOKUP(O$5,NFI,5,0),1,0)*Table_NFI[[#This Row],[Tarpaulin]],Table_NFI[[#This Row],[Tarpaulin]])</f>
        <v>#REF!</v>
      </c>
      <c r="AG225" s="542" t="e">
        <f>IF(NFI_Expiration=1,IF(#REF!&lt;VLOOKUP(P$5,NFI,5,0),1,0)*Table_NFI[[#This Row],[Blanket]],Table_NFI[[#This Row],[Blanket]])</f>
        <v>#REF!</v>
      </c>
      <c r="AH225" s="542" t="e">
        <f>IF(NFI_Expiration=1,IF(#REF!&lt;VLOOKUP(Q$5,NFI,5,0),1,0)*Table_NFI[[#This Row],[Kitchen Set]],Table_NFI[Kitchen Set])</f>
        <v>#REF!</v>
      </c>
      <c r="AI225" s="542" t="e">
        <f>IF(NFI_Expiration=1,IF(#REF!&lt;VLOOKUP(R$5,NFI,5,0),1,0)*Table_NFI[[#This Row],[Clothes Kit]],Table_NFI[Clothes Kit])</f>
        <v>#REF!</v>
      </c>
      <c r="AJ225" s="542" t="e">
        <f>IF(NFI_Expiration=1,IF(#REF!&lt;VLOOKUP(S$5,NFI,5,0),1,0)*Table_NFI[[#This Row],[Plastic Bucket]],Table_NFI[Plastic Bucket])</f>
        <v>#REF!</v>
      </c>
      <c r="AK225" s="542" t="e">
        <f>IF(NFI_Expiration=1,IF(#REF!&lt;VLOOKUP(T$5,NFI,5,0),1,0)*Table_NFI[[#This Row],[Plastic Mat]],Table_NFI[Plastic Mat])*IF(Table_NFI[[#This Row],[Distribution Date]]&gt;"2014-04-01",1,2.5)</f>
        <v>#REF!</v>
      </c>
      <c r="AL225" s="542" t="e">
        <f>IF(NFI_Expiration=1,IF(#REF!&lt;VLOOKUP(U$5,NFI,5,0),1,0)*Table_NFI[[#This Row],[Winter Clothes Adult]],Table_NFI[Winter Clothes Adult])</f>
        <v>#REF!</v>
      </c>
      <c r="AM225" s="542"/>
      <c r="AN225" s="542"/>
      <c r="AO225" s="542"/>
      <c r="AP225" s="542">
        <f>IF(Table_NFI[[#This Row],[Winter Clothes Adult]]+Table_NFI[[#This Row],[Winter Clothes Children]]+Table_NFI[[#This Row],[Winter Items Other]]+Table_NFI[[#This Row],[Winter Blanket]]&gt;0,1,0)</f>
        <v>0</v>
      </c>
      <c r="AQ225" s="542"/>
      <c r="AR225" s="542"/>
      <c r="AS225" s="542"/>
      <c r="AT225" s="205" t="str">
        <f>IFERROR(VLOOKUP(Table_NFI[[#This Row],[Location]],CL,2,0),"")</f>
        <v/>
      </c>
      <c r="AU225" s="183"/>
    </row>
    <row r="226" spans="2:47" x14ac:dyDescent="0.25">
      <c r="B226" s="540">
        <v>43214</v>
      </c>
      <c r="C226" s="540" t="str">
        <f>MONTH(Table_NFI[[#This Row],[Distribution Date]]) &amp; "/" &amp; YEAR(Table_NFI[[#This Row],[Distribution Date]])</f>
        <v>4/2018</v>
      </c>
      <c r="D226" s="665" t="s">
        <v>825</v>
      </c>
      <c r="E226" s="665" t="s">
        <v>825</v>
      </c>
      <c r="F226" s="665" t="s">
        <v>378</v>
      </c>
      <c r="G226" s="197" t="s">
        <v>173</v>
      </c>
      <c r="H226" s="219" t="s">
        <v>1728</v>
      </c>
      <c r="I226" s="665"/>
      <c r="J226" s="665"/>
      <c r="K226" s="541"/>
      <c r="L226" s="665"/>
      <c r="M226" s="665">
        <v>104</v>
      </c>
      <c r="N226" s="665">
        <v>104</v>
      </c>
      <c r="O226" s="665"/>
      <c r="P226" s="665"/>
      <c r="Q226" s="665">
        <v>104</v>
      </c>
      <c r="R226" s="541"/>
      <c r="S226" s="665"/>
      <c r="T226" s="665"/>
      <c r="U226" s="541"/>
      <c r="V226" s="541"/>
      <c r="W226" s="541"/>
      <c r="X226" s="541"/>
      <c r="Y226" s="665"/>
      <c r="Z226" s="541"/>
      <c r="AA226" s="541"/>
      <c r="AB226" s="541"/>
      <c r="AC226" s="542" t="e">
        <f>IF(NFI_Expiration=1,IF(#REF!&lt;VLOOKUP(L$5,NFI,5,0),1,0)*Table_NFI[[#This Row],[NFI Core Kit]],Table_NFI[NFI Core Kit])</f>
        <v>#REF!</v>
      </c>
      <c r="AD226" s="542" t="e">
        <f>IF(NFI_Expiration=1,IF(#REF!&lt;VLOOKUP(M$5,NFI,5,0),1,0)*Table_NFI[[#This Row],[Sanitary Kit]],Table_NFI[Sanitary Kit])</f>
        <v>#REF!</v>
      </c>
      <c r="AE226" s="542" t="e">
        <f>IF(NFI_Expiration=1,IF(#REF!&lt;VLOOKUP(N$5,NFI,5,0),1,0)*Table_NFI[[#This Row],[Mosquito net]],Table_NFI[Mosquito net])</f>
        <v>#REF!</v>
      </c>
      <c r="AF226" s="542" t="e">
        <f>IF(NFI_Expiration=1,IF(#REF!&lt;VLOOKUP(O$5,NFI,5,0),1,0)*Table_NFI[[#This Row],[Tarpaulin]],Table_NFI[[#This Row],[Tarpaulin]])</f>
        <v>#REF!</v>
      </c>
      <c r="AG226" s="542" t="e">
        <f>IF(NFI_Expiration=1,IF(#REF!&lt;VLOOKUP(P$5,NFI,5,0),1,0)*Table_NFI[[#This Row],[Blanket]],Table_NFI[[#This Row],[Blanket]])</f>
        <v>#REF!</v>
      </c>
      <c r="AH226" s="542" t="e">
        <f>IF(NFI_Expiration=1,IF(#REF!&lt;VLOOKUP(Q$5,NFI,5,0),1,0)*Table_NFI[[#This Row],[Kitchen Set]],Table_NFI[Kitchen Set])</f>
        <v>#REF!</v>
      </c>
      <c r="AI226" s="542" t="e">
        <f>IF(NFI_Expiration=1,IF(#REF!&lt;VLOOKUP(R$5,NFI,5,0),1,0)*Table_NFI[[#This Row],[Clothes Kit]],Table_NFI[Clothes Kit])</f>
        <v>#REF!</v>
      </c>
      <c r="AJ226" s="542" t="e">
        <f>IF(NFI_Expiration=1,IF(#REF!&lt;VLOOKUP(S$5,NFI,5,0),1,0)*Table_NFI[[#This Row],[Plastic Bucket]],Table_NFI[Plastic Bucket])</f>
        <v>#REF!</v>
      </c>
      <c r="AK226" s="542" t="e">
        <f>IF(NFI_Expiration=1,IF(#REF!&lt;VLOOKUP(T$5,NFI,5,0),1,0)*Table_NFI[[#This Row],[Plastic Mat]],Table_NFI[Plastic Mat])*IF(Table_NFI[[#This Row],[Distribution Date]]&gt;"2014-04-01",1,2.5)</f>
        <v>#REF!</v>
      </c>
      <c r="AL226" s="542" t="e">
        <f>IF(NFI_Expiration=1,IF(#REF!&lt;VLOOKUP(U$5,NFI,5,0),1,0)*Table_NFI[[#This Row],[Winter Clothes Adult]],Table_NFI[Winter Clothes Adult])</f>
        <v>#REF!</v>
      </c>
      <c r="AM226" s="542"/>
      <c r="AN226" s="542"/>
      <c r="AO226" s="542"/>
      <c r="AP226" s="542">
        <f>IF(Table_NFI[[#This Row],[Winter Clothes Adult]]+Table_NFI[[#This Row],[Winter Clothes Children]]+Table_NFI[[#This Row],[Winter Items Other]]+Table_NFI[[#This Row],[Winter Blanket]]&gt;0,1,0)</f>
        <v>0</v>
      </c>
      <c r="AQ226" s="542"/>
      <c r="AR226" s="542"/>
      <c r="AS226" s="542"/>
      <c r="AT226" s="205" t="str">
        <f>IFERROR(VLOOKUP(Table_NFI[[#This Row],[Location]],CL,2,0),"")</f>
        <v>MMR001CMP261</v>
      </c>
      <c r="AU226" s="183"/>
    </row>
    <row r="227" spans="2:47" x14ac:dyDescent="0.25">
      <c r="B227" s="540">
        <v>43214</v>
      </c>
      <c r="C227" s="540" t="str">
        <f>MONTH(Table_NFI[[#This Row],[Distribution Date]]) &amp; "/" &amp; YEAR(Table_NFI[[#This Row],[Distribution Date]])</f>
        <v>4/2018</v>
      </c>
      <c r="D227" s="665" t="s">
        <v>825</v>
      </c>
      <c r="E227" s="665" t="s">
        <v>825</v>
      </c>
      <c r="F227" s="665" t="s">
        <v>378</v>
      </c>
      <c r="G227" s="197" t="s">
        <v>173</v>
      </c>
      <c r="H227" s="219" t="s">
        <v>1662</v>
      </c>
      <c r="I227" s="665"/>
      <c r="J227" s="665"/>
      <c r="K227" s="541"/>
      <c r="L227" s="665"/>
      <c r="M227" s="665">
        <v>86</v>
      </c>
      <c r="N227" s="665">
        <v>86</v>
      </c>
      <c r="O227" s="665"/>
      <c r="P227" s="665"/>
      <c r="Q227" s="665">
        <v>86</v>
      </c>
      <c r="R227" s="541"/>
      <c r="S227" s="665"/>
      <c r="T227" s="665"/>
      <c r="U227" s="541"/>
      <c r="V227" s="541"/>
      <c r="W227" s="541"/>
      <c r="X227" s="541"/>
      <c r="Y227" s="665"/>
      <c r="Z227" s="541"/>
      <c r="AA227" s="541"/>
      <c r="AB227" s="541"/>
      <c r="AC227" s="542" t="e">
        <f>IF(NFI_Expiration=1,IF(#REF!&lt;VLOOKUP(L$5,NFI,5,0),1,0)*Table_NFI[[#This Row],[NFI Core Kit]],Table_NFI[NFI Core Kit])</f>
        <v>#REF!</v>
      </c>
      <c r="AD227" s="542" t="e">
        <f>IF(NFI_Expiration=1,IF(#REF!&lt;VLOOKUP(M$5,NFI,5,0),1,0)*Table_NFI[[#This Row],[Sanitary Kit]],Table_NFI[Sanitary Kit])</f>
        <v>#REF!</v>
      </c>
      <c r="AE227" s="542" t="e">
        <f>IF(NFI_Expiration=1,IF(#REF!&lt;VLOOKUP(N$5,NFI,5,0),1,0)*Table_NFI[[#This Row],[Mosquito net]],Table_NFI[Mosquito net])</f>
        <v>#REF!</v>
      </c>
      <c r="AF227" s="542" t="e">
        <f>IF(NFI_Expiration=1,IF(#REF!&lt;VLOOKUP(O$5,NFI,5,0),1,0)*Table_NFI[[#This Row],[Tarpaulin]],Table_NFI[[#This Row],[Tarpaulin]])</f>
        <v>#REF!</v>
      </c>
      <c r="AG227" s="542" t="e">
        <f>IF(NFI_Expiration=1,IF(#REF!&lt;VLOOKUP(P$5,NFI,5,0),1,0)*Table_NFI[[#This Row],[Blanket]],Table_NFI[[#This Row],[Blanket]])</f>
        <v>#REF!</v>
      </c>
      <c r="AH227" s="542" t="e">
        <f>IF(NFI_Expiration=1,IF(#REF!&lt;VLOOKUP(Q$5,NFI,5,0),1,0)*Table_NFI[[#This Row],[Kitchen Set]],Table_NFI[Kitchen Set])</f>
        <v>#REF!</v>
      </c>
      <c r="AI227" s="542" t="e">
        <f>IF(NFI_Expiration=1,IF(#REF!&lt;VLOOKUP(R$5,NFI,5,0),1,0)*Table_NFI[[#This Row],[Clothes Kit]],Table_NFI[Clothes Kit])</f>
        <v>#REF!</v>
      </c>
      <c r="AJ227" s="542" t="e">
        <f>IF(NFI_Expiration=1,IF(#REF!&lt;VLOOKUP(S$5,NFI,5,0),1,0)*Table_NFI[[#This Row],[Plastic Bucket]],Table_NFI[Plastic Bucket])</f>
        <v>#REF!</v>
      </c>
      <c r="AK227" s="542" t="e">
        <f>IF(NFI_Expiration=1,IF(#REF!&lt;VLOOKUP(T$5,NFI,5,0),1,0)*Table_NFI[[#This Row],[Plastic Mat]],Table_NFI[Plastic Mat])*IF(Table_NFI[[#This Row],[Distribution Date]]&gt;"2014-04-01",1,2.5)</f>
        <v>#REF!</v>
      </c>
      <c r="AL227" s="542" t="e">
        <f>IF(NFI_Expiration=1,IF(#REF!&lt;VLOOKUP(U$5,NFI,5,0),1,0)*Table_NFI[[#This Row],[Winter Clothes Adult]],Table_NFI[Winter Clothes Adult])</f>
        <v>#REF!</v>
      </c>
      <c r="AM227" s="542"/>
      <c r="AN227" s="542"/>
      <c r="AO227" s="542"/>
      <c r="AP227" s="542">
        <f>IF(Table_NFI[[#This Row],[Winter Clothes Adult]]+Table_NFI[[#This Row],[Winter Clothes Children]]+Table_NFI[[#This Row],[Winter Items Other]]+Table_NFI[[#This Row],[Winter Blanket]]&gt;0,1,0)</f>
        <v>0</v>
      </c>
      <c r="AQ227" s="542"/>
      <c r="AR227" s="542"/>
      <c r="AS227" s="542"/>
      <c r="AT227" s="205" t="str">
        <f>IFERROR(VLOOKUP(Table_NFI[[#This Row],[Location]],CL,2,0),"")</f>
        <v>MMR001CMP260</v>
      </c>
      <c r="AU227" s="183"/>
    </row>
    <row r="228" spans="2:47" x14ac:dyDescent="0.25">
      <c r="B228" s="540">
        <v>43214</v>
      </c>
      <c r="C228" s="540" t="str">
        <f>MONTH(Table_NFI[[#This Row],[Distribution Date]]) &amp; "/" &amp; YEAR(Table_NFI[[#This Row],[Distribution Date]])</f>
        <v>4/2018</v>
      </c>
      <c r="D228" s="665" t="s">
        <v>825</v>
      </c>
      <c r="E228" s="665" t="s">
        <v>825</v>
      </c>
      <c r="F228" s="665" t="s">
        <v>378</v>
      </c>
      <c r="G228" s="197" t="s">
        <v>173</v>
      </c>
      <c r="H228" s="219" t="s">
        <v>1665</v>
      </c>
      <c r="I228" s="665"/>
      <c r="J228" s="665"/>
      <c r="K228" s="541"/>
      <c r="L228" s="665"/>
      <c r="M228" s="665">
        <v>35</v>
      </c>
      <c r="N228" s="665">
        <v>35</v>
      </c>
      <c r="O228" s="665"/>
      <c r="P228" s="665"/>
      <c r="Q228" s="665">
        <v>35</v>
      </c>
      <c r="R228" s="541"/>
      <c r="S228" s="665"/>
      <c r="T228" s="665"/>
      <c r="U228" s="541"/>
      <c r="V228" s="541"/>
      <c r="W228" s="541"/>
      <c r="X228" s="541"/>
      <c r="Y228" s="665"/>
      <c r="Z228" s="541"/>
      <c r="AA228" s="541"/>
      <c r="AB228" s="541"/>
      <c r="AC228" s="542" t="e">
        <f>IF(NFI_Expiration=1,IF(#REF!&lt;VLOOKUP(L$5,NFI,5,0),1,0)*Table_NFI[[#This Row],[NFI Core Kit]],Table_NFI[NFI Core Kit])</f>
        <v>#REF!</v>
      </c>
      <c r="AD228" s="542" t="e">
        <f>IF(NFI_Expiration=1,IF(#REF!&lt;VLOOKUP(M$5,NFI,5,0),1,0)*Table_NFI[[#This Row],[Sanitary Kit]],Table_NFI[Sanitary Kit])</f>
        <v>#REF!</v>
      </c>
      <c r="AE228" s="542" t="e">
        <f>IF(NFI_Expiration=1,IF(#REF!&lt;VLOOKUP(N$5,NFI,5,0),1,0)*Table_NFI[[#This Row],[Mosquito net]],Table_NFI[Mosquito net])</f>
        <v>#REF!</v>
      </c>
      <c r="AF228" s="542" t="e">
        <f>IF(NFI_Expiration=1,IF(#REF!&lt;VLOOKUP(O$5,NFI,5,0),1,0)*Table_NFI[[#This Row],[Tarpaulin]],Table_NFI[[#This Row],[Tarpaulin]])</f>
        <v>#REF!</v>
      </c>
      <c r="AG228" s="542" t="e">
        <f>IF(NFI_Expiration=1,IF(#REF!&lt;VLOOKUP(P$5,NFI,5,0),1,0)*Table_NFI[[#This Row],[Blanket]],Table_NFI[[#This Row],[Blanket]])</f>
        <v>#REF!</v>
      </c>
      <c r="AH228" s="542" t="e">
        <f>IF(NFI_Expiration=1,IF(#REF!&lt;VLOOKUP(Q$5,NFI,5,0),1,0)*Table_NFI[[#This Row],[Kitchen Set]],Table_NFI[Kitchen Set])</f>
        <v>#REF!</v>
      </c>
      <c r="AI228" s="542" t="e">
        <f>IF(NFI_Expiration=1,IF(#REF!&lt;VLOOKUP(R$5,NFI,5,0),1,0)*Table_NFI[[#This Row],[Clothes Kit]],Table_NFI[Clothes Kit])</f>
        <v>#REF!</v>
      </c>
      <c r="AJ228" s="542" t="e">
        <f>IF(NFI_Expiration=1,IF(#REF!&lt;VLOOKUP(S$5,NFI,5,0),1,0)*Table_NFI[[#This Row],[Plastic Bucket]],Table_NFI[Plastic Bucket])</f>
        <v>#REF!</v>
      </c>
      <c r="AK228" s="542" t="e">
        <f>IF(NFI_Expiration=1,IF(#REF!&lt;VLOOKUP(T$5,NFI,5,0),1,0)*Table_NFI[[#This Row],[Plastic Mat]],Table_NFI[Plastic Mat])*IF(Table_NFI[[#This Row],[Distribution Date]]&gt;"2014-04-01",1,2.5)</f>
        <v>#REF!</v>
      </c>
      <c r="AL228" s="542" t="e">
        <f>IF(NFI_Expiration=1,IF(#REF!&lt;VLOOKUP(U$5,NFI,5,0),1,0)*Table_NFI[[#This Row],[Winter Clothes Adult]],Table_NFI[Winter Clothes Adult])</f>
        <v>#REF!</v>
      </c>
      <c r="AM228" s="542"/>
      <c r="AN228" s="542"/>
      <c r="AO228" s="542"/>
      <c r="AP228" s="542">
        <f>IF(Table_NFI[[#This Row],[Winter Clothes Adult]]+Table_NFI[[#This Row],[Winter Clothes Children]]+Table_NFI[[#This Row],[Winter Items Other]]+Table_NFI[[#This Row],[Winter Blanket]]&gt;0,1,0)</f>
        <v>0</v>
      </c>
      <c r="AQ228" s="542"/>
      <c r="AR228" s="542"/>
      <c r="AS228" s="542"/>
      <c r="AT228" s="205" t="str">
        <f>IFERROR(VLOOKUP(Table_NFI[[#This Row],[Location]],CL,2,0),"")</f>
        <v>MMR001CMP262</v>
      </c>
      <c r="AU228" s="183"/>
    </row>
    <row r="229" spans="2:47" x14ac:dyDescent="0.25">
      <c r="B229" s="540">
        <v>43214</v>
      </c>
      <c r="C229" s="540" t="str">
        <f>MONTH(Table_NFI[[#This Row],[Distribution Date]]) &amp; "/" &amp; YEAR(Table_NFI[[#This Row],[Distribution Date]])</f>
        <v>4/2018</v>
      </c>
      <c r="D229" s="665" t="s">
        <v>825</v>
      </c>
      <c r="E229" s="665" t="s">
        <v>825</v>
      </c>
      <c r="F229" s="665" t="s">
        <v>378</v>
      </c>
      <c r="G229" s="197" t="s">
        <v>173</v>
      </c>
      <c r="H229" s="219" t="s">
        <v>1661</v>
      </c>
      <c r="I229" s="665"/>
      <c r="J229" s="665"/>
      <c r="K229" s="541"/>
      <c r="L229" s="665"/>
      <c r="M229" s="665">
        <v>46</v>
      </c>
      <c r="N229" s="665">
        <v>46</v>
      </c>
      <c r="O229" s="665"/>
      <c r="P229" s="665"/>
      <c r="Q229" s="665">
        <v>46</v>
      </c>
      <c r="R229" s="541"/>
      <c r="S229" s="665"/>
      <c r="T229" s="665"/>
      <c r="U229" s="541"/>
      <c r="V229" s="541"/>
      <c r="W229" s="541"/>
      <c r="X229" s="541"/>
      <c r="Y229" s="665"/>
      <c r="Z229" s="541"/>
      <c r="AA229" s="541"/>
      <c r="AB229" s="541"/>
      <c r="AC229" s="542" t="e">
        <f>IF(NFI_Expiration=1,IF(#REF!&lt;VLOOKUP(L$5,NFI,5,0),1,0)*Table_NFI[[#This Row],[NFI Core Kit]],Table_NFI[NFI Core Kit])</f>
        <v>#REF!</v>
      </c>
      <c r="AD229" s="542" t="e">
        <f>IF(NFI_Expiration=1,IF(#REF!&lt;VLOOKUP(M$5,NFI,5,0),1,0)*Table_NFI[[#This Row],[Sanitary Kit]],Table_NFI[Sanitary Kit])</f>
        <v>#REF!</v>
      </c>
      <c r="AE229" s="542" t="e">
        <f>IF(NFI_Expiration=1,IF(#REF!&lt;VLOOKUP(N$5,NFI,5,0),1,0)*Table_NFI[[#This Row],[Mosquito net]],Table_NFI[Mosquito net])</f>
        <v>#REF!</v>
      </c>
      <c r="AF229" s="542" t="e">
        <f>IF(NFI_Expiration=1,IF(#REF!&lt;VLOOKUP(O$5,NFI,5,0),1,0)*Table_NFI[[#This Row],[Tarpaulin]],Table_NFI[[#This Row],[Tarpaulin]])</f>
        <v>#REF!</v>
      </c>
      <c r="AG229" s="542" t="e">
        <f>IF(NFI_Expiration=1,IF(#REF!&lt;VLOOKUP(P$5,NFI,5,0),1,0)*Table_NFI[[#This Row],[Blanket]],Table_NFI[[#This Row],[Blanket]])</f>
        <v>#REF!</v>
      </c>
      <c r="AH229" s="542" t="e">
        <f>IF(NFI_Expiration=1,IF(#REF!&lt;VLOOKUP(Q$5,NFI,5,0),1,0)*Table_NFI[[#This Row],[Kitchen Set]],Table_NFI[Kitchen Set])</f>
        <v>#REF!</v>
      </c>
      <c r="AI229" s="542" t="e">
        <f>IF(NFI_Expiration=1,IF(#REF!&lt;VLOOKUP(R$5,NFI,5,0),1,0)*Table_NFI[[#This Row],[Clothes Kit]],Table_NFI[Clothes Kit])</f>
        <v>#REF!</v>
      </c>
      <c r="AJ229" s="542" t="e">
        <f>IF(NFI_Expiration=1,IF(#REF!&lt;VLOOKUP(S$5,NFI,5,0),1,0)*Table_NFI[[#This Row],[Plastic Bucket]],Table_NFI[Plastic Bucket])</f>
        <v>#REF!</v>
      </c>
      <c r="AK229" s="542" t="e">
        <f>IF(NFI_Expiration=1,IF(#REF!&lt;VLOOKUP(T$5,NFI,5,0),1,0)*Table_NFI[[#This Row],[Plastic Mat]],Table_NFI[Plastic Mat])*IF(Table_NFI[[#This Row],[Distribution Date]]&gt;"2014-04-01",1,2.5)</f>
        <v>#REF!</v>
      </c>
      <c r="AL229" s="542" t="e">
        <f>IF(NFI_Expiration=1,IF(#REF!&lt;VLOOKUP(U$5,NFI,5,0),1,0)*Table_NFI[[#This Row],[Winter Clothes Adult]],Table_NFI[Winter Clothes Adult])</f>
        <v>#REF!</v>
      </c>
      <c r="AM229" s="542"/>
      <c r="AN229" s="542"/>
      <c r="AO229" s="542"/>
      <c r="AP229" s="542">
        <f>IF(Table_NFI[[#This Row],[Winter Clothes Adult]]+Table_NFI[[#This Row],[Winter Clothes Children]]+Table_NFI[[#This Row],[Winter Items Other]]+Table_NFI[[#This Row],[Winter Blanket]]&gt;0,1,0)</f>
        <v>0</v>
      </c>
      <c r="AQ229" s="542"/>
      <c r="AR229" s="542"/>
      <c r="AS229" s="542"/>
      <c r="AT229" s="205" t="str">
        <f>IFERROR(VLOOKUP(Table_NFI[[#This Row],[Location]],CL,2,0),"")</f>
        <v>MMR001CMP259</v>
      </c>
      <c r="AU229" s="183"/>
    </row>
    <row r="230" spans="2:47" x14ac:dyDescent="0.25">
      <c r="B230" s="540">
        <v>43217</v>
      </c>
      <c r="C230" s="540" t="str">
        <f>MONTH(Table_NFI[[#This Row],[Distribution Date]]) &amp; "/" &amp; YEAR(Table_NFI[[#This Row],[Distribution Date]])</f>
        <v>4/2018</v>
      </c>
      <c r="D230" s="665" t="s">
        <v>825</v>
      </c>
      <c r="E230" s="665" t="s">
        <v>825</v>
      </c>
      <c r="F230" s="665" t="s">
        <v>378</v>
      </c>
      <c r="G230" s="197" t="s">
        <v>237</v>
      </c>
      <c r="H230" s="219" t="s">
        <v>1671</v>
      </c>
      <c r="I230" s="665"/>
      <c r="J230" s="665"/>
      <c r="K230" s="541"/>
      <c r="L230" s="665"/>
      <c r="M230" s="665">
        <v>179</v>
      </c>
      <c r="N230" s="665"/>
      <c r="O230" s="665"/>
      <c r="P230" s="665"/>
      <c r="Q230" s="665">
        <v>179</v>
      </c>
      <c r="R230" s="541"/>
      <c r="S230" s="665"/>
      <c r="T230" s="665"/>
      <c r="U230" s="541"/>
      <c r="V230" s="541"/>
      <c r="W230" s="541"/>
      <c r="X230" s="541"/>
      <c r="Y230" s="665">
        <v>179</v>
      </c>
      <c r="Z230" s="541"/>
      <c r="AA230" s="541"/>
      <c r="AB230" s="541"/>
      <c r="AC230" s="542" t="e">
        <f>IF(NFI_Expiration=1,IF(#REF!&lt;VLOOKUP(L$5,NFI,5,0),1,0)*Table_NFI[[#This Row],[NFI Core Kit]],Table_NFI[NFI Core Kit])</f>
        <v>#REF!</v>
      </c>
      <c r="AD230" s="542" t="e">
        <f>IF(NFI_Expiration=1,IF(#REF!&lt;VLOOKUP(M$5,NFI,5,0),1,0)*Table_NFI[[#This Row],[Sanitary Kit]],Table_NFI[Sanitary Kit])</f>
        <v>#REF!</v>
      </c>
      <c r="AE230" s="542" t="e">
        <f>IF(NFI_Expiration=1,IF(#REF!&lt;VLOOKUP(N$5,NFI,5,0),1,0)*Table_NFI[[#This Row],[Mosquito net]],Table_NFI[Mosquito net])</f>
        <v>#REF!</v>
      </c>
      <c r="AF230" s="542" t="e">
        <f>IF(NFI_Expiration=1,IF(#REF!&lt;VLOOKUP(O$5,NFI,5,0),1,0)*Table_NFI[[#This Row],[Tarpaulin]],Table_NFI[[#This Row],[Tarpaulin]])</f>
        <v>#REF!</v>
      </c>
      <c r="AG230" s="542" t="e">
        <f>IF(NFI_Expiration=1,IF(#REF!&lt;VLOOKUP(P$5,NFI,5,0),1,0)*Table_NFI[[#This Row],[Blanket]],Table_NFI[[#This Row],[Blanket]])</f>
        <v>#REF!</v>
      </c>
      <c r="AH230" s="542" t="e">
        <f>IF(NFI_Expiration=1,IF(#REF!&lt;VLOOKUP(Q$5,NFI,5,0),1,0)*Table_NFI[[#This Row],[Kitchen Set]],Table_NFI[Kitchen Set])</f>
        <v>#REF!</v>
      </c>
      <c r="AI230" s="542" t="e">
        <f>IF(NFI_Expiration=1,IF(#REF!&lt;VLOOKUP(R$5,NFI,5,0),1,0)*Table_NFI[[#This Row],[Clothes Kit]],Table_NFI[Clothes Kit])</f>
        <v>#REF!</v>
      </c>
      <c r="AJ230" s="542" t="e">
        <f>IF(NFI_Expiration=1,IF(#REF!&lt;VLOOKUP(S$5,NFI,5,0),1,0)*Table_NFI[[#This Row],[Plastic Bucket]],Table_NFI[Plastic Bucket])</f>
        <v>#REF!</v>
      </c>
      <c r="AK230" s="542" t="e">
        <f>IF(NFI_Expiration=1,IF(#REF!&lt;VLOOKUP(T$5,NFI,5,0),1,0)*Table_NFI[[#This Row],[Plastic Mat]],Table_NFI[Plastic Mat])*IF(Table_NFI[[#This Row],[Distribution Date]]&gt;"2014-04-01",1,2.5)</f>
        <v>#REF!</v>
      </c>
      <c r="AL230" s="542" t="e">
        <f>IF(NFI_Expiration=1,IF(#REF!&lt;VLOOKUP(U$5,NFI,5,0),1,0)*Table_NFI[[#This Row],[Winter Clothes Adult]],Table_NFI[Winter Clothes Adult])</f>
        <v>#REF!</v>
      </c>
      <c r="AM230" s="542"/>
      <c r="AN230" s="542"/>
      <c r="AO230" s="542"/>
      <c r="AP230" s="542">
        <f>IF(Table_NFI[[#This Row],[Winter Clothes Adult]]+Table_NFI[[#This Row],[Winter Clothes Children]]+Table_NFI[[#This Row],[Winter Items Other]]+Table_NFI[[#This Row],[Winter Blanket]]&gt;0,1,0)</f>
        <v>0</v>
      </c>
      <c r="AQ230" s="542"/>
      <c r="AR230" s="542"/>
      <c r="AS230" s="542"/>
      <c r="AT230" s="205" t="str">
        <f>IFERROR(VLOOKUP(Table_NFI[[#This Row],[Location]],CL,2,0),"")</f>
        <v>MMR001CMP264</v>
      </c>
      <c r="AU230" s="183"/>
    </row>
    <row r="231" spans="2:47" x14ac:dyDescent="0.25">
      <c r="B231" s="540">
        <v>43217</v>
      </c>
      <c r="C231" s="540" t="str">
        <f>MONTH(Table_NFI[[#This Row],[Distribution Date]]) &amp; "/" &amp; YEAR(Table_NFI[[#This Row],[Distribution Date]])</f>
        <v>4/2018</v>
      </c>
      <c r="D231" s="665" t="s">
        <v>825</v>
      </c>
      <c r="E231" s="665" t="s">
        <v>825</v>
      </c>
      <c r="F231" s="665" t="s">
        <v>378</v>
      </c>
      <c r="G231" s="197" t="s">
        <v>237</v>
      </c>
      <c r="H231" s="219" t="s">
        <v>1697</v>
      </c>
      <c r="I231" s="665"/>
      <c r="J231" s="665"/>
      <c r="K231" s="541"/>
      <c r="L231" s="665"/>
      <c r="M231" s="665">
        <v>27</v>
      </c>
      <c r="N231" s="665"/>
      <c r="O231" s="665"/>
      <c r="P231" s="665"/>
      <c r="Q231" s="665">
        <v>27</v>
      </c>
      <c r="R231" s="541"/>
      <c r="S231" s="665"/>
      <c r="T231" s="665"/>
      <c r="U231" s="541"/>
      <c r="V231" s="541"/>
      <c r="W231" s="541"/>
      <c r="X231" s="541"/>
      <c r="Y231" s="665">
        <v>27</v>
      </c>
      <c r="Z231" s="541"/>
      <c r="AA231" s="541"/>
      <c r="AB231" s="541"/>
      <c r="AC231" s="542" t="e">
        <f>IF(NFI_Expiration=1,IF(#REF!&lt;VLOOKUP(L$5,NFI,5,0),1,0)*Table_NFI[[#This Row],[NFI Core Kit]],Table_NFI[NFI Core Kit])</f>
        <v>#REF!</v>
      </c>
      <c r="AD231" s="542" t="e">
        <f>IF(NFI_Expiration=1,IF(#REF!&lt;VLOOKUP(M$5,NFI,5,0),1,0)*Table_NFI[[#This Row],[Sanitary Kit]],Table_NFI[Sanitary Kit])</f>
        <v>#REF!</v>
      </c>
      <c r="AE231" s="542" t="e">
        <f>IF(NFI_Expiration=1,IF(#REF!&lt;VLOOKUP(N$5,NFI,5,0),1,0)*Table_NFI[[#This Row],[Mosquito net]],Table_NFI[Mosquito net])</f>
        <v>#REF!</v>
      </c>
      <c r="AF231" s="542" t="e">
        <f>IF(NFI_Expiration=1,IF(#REF!&lt;VLOOKUP(O$5,NFI,5,0),1,0)*Table_NFI[[#This Row],[Tarpaulin]],Table_NFI[[#This Row],[Tarpaulin]])</f>
        <v>#REF!</v>
      </c>
      <c r="AG231" s="542" t="e">
        <f>IF(NFI_Expiration=1,IF(#REF!&lt;VLOOKUP(P$5,NFI,5,0),1,0)*Table_NFI[[#This Row],[Blanket]],Table_NFI[[#This Row],[Blanket]])</f>
        <v>#REF!</v>
      </c>
      <c r="AH231" s="542" t="e">
        <f>IF(NFI_Expiration=1,IF(#REF!&lt;VLOOKUP(Q$5,NFI,5,0),1,0)*Table_NFI[[#This Row],[Kitchen Set]],Table_NFI[Kitchen Set])</f>
        <v>#REF!</v>
      </c>
      <c r="AI231" s="542" t="e">
        <f>IF(NFI_Expiration=1,IF(#REF!&lt;VLOOKUP(R$5,NFI,5,0),1,0)*Table_NFI[[#This Row],[Clothes Kit]],Table_NFI[Clothes Kit])</f>
        <v>#REF!</v>
      </c>
      <c r="AJ231" s="542" t="e">
        <f>IF(NFI_Expiration=1,IF(#REF!&lt;VLOOKUP(S$5,NFI,5,0),1,0)*Table_NFI[[#This Row],[Plastic Bucket]],Table_NFI[Plastic Bucket])</f>
        <v>#REF!</v>
      </c>
      <c r="AK231" s="542" t="e">
        <f>IF(NFI_Expiration=1,IF(#REF!&lt;VLOOKUP(T$5,NFI,5,0),1,0)*Table_NFI[[#This Row],[Plastic Mat]],Table_NFI[Plastic Mat])*IF(Table_NFI[[#This Row],[Distribution Date]]&gt;"2014-04-01",1,2.5)</f>
        <v>#REF!</v>
      </c>
      <c r="AL231" s="542" t="e">
        <f>IF(NFI_Expiration=1,IF(#REF!&lt;VLOOKUP(U$5,NFI,5,0),1,0)*Table_NFI[[#This Row],[Winter Clothes Adult]],Table_NFI[Winter Clothes Adult])</f>
        <v>#REF!</v>
      </c>
      <c r="AM231" s="542"/>
      <c r="AN231" s="542"/>
      <c r="AO231" s="542"/>
      <c r="AP231" s="542">
        <f>IF(Table_NFI[[#This Row],[Winter Clothes Adult]]+Table_NFI[[#This Row],[Winter Clothes Children]]+Table_NFI[[#This Row],[Winter Items Other]]+Table_NFI[[#This Row],[Winter Blanket]]&gt;0,1,0)</f>
        <v>0</v>
      </c>
      <c r="AQ231" s="542"/>
      <c r="AR231" s="542"/>
      <c r="AS231" s="542"/>
      <c r="AT231" s="205" t="str">
        <f>IFERROR(VLOOKUP(Table_NFI[[#This Row],[Location]],CL,2,0),"")</f>
        <v>MMR001CMP267</v>
      </c>
      <c r="AU231" s="183"/>
    </row>
    <row r="232" spans="2:47" x14ac:dyDescent="0.25">
      <c r="B232" s="540">
        <v>43217</v>
      </c>
      <c r="C232" s="540" t="str">
        <f>MONTH(Table_NFI[[#This Row],[Distribution Date]]) &amp; "/" &amp; YEAR(Table_NFI[[#This Row],[Distribution Date]])</f>
        <v>4/2018</v>
      </c>
      <c r="D232" s="198" t="s">
        <v>778</v>
      </c>
      <c r="E232" s="198" t="s">
        <v>778</v>
      </c>
      <c r="F232" s="665" t="s">
        <v>378</v>
      </c>
      <c r="G232" s="197" t="s">
        <v>237</v>
      </c>
      <c r="H232" s="219" t="s">
        <v>1729</v>
      </c>
      <c r="I232" s="183"/>
      <c r="J232" s="541"/>
      <c r="K232" s="541"/>
      <c r="L232" s="541"/>
      <c r="M232" s="541"/>
      <c r="N232" s="541">
        <v>164</v>
      </c>
      <c r="O232" s="541"/>
      <c r="P232" s="541">
        <v>164</v>
      </c>
      <c r="Q232" s="541"/>
      <c r="R232" s="541"/>
      <c r="S232" s="541"/>
      <c r="T232" s="541">
        <v>164</v>
      </c>
      <c r="U232" s="541"/>
      <c r="V232" s="541"/>
      <c r="W232" s="541"/>
      <c r="X232" s="541"/>
      <c r="Y232" s="541"/>
      <c r="Z232" s="541"/>
      <c r="AA232" s="541"/>
      <c r="AB232" s="541"/>
      <c r="AC232" s="542" t="e">
        <f>IF(NFI_Expiration=1,IF(#REF!&lt;VLOOKUP(L$5,NFI,5,0),1,0)*Table_NFI[[#This Row],[NFI Core Kit]],Table_NFI[NFI Core Kit])</f>
        <v>#REF!</v>
      </c>
      <c r="AD232" s="542" t="e">
        <f>IF(NFI_Expiration=1,IF(#REF!&lt;VLOOKUP(M$5,NFI,5,0),1,0)*Table_NFI[[#This Row],[Sanitary Kit]],Table_NFI[Sanitary Kit])</f>
        <v>#REF!</v>
      </c>
      <c r="AE232" s="542" t="e">
        <f>IF(NFI_Expiration=1,IF(#REF!&lt;VLOOKUP(N$5,NFI,5,0),1,0)*Table_NFI[[#This Row],[Mosquito net]],Table_NFI[Mosquito net])</f>
        <v>#REF!</v>
      </c>
      <c r="AF232" s="542" t="e">
        <f>IF(NFI_Expiration=1,IF(#REF!&lt;VLOOKUP(O$5,NFI,5,0),1,0)*Table_NFI[[#This Row],[Tarpaulin]],Table_NFI[[#This Row],[Tarpaulin]])</f>
        <v>#REF!</v>
      </c>
      <c r="AG232" s="542" t="e">
        <f>IF(NFI_Expiration=1,IF(#REF!&lt;VLOOKUP(P$5,NFI,5,0),1,0)*Table_NFI[[#This Row],[Blanket]],Table_NFI[[#This Row],[Blanket]])</f>
        <v>#REF!</v>
      </c>
      <c r="AH232" s="542" t="e">
        <f>IF(NFI_Expiration=1,IF(#REF!&lt;VLOOKUP(Q$5,NFI,5,0),1,0)*Table_NFI[[#This Row],[Kitchen Set]],Table_NFI[Kitchen Set])</f>
        <v>#REF!</v>
      </c>
      <c r="AI232" s="542" t="e">
        <f>IF(NFI_Expiration=1,IF(#REF!&lt;VLOOKUP(R$5,NFI,5,0),1,0)*Table_NFI[[#This Row],[Clothes Kit]],Table_NFI[Clothes Kit])</f>
        <v>#REF!</v>
      </c>
      <c r="AJ232" s="542" t="e">
        <f>IF(NFI_Expiration=1,IF(#REF!&lt;VLOOKUP(S$5,NFI,5,0),1,0)*Table_NFI[[#This Row],[Plastic Bucket]],Table_NFI[Plastic Bucket])</f>
        <v>#REF!</v>
      </c>
      <c r="AK232" s="542" t="e">
        <f>IF(NFI_Expiration=1,IF(#REF!&lt;VLOOKUP(T$5,NFI,5,0),1,0)*Table_NFI[[#This Row],[Plastic Mat]],Table_NFI[Plastic Mat])*IF(Table_NFI[[#This Row],[Distribution Date]]&gt;"2014-04-01",1,2.5)</f>
        <v>#REF!</v>
      </c>
      <c r="AL232" s="542" t="e">
        <f>IF(NFI_Expiration=1,IF(#REF!&lt;VLOOKUP(U$5,NFI,5,0),1,0)*Table_NFI[[#This Row],[Winter Clothes Adult]],Table_NFI[Winter Clothes Adult])</f>
        <v>#REF!</v>
      </c>
      <c r="AM232" s="542"/>
      <c r="AN232" s="542"/>
      <c r="AO232" s="542"/>
      <c r="AP232" s="542">
        <f>IF(Table_NFI[[#This Row],[Winter Clothes Adult]]+Table_NFI[[#This Row],[Winter Clothes Children]]+Table_NFI[[#This Row],[Winter Items Other]]+Table_NFI[[#This Row],[Winter Blanket]]&gt;0,1,0)</f>
        <v>0</v>
      </c>
      <c r="AQ232" s="542"/>
      <c r="AR232" s="542"/>
      <c r="AS232" s="542"/>
      <c r="AT232" s="205" t="str">
        <f>IFERROR(VLOOKUP(Table_NFI[[#This Row],[Location]],CL,2,0),"")</f>
        <v>MMR001CMP263</v>
      </c>
      <c r="AU232" s="183"/>
    </row>
    <row r="233" spans="2:47" x14ac:dyDescent="0.25">
      <c r="B233" s="540">
        <v>43220</v>
      </c>
      <c r="C233" s="540" t="str">
        <f>MONTH(Table_NFI[[#This Row],[Distribution Date]]) &amp; "/" &amp; YEAR(Table_NFI[[#This Row],[Distribution Date]])</f>
        <v>4/2018</v>
      </c>
      <c r="D233" s="665" t="s">
        <v>1258</v>
      </c>
      <c r="E233" s="665"/>
      <c r="F233" s="198" t="s">
        <v>506</v>
      </c>
      <c r="G233" s="197" t="s">
        <v>146</v>
      </c>
      <c r="H233" s="219" t="s">
        <v>1615</v>
      </c>
      <c r="I233" s="665"/>
      <c r="J233" s="665"/>
      <c r="K233" s="541"/>
      <c r="L233" s="665"/>
      <c r="M233" s="665"/>
      <c r="N233" s="665"/>
      <c r="O233" s="665">
        <v>15</v>
      </c>
      <c r="P233" s="665"/>
      <c r="Q233" s="665"/>
      <c r="R233" s="541"/>
      <c r="S233" s="665"/>
      <c r="T233" s="665">
        <v>49</v>
      </c>
      <c r="U233" s="541"/>
      <c r="V233" s="541"/>
      <c r="W233" s="541"/>
      <c r="X233" s="541"/>
      <c r="Y233" s="665"/>
      <c r="Z233" s="541"/>
      <c r="AA233" s="541">
        <v>32</v>
      </c>
      <c r="AB233" s="541"/>
      <c r="AC233" s="542" t="e">
        <f>IF(NFI_Expiration=1,IF(#REF!&lt;VLOOKUP(L$5,NFI,5,0),1,0)*Table_NFI[[#This Row],[NFI Core Kit]],Table_NFI[NFI Core Kit])</f>
        <v>#REF!</v>
      </c>
      <c r="AD233" s="542" t="e">
        <f>IF(NFI_Expiration=1,IF(#REF!&lt;VLOOKUP(M$5,NFI,5,0),1,0)*Table_NFI[[#This Row],[Sanitary Kit]],Table_NFI[Sanitary Kit])</f>
        <v>#REF!</v>
      </c>
      <c r="AE233" s="542" t="e">
        <f>IF(NFI_Expiration=1,IF(#REF!&lt;VLOOKUP(N$5,NFI,5,0),1,0)*Table_NFI[[#This Row],[Mosquito net]],Table_NFI[Mosquito net])</f>
        <v>#REF!</v>
      </c>
      <c r="AF233" s="542" t="e">
        <f>IF(NFI_Expiration=1,IF(#REF!&lt;VLOOKUP(O$5,NFI,5,0),1,0)*Table_NFI[[#This Row],[Tarpaulin]],Table_NFI[[#This Row],[Tarpaulin]])</f>
        <v>#REF!</v>
      </c>
      <c r="AG233" s="542" t="e">
        <f>IF(NFI_Expiration=1,IF(#REF!&lt;VLOOKUP(P$5,NFI,5,0),1,0)*Table_NFI[[#This Row],[Blanket]],Table_NFI[[#This Row],[Blanket]])</f>
        <v>#REF!</v>
      </c>
      <c r="AH233" s="542" t="e">
        <f>IF(NFI_Expiration=1,IF(#REF!&lt;VLOOKUP(Q$5,NFI,5,0),1,0)*Table_NFI[[#This Row],[Kitchen Set]],Table_NFI[Kitchen Set])</f>
        <v>#REF!</v>
      </c>
      <c r="AI233" s="542" t="e">
        <f>IF(NFI_Expiration=1,IF(#REF!&lt;VLOOKUP(R$5,NFI,5,0),1,0)*Table_NFI[[#This Row],[Clothes Kit]],Table_NFI[Clothes Kit])</f>
        <v>#REF!</v>
      </c>
      <c r="AJ233" s="542" t="e">
        <f>IF(NFI_Expiration=1,IF(#REF!&lt;VLOOKUP(S$5,NFI,5,0),1,0)*Table_NFI[[#This Row],[Plastic Bucket]],Table_NFI[Plastic Bucket])</f>
        <v>#REF!</v>
      </c>
      <c r="AK233" s="542" t="e">
        <f>IF(NFI_Expiration=1,IF(#REF!&lt;VLOOKUP(T$5,NFI,5,0),1,0)*Table_NFI[[#This Row],[Plastic Mat]],Table_NFI[Plastic Mat])*IF(Table_NFI[[#This Row],[Distribution Date]]&gt;"2014-04-01",1,2.5)</f>
        <v>#REF!</v>
      </c>
      <c r="AL233" s="542" t="e">
        <f>IF(NFI_Expiration=1,IF(#REF!&lt;VLOOKUP(U$5,NFI,5,0),1,0)*Table_NFI[[#This Row],[Winter Clothes Adult]],Table_NFI[Winter Clothes Adult])</f>
        <v>#REF!</v>
      </c>
      <c r="AM233" s="542"/>
      <c r="AN233" s="542"/>
      <c r="AO233" s="542"/>
      <c r="AP233" s="542">
        <f>IF(Table_NFI[[#This Row],[Winter Clothes Adult]]+Table_NFI[[#This Row],[Winter Clothes Children]]+Table_NFI[[#This Row],[Winter Items Other]]+Table_NFI[[#This Row],[Winter Blanket]]&gt;0,1,0)</f>
        <v>0</v>
      </c>
      <c r="AQ233" s="542"/>
      <c r="AR233" s="542"/>
      <c r="AS233" s="542"/>
      <c r="AT233" s="205" t="str">
        <f>IFERROR(VLOOKUP(Table_NFI[[#This Row],[Location]],CL,2,0),"")</f>
        <v>MMR015CMP220</v>
      </c>
      <c r="AU233" s="183"/>
    </row>
    <row r="234" spans="2:47" x14ac:dyDescent="0.25">
      <c r="B234" s="540">
        <v>43221</v>
      </c>
      <c r="C234" s="540" t="str">
        <f>MONTH(Table_NFI[[#This Row],[Distribution Date]]) &amp; "/" &amp; YEAR(Table_NFI[[#This Row],[Distribution Date]])</f>
        <v>5/2018</v>
      </c>
      <c r="D234" s="665" t="s">
        <v>1258</v>
      </c>
      <c r="E234" s="665"/>
      <c r="F234" s="198" t="s">
        <v>506</v>
      </c>
      <c r="G234" s="197" t="s">
        <v>288</v>
      </c>
      <c r="H234" s="219" t="s">
        <v>1129</v>
      </c>
      <c r="I234" s="665"/>
      <c r="J234" s="665"/>
      <c r="K234" s="541"/>
      <c r="L234" s="665"/>
      <c r="M234" s="665"/>
      <c r="N234" s="665"/>
      <c r="O234" s="665">
        <v>32</v>
      </c>
      <c r="P234" s="665"/>
      <c r="Q234" s="665"/>
      <c r="R234" s="541"/>
      <c r="S234" s="665"/>
      <c r="T234" s="665">
        <v>109</v>
      </c>
      <c r="U234" s="541"/>
      <c r="V234" s="541"/>
      <c r="W234" s="541"/>
      <c r="X234" s="541"/>
      <c r="Y234" s="665"/>
      <c r="Z234" s="541"/>
      <c r="AA234" s="541"/>
      <c r="AB234" s="541"/>
      <c r="AC234" s="542" t="e">
        <f>IF(NFI_Expiration=1,IF(#REF!&lt;VLOOKUP(L$5,NFI,5,0),1,0)*Table_NFI[[#This Row],[NFI Core Kit]],Table_NFI[NFI Core Kit])</f>
        <v>#REF!</v>
      </c>
      <c r="AD234" s="542" t="e">
        <f>IF(NFI_Expiration=1,IF(#REF!&lt;VLOOKUP(M$5,NFI,5,0),1,0)*Table_NFI[[#This Row],[Sanitary Kit]],Table_NFI[Sanitary Kit])</f>
        <v>#REF!</v>
      </c>
      <c r="AE234" s="542" t="e">
        <f>IF(NFI_Expiration=1,IF(#REF!&lt;VLOOKUP(N$5,NFI,5,0),1,0)*Table_NFI[[#This Row],[Mosquito net]],Table_NFI[Mosquito net])</f>
        <v>#REF!</v>
      </c>
      <c r="AF234" s="542" t="e">
        <f>IF(NFI_Expiration=1,IF(#REF!&lt;VLOOKUP(O$5,NFI,5,0),1,0)*Table_NFI[[#This Row],[Tarpaulin]],Table_NFI[[#This Row],[Tarpaulin]])</f>
        <v>#REF!</v>
      </c>
      <c r="AG234" s="542" t="e">
        <f>IF(NFI_Expiration=1,IF(#REF!&lt;VLOOKUP(P$5,NFI,5,0),1,0)*Table_NFI[[#This Row],[Blanket]],Table_NFI[[#This Row],[Blanket]])</f>
        <v>#REF!</v>
      </c>
      <c r="AH234" s="542" t="e">
        <f>IF(NFI_Expiration=1,IF(#REF!&lt;VLOOKUP(Q$5,NFI,5,0),1,0)*Table_NFI[[#This Row],[Kitchen Set]],Table_NFI[Kitchen Set])</f>
        <v>#REF!</v>
      </c>
      <c r="AI234" s="542" t="e">
        <f>IF(NFI_Expiration=1,IF(#REF!&lt;VLOOKUP(R$5,NFI,5,0),1,0)*Table_NFI[[#This Row],[Clothes Kit]],Table_NFI[Clothes Kit])</f>
        <v>#REF!</v>
      </c>
      <c r="AJ234" s="542" t="e">
        <f>IF(NFI_Expiration=1,IF(#REF!&lt;VLOOKUP(S$5,NFI,5,0),1,0)*Table_NFI[[#This Row],[Plastic Bucket]],Table_NFI[Plastic Bucket])</f>
        <v>#REF!</v>
      </c>
      <c r="AK234" s="542" t="e">
        <f>IF(NFI_Expiration=1,IF(#REF!&lt;VLOOKUP(T$5,NFI,5,0),1,0)*Table_NFI[[#This Row],[Plastic Mat]],Table_NFI[Plastic Mat])*IF(Table_NFI[[#This Row],[Distribution Date]]&gt;"2014-04-01",1,2.5)</f>
        <v>#REF!</v>
      </c>
      <c r="AL234" s="542" t="e">
        <f>IF(NFI_Expiration=1,IF(#REF!&lt;VLOOKUP(U$5,NFI,5,0),1,0)*Table_NFI[[#This Row],[Winter Clothes Adult]],Table_NFI[Winter Clothes Adult])</f>
        <v>#REF!</v>
      </c>
      <c r="AM234" s="542"/>
      <c r="AN234" s="542"/>
      <c r="AO234" s="542"/>
      <c r="AP234" s="542">
        <f>IF(Table_NFI[[#This Row],[Winter Clothes Adult]]+Table_NFI[[#This Row],[Winter Clothes Children]]+Table_NFI[[#This Row],[Winter Items Other]]+Table_NFI[[#This Row],[Winter Blanket]]&gt;0,1,0)</f>
        <v>0</v>
      </c>
      <c r="AQ234" s="542"/>
      <c r="AR234" s="542"/>
      <c r="AS234" s="542"/>
      <c r="AT234" s="205" t="str">
        <f>IFERROR(VLOOKUP(Table_NFI[[#This Row],[Location]],CL,2,0),"")</f>
        <v>MMR015CMP224</v>
      </c>
      <c r="AU234" s="183"/>
    </row>
    <row r="235" spans="2:47" x14ac:dyDescent="0.25">
      <c r="B235" s="540">
        <v>43221</v>
      </c>
      <c r="C235" s="540" t="str">
        <f>MONTH(Table_NFI[[#This Row],[Distribution Date]]) &amp; "/" &amp; YEAR(Table_NFI[[#This Row],[Distribution Date]])</f>
        <v>5/2018</v>
      </c>
      <c r="D235" s="665" t="s">
        <v>1258</v>
      </c>
      <c r="E235" s="665"/>
      <c r="F235" s="198" t="s">
        <v>506</v>
      </c>
      <c r="G235" s="197" t="s">
        <v>288</v>
      </c>
      <c r="H235" s="219" t="s">
        <v>291</v>
      </c>
      <c r="I235" s="665"/>
      <c r="J235" s="665"/>
      <c r="K235" s="541"/>
      <c r="L235" s="665"/>
      <c r="M235" s="665"/>
      <c r="N235" s="665"/>
      <c r="O235" s="665">
        <v>26</v>
      </c>
      <c r="P235" s="665"/>
      <c r="Q235" s="665"/>
      <c r="R235" s="541"/>
      <c r="S235" s="665"/>
      <c r="T235" s="665">
        <v>26</v>
      </c>
      <c r="U235" s="541"/>
      <c r="V235" s="541"/>
      <c r="W235" s="541"/>
      <c r="X235" s="541"/>
      <c r="Y235" s="665"/>
      <c r="Z235" s="541"/>
      <c r="AA235" s="541"/>
      <c r="AB235" s="541"/>
      <c r="AC235" s="542" t="e">
        <f>IF(NFI_Expiration=1,IF(#REF!&lt;VLOOKUP(L$5,NFI,5,0),1,0)*Table_NFI[[#This Row],[NFI Core Kit]],Table_NFI[NFI Core Kit])</f>
        <v>#REF!</v>
      </c>
      <c r="AD235" s="542" t="e">
        <f>IF(NFI_Expiration=1,IF(#REF!&lt;VLOOKUP(M$5,NFI,5,0),1,0)*Table_NFI[[#This Row],[Sanitary Kit]],Table_NFI[Sanitary Kit])</f>
        <v>#REF!</v>
      </c>
      <c r="AE235" s="542" t="e">
        <f>IF(NFI_Expiration=1,IF(#REF!&lt;VLOOKUP(N$5,NFI,5,0),1,0)*Table_NFI[[#This Row],[Mosquito net]],Table_NFI[Mosquito net])</f>
        <v>#REF!</v>
      </c>
      <c r="AF235" s="542" t="e">
        <f>IF(NFI_Expiration=1,IF(#REF!&lt;VLOOKUP(O$5,NFI,5,0),1,0)*Table_NFI[[#This Row],[Tarpaulin]],Table_NFI[[#This Row],[Tarpaulin]])</f>
        <v>#REF!</v>
      </c>
      <c r="AG235" s="542" t="e">
        <f>IF(NFI_Expiration=1,IF(#REF!&lt;VLOOKUP(P$5,NFI,5,0),1,0)*Table_NFI[[#This Row],[Blanket]],Table_NFI[[#This Row],[Blanket]])</f>
        <v>#REF!</v>
      </c>
      <c r="AH235" s="542" t="e">
        <f>IF(NFI_Expiration=1,IF(#REF!&lt;VLOOKUP(Q$5,NFI,5,0),1,0)*Table_NFI[[#This Row],[Kitchen Set]],Table_NFI[Kitchen Set])</f>
        <v>#REF!</v>
      </c>
      <c r="AI235" s="542" t="e">
        <f>IF(NFI_Expiration=1,IF(#REF!&lt;VLOOKUP(R$5,NFI,5,0),1,0)*Table_NFI[[#This Row],[Clothes Kit]],Table_NFI[Clothes Kit])</f>
        <v>#REF!</v>
      </c>
      <c r="AJ235" s="542" t="e">
        <f>IF(NFI_Expiration=1,IF(#REF!&lt;VLOOKUP(S$5,NFI,5,0),1,0)*Table_NFI[[#This Row],[Plastic Bucket]],Table_NFI[Plastic Bucket])</f>
        <v>#REF!</v>
      </c>
      <c r="AK235" s="542" t="e">
        <f>IF(NFI_Expiration=1,IF(#REF!&lt;VLOOKUP(T$5,NFI,5,0),1,0)*Table_NFI[[#This Row],[Plastic Mat]],Table_NFI[Plastic Mat])*IF(Table_NFI[[#This Row],[Distribution Date]]&gt;"2014-04-01",1,2.5)</f>
        <v>#REF!</v>
      </c>
      <c r="AL235" s="542" t="e">
        <f>IF(NFI_Expiration=1,IF(#REF!&lt;VLOOKUP(U$5,NFI,5,0),1,0)*Table_NFI[[#This Row],[Winter Clothes Adult]],Table_NFI[Winter Clothes Adult])</f>
        <v>#REF!</v>
      </c>
      <c r="AM235" s="542"/>
      <c r="AN235" s="542"/>
      <c r="AO235" s="542"/>
      <c r="AP235" s="542">
        <f>IF(Table_NFI[[#This Row],[Winter Clothes Adult]]+Table_NFI[[#This Row],[Winter Clothes Children]]+Table_NFI[[#This Row],[Winter Items Other]]+Table_NFI[[#This Row],[Winter Blanket]]&gt;0,1,0)</f>
        <v>0</v>
      </c>
      <c r="AQ235" s="542"/>
      <c r="AR235" s="542"/>
      <c r="AS235" s="542"/>
      <c r="AT235" s="205" t="str">
        <f>IFERROR(VLOOKUP(Table_NFI[[#This Row],[Location]],CL,2,0),"")</f>
        <v>MMR015CMP004</v>
      </c>
      <c r="AU235" s="183"/>
    </row>
    <row r="236" spans="2:47" x14ac:dyDescent="0.25">
      <c r="B236" s="540">
        <v>43217</v>
      </c>
      <c r="C236" s="540" t="str">
        <f>MONTH(Table_NFI[[#This Row],[Distribution Date]]) &amp; "/" &amp; YEAR(Table_NFI[[#This Row],[Distribution Date]])</f>
        <v>4/2018</v>
      </c>
      <c r="D236" s="665" t="s">
        <v>825</v>
      </c>
      <c r="E236" s="665" t="s">
        <v>825</v>
      </c>
      <c r="F236" s="665" t="s">
        <v>378</v>
      </c>
      <c r="G236" s="197" t="s">
        <v>237</v>
      </c>
      <c r="H236" s="219" t="s">
        <v>1730</v>
      </c>
      <c r="I236" s="665"/>
      <c r="J236" s="665"/>
      <c r="K236" s="541"/>
      <c r="L236" s="665"/>
      <c r="M236" s="665">
        <v>103</v>
      </c>
      <c r="N236" s="665"/>
      <c r="O236" s="665"/>
      <c r="P236" s="665"/>
      <c r="Q236" s="665">
        <v>103</v>
      </c>
      <c r="R236" s="541"/>
      <c r="S236" s="665"/>
      <c r="T236" s="665"/>
      <c r="U236" s="541"/>
      <c r="V236" s="541"/>
      <c r="W236" s="541"/>
      <c r="X236" s="541"/>
      <c r="Y236" s="665">
        <v>103</v>
      </c>
      <c r="Z236" s="541"/>
      <c r="AA236" s="541"/>
      <c r="AB236" s="541"/>
      <c r="AC236" s="542" t="e">
        <f>IF(NFI_Expiration=1,IF(#REF!&lt;VLOOKUP(L$5,NFI,5,0),1,0)*Table_NFI[[#This Row],[NFI Core Kit]],Table_NFI[NFI Core Kit])</f>
        <v>#REF!</v>
      </c>
      <c r="AD236" s="542" t="e">
        <f>IF(NFI_Expiration=1,IF(#REF!&lt;VLOOKUP(M$5,NFI,5,0),1,0)*Table_NFI[[#This Row],[Sanitary Kit]],Table_NFI[Sanitary Kit])</f>
        <v>#REF!</v>
      </c>
      <c r="AE236" s="542" t="e">
        <f>IF(NFI_Expiration=1,IF(#REF!&lt;VLOOKUP(N$5,NFI,5,0),1,0)*Table_NFI[[#This Row],[Mosquito net]],Table_NFI[Mosquito net])</f>
        <v>#REF!</v>
      </c>
      <c r="AF236" s="542" t="e">
        <f>IF(NFI_Expiration=1,IF(#REF!&lt;VLOOKUP(O$5,NFI,5,0),1,0)*Table_NFI[[#This Row],[Tarpaulin]],Table_NFI[[#This Row],[Tarpaulin]])</f>
        <v>#REF!</v>
      </c>
      <c r="AG236" s="542" t="e">
        <f>IF(NFI_Expiration=1,IF(#REF!&lt;VLOOKUP(P$5,NFI,5,0),1,0)*Table_NFI[[#This Row],[Blanket]],Table_NFI[[#This Row],[Blanket]])</f>
        <v>#REF!</v>
      </c>
      <c r="AH236" s="542" t="e">
        <f>IF(NFI_Expiration=1,IF(#REF!&lt;VLOOKUP(Q$5,NFI,5,0),1,0)*Table_NFI[[#This Row],[Kitchen Set]],Table_NFI[Kitchen Set])</f>
        <v>#REF!</v>
      </c>
      <c r="AI236" s="542" t="e">
        <f>IF(NFI_Expiration=1,IF(#REF!&lt;VLOOKUP(R$5,NFI,5,0),1,0)*Table_NFI[[#This Row],[Clothes Kit]],Table_NFI[Clothes Kit])</f>
        <v>#REF!</v>
      </c>
      <c r="AJ236" s="542" t="e">
        <f>IF(NFI_Expiration=1,IF(#REF!&lt;VLOOKUP(S$5,NFI,5,0),1,0)*Table_NFI[[#This Row],[Plastic Bucket]],Table_NFI[Plastic Bucket])</f>
        <v>#REF!</v>
      </c>
      <c r="AK236" s="542" t="e">
        <f>IF(NFI_Expiration=1,IF(#REF!&lt;VLOOKUP(T$5,NFI,5,0),1,0)*Table_NFI[[#This Row],[Plastic Mat]],Table_NFI[Plastic Mat])*IF(Table_NFI[[#This Row],[Distribution Date]]&gt;"2014-04-01",1,2.5)</f>
        <v>#REF!</v>
      </c>
      <c r="AL236" s="542" t="e">
        <f>IF(NFI_Expiration=1,IF(#REF!&lt;VLOOKUP(U$5,NFI,5,0),1,0)*Table_NFI[[#This Row],[Winter Clothes Adult]],Table_NFI[Winter Clothes Adult])</f>
        <v>#REF!</v>
      </c>
      <c r="AM236" s="542"/>
      <c r="AN236" s="542"/>
      <c r="AO236" s="542"/>
      <c r="AP236" s="542">
        <f>IF(Table_NFI[[#This Row],[Winter Clothes Adult]]+Table_NFI[[#This Row],[Winter Clothes Children]]+Table_NFI[[#This Row],[Winter Items Other]]+Table_NFI[[#This Row],[Winter Blanket]]&gt;0,1,0)</f>
        <v>0</v>
      </c>
      <c r="AQ236" s="542"/>
      <c r="AR236" s="542"/>
      <c r="AS236" s="542"/>
      <c r="AT236" s="205" t="str">
        <f>IFERROR(VLOOKUP(Table_NFI[[#This Row],[Location]],CL,2,0),"")</f>
        <v/>
      </c>
      <c r="AU236" s="183"/>
    </row>
    <row r="237" spans="2:47" x14ac:dyDescent="0.25">
      <c r="B237" s="540">
        <v>43227</v>
      </c>
      <c r="C237" s="540" t="str">
        <f>MONTH(Table_NFI[[#This Row],[Distribution Date]]) &amp; "/" &amp; YEAR(Table_NFI[[#This Row],[Distribution Date]])</f>
        <v>5/2018</v>
      </c>
      <c r="D237" s="665" t="s">
        <v>778</v>
      </c>
      <c r="E237" s="665" t="s">
        <v>778</v>
      </c>
      <c r="F237" s="665" t="s">
        <v>378</v>
      </c>
      <c r="G237" s="197" t="s">
        <v>173</v>
      </c>
      <c r="H237" s="219" t="s">
        <v>1661</v>
      </c>
      <c r="I237" s="665"/>
      <c r="J237" s="665"/>
      <c r="K237" s="541"/>
      <c r="L237" s="665"/>
      <c r="M237" s="665"/>
      <c r="N237" s="665"/>
      <c r="O237" s="665"/>
      <c r="P237" s="665"/>
      <c r="Q237" s="665"/>
      <c r="R237" s="541"/>
      <c r="S237" s="665"/>
      <c r="T237" s="665"/>
      <c r="U237" s="541"/>
      <c r="V237" s="541"/>
      <c r="W237" s="541"/>
      <c r="X237" s="541"/>
      <c r="Y237" s="665"/>
      <c r="Z237" s="541">
        <v>57</v>
      </c>
      <c r="AA237" s="541"/>
      <c r="AB237" s="541"/>
      <c r="AC237" s="542" t="e">
        <f>IF(NFI_Expiration=1,IF(#REF!&lt;VLOOKUP(L$5,NFI,5,0),1,0)*Table_NFI[[#This Row],[NFI Core Kit]],Table_NFI[NFI Core Kit])</f>
        <v>#REF!</v>
      </c>
      <c r="AD237" s="542" t="e">
        <f>IF(NFI_Expiration=1,IF(#REF!&lt;VLOOKUP(M$5,NFI,5,0),1,0)*Table_NFI[[#This Row],[Sanitary Kit]],Table_NFI[Sanitary Kit])</f>
        <v>#REF!</v>
      </c>
      <c r="AE237" s="542" t="e">
        <f>IF(NFI_Expiration=1,IF(#REF!&lt;VLOOKUP(N$5,NFI,5,0),1,0)*Table_NFI[[#This Row],[Mosquito net]],Table_NFI[Mosquito net])</f>
        <v>#REF!</v>
      </c>
      <c r="AF237" s="542" t="e">
        <f>IF(NFI_Expiration=1,IF(#REF!&lt;VLOOKUP(O$5,NFI,5,0),1,0)*Table_NFI[[#This Row],[Tarpaulin]],Table_NFI[[#This Row],[Tarpaulin]])</f>
        <v>#REF!</v>
      </c>
      <c r="AG237" s="542" t="e">
        <f>IF(NFI_Expiration=1,IF(#REF!&lt;VLOOKUP(P$5,NFI,5,0),1,0)*Table_NFI[[#This Row],[Blanket]],Table_NFI[[#This Row],[Blanket]])</f>
        <v>#REF!</v>
      </c>
      <c r="AH237" s="542" t="e">
        <f>IF(NFI_Expiration=1,IF(#REF!&lt;VLOOKUP(Q$5,NFI,5,0),1,0)*Table_NFI[[#This Row],[Kitchen Set]],Table_NFI[Kitchen Set])</f>
        <v>#REF!</v>
      </c>
      <c r="AI237" s="542" t="e">
        <f>IF(NFI_Expiration=1,IF(#REF!&lt;VLOOKUP(R$5,NFI,5,0),1,0)*Table_NFI[[#This Row],[Clothes Kit]],Table_NFI[Clothes Kit])</f>
        <v>#REF!</v>
      </c>
      <c r="AJ237" s="542" t="e">
        <f>IF(NFI_Expiration=1,IF(#REF!&lt;VLOOKUP(S$5,NFI,5,0),1,0)*Table_NFI[[#This Row],[Plastic Bucket]],Table_NFI[Plastic Bucket])</f>
        <v>#REF!</v>
      </c>
      <c r="AK237" s="542" t="e">
        <f>IF(NFI_Expiration=1,IF(#REF!&lt;VLOOKUP(T$5,NFI,5,0),1,0)*Table_NFI[[#This Row],[Plastic Mat]],Table_NFI[Plastic Mat])*IF(Table_NFI[[#This Row],[Distribution Date]]&gt;"2014-04-01",1,2.5)</f>
        <v>#REF!</v>
      </c>
      <c r="AL237" s="542" t="e">
        <f>IF(NFI_Expiration=1,IF(#REF!&lt;VLOOKUP(U$5,NFI,5,0),1,0)*Table_NFI[[#This Row],[Winter Clothes Adult]],Table_NFI[Winter Clothes Adult])</f>
        <v>#REF!</v>
      </c>
      <c r="AM237" s="542"/>
      <c r="AN237" s="542"/>
      <c r="AO237" s="542"/>
      <c r="AP237" s="542">
        <f>IF(Table_NFI[[#This Row],[Winter Clothes Adult]]+Table_NFI[[#This Row],[Winter Clothes Children]]+Table_NFI[[#This Row],[Winter Items Other]]+Table_NFI[[#This Row],[Winter Blanket]]&gt;0,1,0)</f>
        <v>0</v>
      </c>
      <c r="AQ237" s="542"/>
      <c r="AR237" s="542"/>
      <c r="AS237" s="542"/>
      <c r="AT237" s="205" t="str">
        <f>IFERROR(VLOOKUP(Table_NFI[[#This Row],[Location]],CL,2,0),"")</f>
        <v>MMR001CMP259</v>
      </c>
      <c r="AU237" s="183"/>
    </row>
    <row r="238" spans="2:47" x14ac:dyDescent="0.25">
      <c r="B238" s="540">
        <v>43227</v>
      </c>
      <c r="C238" s="540" t="str">
        <f>MONTH(Table_NFI[[#This Row],[Distribution Date]]) &amp; "/" &amp; YEAR(Table_NFI[[#This Row],[Distribution Date]])</f>
        <v>5/2018</v>
      </c>
      <c r="D238" s="665" t="s">
        <v>778</v>
      </c>
      <c r="E238" s="665" t="s">
        <v>778</v>
      </c>
      <c r="F238" s="665" t="s">
        <v>378</v>
      </c>
      <c r="G238" s="197" t="s">
        <v>173</v>
      </c>
      <c r="H238" s="219" t="s">
        <v>1728</v>
      </c>
      <c r="I238" s="665"/>
      <c r="J238" s="665"/>
      <c r="K238" s="541"/>
      <c r="L238" s="665"/>
      <c r="M238" s="665"/>
      <c r="N238" s="665"/>
      <c r="O238" s="665"/>
      <c r="P238" s="665"/>
      <c r="Q238" s="665"/>
      <c r="R238" s="541"/>
      <c r="S238" s="665"/>
      <c r="T238" s="665"/>
      <c r="U238" s="541"/>
      <c r="V238" s="541"/>
      <c r="W238" s="541"/>
      <c r="X238" s="541"/>
      <c r="Y238" s="665"/>
      <c r="Z238" s="541">
        <v>120</v>
      </c>
      <c r="AA238" s="541"/>
      <c r="AB238" s="541"/>
      <c r="AC238" s="542" t="e">
        <f>IF(NFI_Expiration=1,IF(#REF!&lt;VLOOKUP(L$5,NFI,5,0),1,0)*Table_NFI[[#This Row],[NFI Core Kit]],Table_NFI[NFI Core Kit])</f>
        <v>#REF!</v>
      </c>
      <c r="AD238" s="542" t="e">
        <f>IF(NFI_Expiration=1,IF(#REF!&lt;VLOOKUP(M$5,NFI,5,0),1,0)*Table_NFI[[#This Row],[Sanitary Kit]],Table_NFI[Sanitary Kit])</f>
        <v>#REF!</v>
      </c>
      <c r="AE238" s="542" t="e">
        <f>IF(NFI_Expiration=1,IF(#REF!&lt;VLOOKUP(N$5,NFI,5,0),1,0)*Table_NFI[[#This Row],[Mosquito net]],Table_NFI[Mosquito net])</f>
        <v>#REF!</v>
      </c>
      <c r="AF238" s="542" t="e">
        <f>IF(NFI_Expiration=1,IF(#REF!&lt;VLOOKUP(O$5,NFI,5,0),1,0)*Table_NFI[[#This Row],[Tarpaulin]],Table_NFI[[#This Row],[Tarpaulin]])</f>
        <v>#REF!</v>
      </c>
      <c r="AG238" s="542" t="e">
        <f>IF(NFI_Expiration=1,IF(#REF!&lt;VLOOKUP(P$5,NFI,5,0),1,0)*Table_NFI[[#This Row],[Blanket]],Table_NFI[[#This Row],[Blanket]])</f>
        <v>#REF!</v>
      </c>
      <c r="AH238" s="542" t="e">
        <f>IF(NFI_Expiration=1,IF(#REF!&lt;VLOOKUP(Q$5,NFI,5,0),1,0)*Table_NFI[[#This Row],[Kitchen Set]],Table_NFI[Kitchen Set])</f>
        <v>#REF!</v>
      </c>
      <c r="AI238" s="542" t="e">
        <f>IF(NFI_Expiration=1,IF(#REF!&lt;VLOOKUP(R$5,NFI,5,0),1,0)*Table_NFI[[#This Row],[Clothes Kit]],Table_NFI[Clothes Kit])</f>
        <v>#REF!</v>
      </c>
      <c r="AJ238" s="542" t="e">
        <f>IF(NFI_Expiration=1,IF(#REF!&lt;VLOOKUP(S$5,NFI,5,0),1,0)*Table_NFI[[#This Row],[Plastic Bucket]],Table_NFI[Plastic Bucket])</f>
        <v>#REF!</v>
      </c>
      <c r="AK238" s="542" t="e">
        <f>IF(NFI_Expiration=1,IF(#REF!&lt;VLOOKUP(T$5,NFI,5,0),1,0)*Table_NFI[[#This Row],[Plastic Mat]],Table_NFI[Plastic Mat])*IF(Table_NFI[[#This Row],[Distribution Date]]&gt;"2014-04-01",1,2.5)</f>
        <v>#REF!</v>
      </c>
      <c r="AL238" s="542" t="e">
        <f>IF(NFI_Expiration=1,IF(#REF!&lt;VLOOKUP(U$5,NFI,5,0),1,0)*Table_NFI[[#This Row],[Winter Clothes Adult]],Table_NFI[Winter Clothes Adult])</f>
        <v>#REF!</v>
      </c>
      <c r="AM238" s="542"/>
      <c r="AN238" s="542"/>
      <c r="AO238" s="542"/>
      <c r="AP238" s="542">
        <f>IF(Table_NFI[[#This Row],[Winter Clothes Adult]]+Table_NFI[[#This Row],[Winter Clothes Children]]+Table_NFI[[#This Row],[Winter Items Other]]+Table_NFI[[#This Row],[Winter Blanket]]&gt;0,1,0)</f>
        <v>0</v>
      </c>
      <c r="AQ238" s="542"/>
      <c r="AR238" s="542"/>
      <c r="AS238" s="542"/>
      <c r="AT238" s="205" t="str">
        <f>IFERROR(VLOOKUP(Table_NFI[[#This Row],[Location]],CL,2,0),"")</f>
        <v>MMR001CMP261</v>
      </c>
      <c r="AU238" s="183"/>
    </row>
    <row r="239" spans="2:47" x14ac:dyDescent="0.25">
      <c r="B239" s="540">
        <v>43227</v>
      </c>
      <c r="C239" s="540" t="str">
        <f>MONTH(Table_NFI[[#This Row],[Distribution Date]]) &amp; "/" &amp; YEAR(Table_NFI[[#This Row],[Distribution Date]])</f>
        <v>5/2018</v>
      </c>
      <c r="D239" s="665" t="s">
        <v>778</v>
      </c>
      <c r="E239" s="665" t="s">
        <v>778</v>
      </c>
      <c r="F239" s="665" t="s">
        <v>378</v>
      </c>
      <c r="G239" s="197" t="s">
        <v>173</v>
      </c>
      <c r="H239" s="219" t="s">
        <v>1662</v>
      </c>
      <c r="I239" s="665"/>
      <c r="J239" s="665"/>
      <c r="K239" s="541"/>
      <c r="L239" s="665"/>
      <c r="M239" s="665"/>
      <c r="N239" s="665"/>
      <c r="O239" s="665"/>
      <c r="P239" s="665"/>
      <c r="Q239" s="665"/>
      <c r="R239" s="541"/>
      <c r="S239" s="665"/>
      <c r="T239" s="665"/>
      <c r="U239" s="541"/>
      <c r="V239" s="541"/>
      <c r="W239" s="541"/>
      <c r="X239" s="541"/>
      <c r="Y239" s="665"/>
      <c r="Z239" s="541">
        <v>89</v>
      </c>
      <c r="AA239" s="541"/>
      <c r="AB239" s="541"/>
      <c r="AC239" s="542" t="e">
        <f>IF(NFI_Expiration=1,IF(#REF!&lt;VLOOKUP(L$5,NFI,5,0),1,0)*Table_NFI[[#This Row],[NFI Core Kit]],Table_NFI[NFI Core Kit])</f>
        <v>#REF!</v>
      </c>
      <c r="AD239" s="542" t="e">
        <f>IF(NFI_Expiration=1,IF(#REF!&lt;VLOOKUP(M$5,NFI,5,0),1,0)*Table_NFI[[#This Row],[Sanitary Kit]],Table_NFI[Sanitary Kit])</f>
        <v>#REF!</v>
      </c>
      <c r="AE239" s="542" t="e">
        <f>IF(NFI_Expiration=1,IF(#REF!&lt;VLOOKUP(N$5,NFI,5,0),1,0)*Table_NFI[[#This Row],[Mosquito net]],Table_NFI[Mosquito net])</f>
        <v>#REF!</v>
      </c>
      <c r="AF239" s="542" t="e">
        <f>IF(NFI_Expiration=1,IF(#REF!&lt;VLOOKUP(O$5,NFI,5,0),1,0)*Table_NFI[[#This Row],[Tarpaulin]],Table_NFI[[#This Row],[Tarpaulin]])</f>
        <v>#REF!</v>
      </c>
      <c r="AG239" s="542" t="e">
        <f>IF(NFI_Expiration=1,IF(#REF!&lt;VLOOKUP(P$5,NFI,5,0),1,0)*Table_NFI[[#This Row],[Blanket]],Table_NFI[[#This Row],[Blanket]])</f>
        <v>#REF!</v>
      </c>
      <c r="AH239" s="542" t="e">
        <f>IF(NFI_Expiration=1,IF(#REF!&lt;VLOOKUP(Q$5,NFI,5,0),1,0)*Table_NFI[[#This Row],[Kitchen Set]],Table_NFI[Kitchen Set])</f>
        <v>#REF!</v>
      </c>
      <c r="AI239" s="542" t="e">
        <f>IF(NFI_Expiration=1,IF(#REF!&lt;VLOOKUP(R$5,NFI,5,0),1,0)*Table_NFI[[#This Row],[Clothes Kit]],Table_NFI[Clothes Kit])</f>
        <v>#REF!</v>
      </c>
      <c r="AJ239" s="542" t="e">
        <f>IF(NFI_Expiration=1,IF(#REF!&lt;VLOOKUP(S$5,NFI,5,0),1,0)*Table_NFI[[#This Row],[Plastic Bucket]],Table_NFI[Plastic Bucket])</f>
        <v>#REF!</v>
      </c>
      <c r="AK239" s="542" t="e">
        <f>IF(NFI_Expiration=1,IF(#REF!&lt;VLOOKUP(T$5,NFI,5,0),1,0)*Table_NFI[[#This Row],[Plastic Mat]],Table_NFI[Plastic Mat])*IF(Table_NFI[[#This Row],[Distribution Date]]&gt;"2014-04-01",1,2.5)</f>
        <v>#REF!</v>
      </c>
      <c r="AL239" s="542" t="e">
        <f>IF(NFI_Expiration=1,IF(#REF!&lt;VLOOKUP(U$5,NFI,5,0),1,0)*Table_NFI[[#This Row],[Winter Clothes Adult]],Table_NFI[Winter Clothes Adult])</f>
        <v>#REF!</v>
      </c>
      <c r="AM239" s="542"/>
      <c r="AN239" s="542"/>
      <c r="AO239" s="542"/>
      <c r="AP239" s="542">
        <f>IF(Table_NFI[[#This Row],[Winter Clothes Adult]]+Table_NFI[[#This Row],[Winter Clothes Children]]+Table_NFI[[#This Row],[Winter Items Other]]+Table_NFI[[#This Row],[Winter Blanket]]&gt;0,1,0)</f>
        <v>0</v>
      </c>
      <c r="AQ239" s="542"/>
      <c r="AR239" s="542"/>
      <c r="AS239" s="542"/>
      <c r="AT239" s="205" t="str">
        <f>IFERROR(VLOOKUP(Table_NFI[[#This Row],[Location]],CL,2,0),"")</f>
        <v>MMR001CMP260</v>
      </c>
      <c r="AU239" s="183"/>
    </row>
    <row r="240" spans="2:47" x14ac:dyDescent="0.25">
      <c r="B240" s="540">
        <v>43227</v>
      </c>
      <c r="C240" s="540" t="str">
        <f>MONTH(Table_NFI[[#This Row],[Distribution Date]]) &amp; "/" &amp; YEAR(Table_NFI[[#This Row],[Distribution Date]])</f>
        <v>5/2018</v>
      </c>
      <c r="D240" s="665" t="s">
        <v>778</v>
      </c>
      <c r="E240" s="665" t="s">
        <v>778</v>
      </c>
      <c r="F240" s="665" t="s">
        <v>378</v>
      </c>
      <c r="G240" s="197" t="s">
        <v>173</v>
      </c>
      <c r="H240" s="219" t="s">
        <v>1665</v>
      </c>
      <c r="I240" s="665"/>
      <c r="J240" s="665"/>
      <c r="K240" s="541"/>
      <c r="L240" s="665"/>
      <c r="M240" s="665"/>
      <c r="N240" s="665"/>
      <c r="O240" s="665"/>
      <c r="P240" s="665"/>
      <c r="Q240" s="665"/>
      <c r="R240" s="541"/>
      <c r="S240" s="665"/>
      <c r="T240" s="665"/>
      <c r="U240" s="541"/>
      <c r="V240" s="541"/>
      <c r="W240" s="541"/>
      <c r="X240" s="541"/>
      <c r="Y240" s="665"/>
      <c r="Z240" s="541">
        <v>26</v>
      </c>
      <c r="AA240" s="541"/>
      <c r="AB240" s="541"/>
      <c r="AC240" s="542" t="e">
        <f>IF(NFI_Expiration=1,IF(#REF!&lt;VLOOKUP(L$5,NFI,5,0),1,0)*Table_NFI[[#This Row],[NFI Core Kit]],Table_NFI[NFI Core Kit])</f>
        <v>#REF!</v>
      </c>
      <c r="AD240" s="542" t="e">
        <f>IF(NFI_Expiration=1,IF(#REF!&lt;VLOOKUP(M$5,NFI,5,0),1,0)*Table_NFI[[#This Row],[Sanitary Kit]],Table_NFI[Sanitary Kit])</f>
        <v>#REF!</v>
      </c>
      <c r="AE240" s="542" t="e">
        <f>IF(NFI_Expiration=1,IF(#REF!&lt;VLOOKUP(N$5,NFI,5,0),1,0)*Table_NFI[[#This Row],[Mosquito net]],Table_NFI[Mosquito net])</f>
        <v>#REF!</v>
      </c>
      <c r="AF240" s="542" t="e">
        <f>IF(NFI_Expiration=1,IF(#REF!&lt;VLOOKUP(O$5,NFI,5,0),1,0)*Table_NFI[[#This Row],[Tarpaulin]],Table_NFI[[#This Row],[Tarpaulin]])</f>
        <v>#REF!</v>
      </c>
      <c r="AG240" s="542" t="e">
        <f>IF(NFI_Expiration=1,IF(#REF!&lt;VLOOKUP(P$5,NFI,5,0),1,0)*Table_NFI[[#This Row],[Blanket]],Table_NFI[[#This Row],[Blanket]])</f>
        <v>#REF!</v>
      </c>
      <c r="AH240" s="542" t="e">
        <f>IF(NFI_Expiration=1,IF(#REF!&lt;VLOOKUP(Q$5,NFI,5,0),1,0)*Table_NFI[[#This Row],[Kitchen Set]],Table_NFI[Kitchen Set])</f>
        <v>#REF!</v>
      </c>
      <c r="AI240" s="542" t="e">
        <f>IF(NFI_Expiration=1,IF(#REF!&lt;VLOOKUP(R$5,NFI,5,0),1,0)*Table_NFI[[#This Row],[Clothes Kit]],Table_NFI[Clothes Kit])</f>
        <v>#REF!</v>
      </c>
      <c r="AJ240" s="542" t="e">
        <f>IF(NFI_Expiration=1,IF(#REF!&lt;VLOOKUP(S$5,NFI,5,0),1,0)*Table_NFI[[#This Row],[Plastic Bucket]],Table_NFI[Plastic Bucket])</f>
        <v>#REF!</v>
      </c>
      <c r="AK240" s="542" t="e">
        <f>IF(NFI_Expiration=1,IF(#REF!&lt;VLOOKUP(T$5,NFI,5,0),1,0)*Table_NFI[[#This Row],[Plastic Mat]],Table_NFI[Plastic Mat])*IF(Table_NFI[[#This Row],[Distribution Date]]&gt;"2014-04-01",1,2.5)</f>
        <v>#REF!</v>
      </c>
      <c r="AL240" s="542" t="e">
        <f>IF(NFI_Expiration=1,IF(#REF!&lt;VLOOKUP(U$5,NFI,5,0),1,0)*Table_NFI[[#This Row],[Winter Clothes Adult]],Table_NFI[Winter Clothes Adult])</f>
        <v>#REF!</v>
      </c>
      <c r="AM240" s="542"/>
      <c r="AN240" s="542"/>
      <c r="AO240" s="542"/>
      <c r="AP240" s="542">
        <f>IF(Table_NFI[[#This Row],[Winter Clothes Adult]]+Table_NFI[[#This Row],[Winter Clothes Children]]+Table_NFI[[#This Row],[Winter Items Other]]+Table_NFI[[#This Row],[Winter Blanket]]&gt;0,1,0)</f>
        <v>0</v>
      </c>
      <c r="AQ240" s="542"/>
      <c r="AR240" s="542"/>
      <c r="AS240" s="542"/>
      <c r="AT240" s="205" t="str">
        <f>IFERROR(VLOOKUP(Table_NFI[[#This Row],[Location]],CL,2,0),"")</f>
        <v>MMR001CMP262</v>
      </c>
      <c r="AU240" s="183"/>
    </row>
    <row r="241" spans="2:47" x14ac:dyDescent="0.25">
      <c r="B241" s="540">
        <v>43243</v>
      </c>
      <c r="C241" s="540" t="str">
        <f>MONTH(Table_NFI[[#This Row],[Distribution Date]]) &amp; "/" &amp; YEAR(Table_NFI[[#This Row],[Distribution Date]])</f>
        <v>5/2018</v>
      </c>
      <c r="D241" s="665" t="s">
        <v>778</v>
      </c>
      <c r="E241" s="665" t="s">
        <v>778</v>
      </c>
      <c r="F241" s="665" t="s">
        <v>378</v>
      </c>
      <c r="G241" s="197" t="s">
        <v>237</v>
      </c>
      <c r="H241" s="219" t="s">
        <v>1671</v>
      </c>
      <c r="I241" s="665"/>
      <c r="J241" s="665"/>
      <c r="K241" s="541"/>
      <c r="L241" s="665"/>
      <c r="M241" s="665"/>
      <c r="N241" s="665"/>
      <c r="O241" s="665"/>
      <c r="P241" s="665"/>
      <c r="Q241" s="665"/>
      <c r="R241" s="541"/>
      <c r="S241" s="665"/>
      <c r="T241" s="665"/>
      <c r="U241" s="541"/>
      <c r="V241" s="541"/>
      <c r="W241" s="541"/>
      <c r="X241" s="541"/>
      <c r="Y241" s="665"/>
      <c r="Z241" s="541">
        <v>386</v>
      </c>
      <c r="AA241" s="541"/>
      <c r="AB241" s="541"/>
      <c r="AC241" s="542" t="e">
        <f>IF(NFI_Expiration=1,IF(#REF!&lt;VLOOKUP(L$5,NFI,5,0),1,0)*Table_NFI[[#This Row],[NFI Core Kit]],Table_NFI[NFI Core Kit])</f>
        <v>#REF!</v>
      </c>
      <c r="AD241" s="542" t="e">
        <f>IF(NFI_Expiration=1,IF(#REF!&lt;VLOOKUP(M$5,NFI,5,0),1,0)*Table_NFI[[#This Row],[Sanitary Kit]],Table_NFI[Sanitary Kit])</f>
        <v>#REF!</v>
      </c>
      <c r="AE241" s="542" t="e">
        <f>IF(NFI_Expiration=1,IF(#REF!&lt;VLOOKUP(N$5,NFI,5,0),1,0)*Table_NFI[[#This Row],[Mosquito net]],Table_NFI[Mosquito net])</f>
        <v>#REF!</v>
      </c>
      <c r="AF241" s="542" t="e">
        <f>IF(NFI_Expiration=1,IF(#REF!&lt;VLOOKUP(O$5,NFI,5,0),1,0)*Table_NFI[[#This Row],[Tarpaulin]],Table_NFI[[#This Row],[Tarpaulin]])</f>
        <v>#REF!</v>
      </c>
      <c r="AG241" s="542" t="e">
        <f>IF(NFI_Expiration=1,IF(#REF!&lt;VLOOKUP(P$5,NFI,5,0),1,0)*Table_NFI[[#This Row],[Blanket]],Table_NFI[[#This Row],[Blanket]])</f>
        <v>#REF!</v>
      </c>
      <c r="AH241" s="542" t="e">
        <f>IF(NFI_Expiration=1,IF(#REF!&lt;VLOOKUP(Q$5,NFI,5,0),1,0)*Table_NFI[[#This Row],[Kitchen Set]],Table_NFI[Kitchen Set])</f>
        <v>#REF!</v>
      </c>
      <c r="AI241" s="542" t="e">
        <f>IF(NFI_Expiration=1,IF(#REF!&lt;VLOOKUP(R$5,NFI,5,0),1,0)*Table_NFI[[#This Row],[Clothes Kit]],Table_NFI[Clothes Kit])</f>
        <v>#REF!</v>
      </c>
      <c r="AJ241" s="542" t="e">
        <f>IF(NFI_Expiration=1,IF(#REF!&lt;VLOOKUP(S$5,NFI,5,0),1,0)*Table_NFI[[#This Row],[Plastic Bucket]],Table_NFI[Plastic Bucket])</f>
        <v>#REF!</v>
      </c>
      <c r="AK241" s="542" t="e">
        <f>IF(NFI_Expiration=1,IF(#REF!&lt;VLOOKUP(T$5,NFI,5,0),1,0)*Table_NFI[[#This Row],[Plastic Mat]],Table_NFI[Plastic Mat])*IF(Table_NFI[[#This Row],[Distribution Date]]&gt;"2014-04-01",1,2.5)</f>
        <v>#REF!</v>
      </c>
      <c r="AL241" s="542" t="e">
        <f>IF(NFI_Expiration=1,IF(#REF!&lt;VLOOKUP(U$5,NFI,5,0),1,0)*Table_NFI[[#This Row],[Winter Clothes Adult]],Table_NFI[Winter Clothes Adult])</f>
        <v>#REF!</v>
      </c>
      <c r="AM241" s="542"/>
      <c r="AN241" s="542"/>
      <c r="AO241" s="542"/>
      <c r="AP241" s="542">
        <f>IF(Table_NFI[[#This Row],[Winter Clothes Adult]]+Table_NFI[[#This Row],[Winter Clothes Children]]+Table_NFI[[#This Row],[Winter Items Other]]+Table_NFI[[#This Row],[Winter Blanket]]&gt;0,1,0)</f>
        <v>0</v>
      </c>
      <c r="AQ241" s="542"/>
      <c r="AR241" s="542"/>
      <c r="AS241" s="542"/>
      <c r="AT241" s="205" t="str">
        <f>IFERROR(VLOOKUP(Table_NFI[[#This Row],[Location]],CL,2,0),"")</f>
        <v>MMR001CMP264</v>
      </c>
      <c r="AU241" s="183"/>
    </row>
    <row r="242" spans="2:47" x14ac:dyDescent="0.25">
      <c r="B242" s="540">
        <v>43238</v>
      </c>
      <c r="C242" s="540" t="str">
        <f>MONTH(Table_NFI[[#This Row],[Distribution Date]]) &amp; "/" &amp; YEAR(Table_NFI[[#This Row],[Distribution Date]])</f>
        <v>5/2018</v>
      </c>
      <c r="D242" s="665" t="s">
        <v>778</v>
      </c>
      <c r="E242" s="665" t="s">
        <v>778</v>
      </c>
      <c r="F242" s="665" t="s">
        <v>378</v>
      </c>
      <c r="G242" s="197" t="s">
        <v>237</v>
      </c>
      <c r="H242" s="219" t="s">
        <v>1512</v>
      </c>
      <c r="I242" s="665"/>
      <c r="J242" s="665"/>
      <c r="K242" s="541"/>
      <c r="L242" s="665"/>
      <c r="M242" s="665"/>
      <c r="N242" s="665"/>
      <c r="O242" s="665"/>
      <c r="P242" s="665"/>
      <c r="Q242" s="665"/>
      <c r="R242" s="541"/>
      <c r="S242" s="665"/>
      <c r="T242" s="665"/>
      <c r="U242" s="541"/>
      <c r="V242" s="541"/>
      <c r="W242" s="541"/>
      <c r="X242" s="541"/>
      <c r="Y242" s="665"/>
      <c r="Z242" s="541">
        <v>12</v>
      </c>
      <c r="AA242" s="541"/>
      <c r="AB242" s="541"/>
      <c r="AC242" s="542" t="e">
        <f>IF(NFI_Expiration=1,IF(#REF!&lt;VLOOKUP(L$5,NFI,5,0),1,0)*Table_NFI[[#This Row],[NFI Core Kit]],Table_NFI[NFI Core Kit])</f>
        <v>#REF!</v>
      </c>
      <c r="AD242" s="542" t="e">
        <f>IF(NFI_Expiration=1,IF(#REF!&lt;VLOOKUP(M$5,NFI,5,0),1,0)*Table_NFI[[#This Row],[Sanitary Kit]],Table_NFI[Sanitary Kit])</f>
        <v>#REF!</v>
      </c>
      <c r="AE242" s="542" t="e">
        <f>IF(NFI_Expiration=1,IF(#REF!&lt;VLOOKUP(N$5,NFI,5,0),1,0)*Table_NFI[[#This Row],[Mosquito net]],Table_NFI[Mosquito net])</f>
        <v>#REF!</v>
      </c>
      <c r="AF242" s="542" t="e">
        <f>IF(NFI_Expiration=1,IF(#REF!&lt;VLOOKUP(O$5,NFI,5,0),1,0)*Table_NFI[[#This Row],[Tarpaulin]],Table_NFI[[#This Row],[Tarpaulin]])</f>
        <v>#REF!</v>
      </c>
      <c r="AG242" s="542" t="e">
        <f>IF(NFI_Expiration=1,IF(#REF!&lt;VLOOKUP(P$5,NFI,5,0),1,0)*Table_NFI[[#This Row],[Blanket]],Table_NFI[[#This Row],[Blanket]])</f>
        <v>#REF!</v>
      </c>
      <c r="AH242" s="542" t="e">
        <f>IF(NFI_Expiration=1,IF(#REF!&lt;VLOOKUP(Q$5,NFI,5,0),1,0)*Table_NFI[[#This Row],[Kitchen Set]],Table_NFI[Kitchen Set])</f>
        <v>#REF!</v>
      </c>
      <c r="AI242" s="542" t="e">
        <f>IF(NFI_Expiration=1,IF(#REF!&lt;VLOOKUP(R$5,NFI,5,0),1,0)*Table_NFI[[#This Row],[Clothes Kit]],Table_NFI[Clothes Kit])</f>
        <v>#REF!</v>
      </c>
      <c r="AJ242" s="542" t="e">
        <f>IF(NFI_Expiration=1,IF(#REF!&lt;VLOOKUP(S$5,NFI,5,0),1,0)*Table_NFI[[#This Row],[Plastic Bucket]],Table_NFI[Plastic Bucket])</f>
        <v>#REF!</v>
      </c>
      <c r="AK242" s="542" t="e">
        <f>IF(NFI_Expiration=1,IF(#REF!&lt;VLOOKUP(T$5,NFI,5,0),1,0)*Table_NFI[[#This Row],[Plastic Mat]],Table_NFI[Plastic Mat])*IF(Table_NFI[[#This Row],[Distribution Date]]&gt;"2014-04-01",1,2.5)</f>
        <v>#REF!</v>
      </c>
      <c r="AL242" s="542" t="e">
        <f>IF(NFI_Expiration=1,IF(#REF!&lt;VLOOKUP(U$5,NFI,5,0),1,0)*Table_NFI[[#This Row],[Winter Clothes Adult]],Table_NFI[Winter Clothes Adult])</f>
        <v>#REF!</v>
      </c>
      <c r="AM242" s="542"/>
      <c r="AN242" s="542"/>
      <c r="AO242" s="542"/>
      <c r="AP242" s="542">
        <f>IF(Table_NFI[[#This Row],[Winter Clothes Adult]]+Table_NFI[[#This Row],[Winter Clothes Children]]+Table_NFI[[#This Row],[Winter Items Other]]+Table_NFI[[#This Row],[Winter Blanket]]&gt;0,1,0)</f>
        <v>0</v>
      </c>
      <c r="AQ242" s="542"/>
      <c r="AR242" s="542"/>
      <c r="AS242" s="542"/>
      <c r="AT242" s="205" t="str">
        <f>IFERROR(VLOOKUP(Table_NFI[[#This Row],[Location]],CL,2,0),"")</f>
        <v>MMR001CMP256</v>
      </c>
      <c r="AU242" s="183"/>
    </row>
    <row r="243" spans="2:47" x14ac:dyDescent="0.25">
      <c r="B243" s="540">
        <v>43228</v>
      </c>
      <c r="C243" s="540" t="str">
        <f>MONTH(Table_NFI[[#This Row],[Distribution Date]]) &amp; "/" &amp; YEAR(Table_NFI[[#This Row],[Distribution Date]])</f>
        <v>5/2018</v>
      </c>
      <c r="D243" s="665" t="s">
        <v>1635</v>
      </c>
      <c r="E243" s="665" t="s">
        <v>424</v>
      </c>
      <c r="F243" s="665" t="s">
        <v>378</v>
      </c>
      <c r="G243" s="197" t="s">
        <v>237</v>
      </c>
      <c r="H243" s="219" t="s">
        <v>1697</v>
      </c>
      <c r="I243" s="665"/>
      <c r="J243" s="665"/>
      <c r="K243" s="541"/>
      <c r="L243" s="665">
        <v>25</v>
      </c>
      <c r="M243" s="665"/>
      <c r="N243" s="665">
        <v>50</v>
      </c>
      <c r="O243" s="665">
        <f>25*2</f>
        <v>50</v>
      </c>
      <c r="P243" s="665">
        <f>25*2</f>
        <v>50</v>
      </c>
      <c r="Q243" s="665">
        <v>25</v>
      </c>
      <c r="R243" s="541"/>
      <c r="S243" s="665">
        <v>25</v>
      </c>
      <c r="T243" s="665"/>
      <c r="U243" s="541"/>
      <c r="V243" s="541"/>
      <c r="W243" s="541"/>
      <c r="X243" s="541"/>
      <c r="Y243" s="665"/>
      <c r="Z243" s="541"/>
      <c r="AA243" s="541"/>
      <c r="AB243" s="541"/>
      <c r="AC243" s="542" t="e">
        <f>IF(NFI_Expiration=1,IF(#REF!&lt;VLOOKUP(L$5,NFI,5,0),1,0)*Table_NFI[[#This Row],[NFI Core Kit]],Table_NFI[NFI Core Kit])</f>
        <v>#REF!</v>
      </c>
      <c r="AD243" s="542" t="e">
        <f>IF(NFI_Expiration=1,IF(#REF!&lt;VLOOKUP(M$5,NFI,5,0),1,0)*Table_NFI[[#This Row],[Sanitary Kit]],Table_NFI[Sanitary Kit])</f>
        <v>#REF!</v>
      </c>
      <c r="AE243" s="542" t="e">
        <f>IF(NFI_Expiration=1,IF(#REF!&lt;VLOOKUP(N$5,NFI,5,0),1,0)*Table_NFI[[#This Row],[Mosquito net]],Table_NFI[Mosquito net])</f>
        <v>#REF!</v>
      </c>
      <c r="AF243" s="542" t="e">
        <f>IF(NFI_Expiration=1,IF(#REF!&lt;VLOOKUP(O$5,NFI,5,0),1,0)*Table_NFI[[#This Row],[Tarpaulin]],Table_NFI[[#This Row],[Tarpaulin]])</f>
        <v>#REF!</v>
      </c>
      <c r="AG243" s="542" t="e">
        <f>IF(NFI_Expiration=1,IF(#REF!&lt;VLOOKUP(P$5,NFI,5,0),1,0)*Table_NFI[[#This Row],[Blanket]],Table_NFI[[#This Row],[Blanket]])</f>
        <v>#REF!</v>
      </c>
      <c r="AH243" s="542" t="e">
        <f>IF(NFI_Expiration=1,IF(#REF!&lt;VLOOKUP(Q$5,NFI,5,0),1,0)*Table_NFI[[#This Row],[Kitchen Set]],Table_NFI[Kitchen Set])</f>
        <v>#REF!</v>
      </c>
      <c r="AI243" s="542" t="e">
        <f>IF(NFI_Expiration=1,IF(#REF!&lt;VLOOKUP(R$5,NFI,5,0),1,0)*Table_NFI[[#This Row],[Clothes Kit]],Table_NFI[Clothes Kit])</f>
        <v>#REF!</v>
      </c>
      <c r="AJ243" s="542" t="e">
        <f>IF(NFI_Expiration=1,IF(#REF!&lt;VLOOKUP(S$5,NFI,5,0),1,0)*Table_NFI[[#This Row],[Plastic Bucket]],Table_NFI[Plastic Bucket])</f>
        <v>#REF!</v>
      </c>
      <c r="AK243" s="542" t="e">
        <f>IF(NFI_Expiration=1,IF(#REF!&lt;VLOOKUP(T$5,NFI,5,0),1,0)*Table_NFI[[#This Row],[Plastic Mat]],Table_NFI[Plastic Mat])*IF(Table_NFI[[#This Row],[Distribution Date]]&gt;"2014-04-01",1,2.5)</f>
        <v>#REF!</v>
      </c>
      <c r="AL243" s="542" t="e">
        <f>IF(NFI_Expiration=1,IF(#REF!&lt;VLOOKUP(U$5,NFI,5,0),1,0)*Table_NFI[[#This Row],[Winter Clothes Adult]],Table_NFI[Winter Clothes Adult])</f>
        <v>#REF!</v>
      </c>
      <c r="AM243" s="542"/>
      <c r="AN243" s="542"/>
      <c r="AO243" s="542"/>
      <c r="AP243" s="542">
        <f>IF(Table_NFI[[#This Row],[Winter Clothes Adult]]+Table_NFI[[#This Row],[Winter Clothes Children]]+Table_NFI[[#This Row],[Winter Items Other]]+Table_NFI[[#This Row],[Winter Blanket]]&gt;0,1,0)</f>
        <v>0</v>
      </c>
      <c r="AQ243" s="542"/>
      <c r="AR243" s="542"/>
      <c r="AS243" s="542"/>
      <c r="AT243" s="205" t="str">
        <f>IFERROR(VLOOKUP(Table_NFI[[#This Row],[Location]],CL,2,0),"")</f>
        <v>MMR001CMP267</v>
      </c>
      <c r="AU243" s="183"/>
    </row>
    <row r="244" spans="2:47" x14ac:dyDescent="0.25">
      <c r="B244" s="540">
        <v>43228</v>
      </c>
      <c r="C244" s="540" t="str">
        <f>MONTH(Table_NFI[[#This Row],[Distribution Date]]) &amp; "/" &amp; YEAR(Table_NFI[[#This Row],[Distribution Date]])</f>
        <v>5/2018</v>
      </c>
      <c r="D244" s="665" t="s">
        <v>1635</v>
      </c>
      <c r="E244" s="665" t="s">
        <v>424</v>
      </c>
      <c r="F244" s="665" t="s">
        <v>378</v>
      </c>
      <c r="G244" s="197" t="s">
        <v>480</v>
      </c>
      <c r="H244" s="219" t="s">
        <v>1703</v>
      </c>
      <c r="I244" s="665"/>
      <c r="J244" s="665"/>
      <c r="K244" s="541"/>
      <c r="L244" s="665">
        <v>31</v>
      </c>
      <c r="M244" s="665"/>
      <c r="N244" s="665">
        <v>62</v>
      </c>
      <c r="O244" s="665">
        <f>31*2</f>
        <v>62</v>
      </c>
      <c r="P244" s="665">
        <f>31*2</f>
        <v>62</v>
      </c>
      <c r="Q244" s="665">
        <v>31</v>
      </c>
      <c r="R244" s="541"/>
      <c r="S244" s="665">
        <v>31</v>
      </c>
      <c r="T244" s="665"/>
      <c r="U244" s="541"/>
      <c r="V244" s="541"/>
      <c r="W244" s="541"/>
      <c r="X244" s="541"/>
      <c r="Y244" s="665"/>
      <c r="Z244" s="541"/>
      <c r="AA244" s="541"/>
      <c r="AB244" s="541"/>
      <c r="AC244" s="542" t="e">
        <f>IF(NFI_Expiration=1,IF(#REF!&lt;VLOOKUP(L$5,NFI,5,0),1,0)*Table_NFI[[#This Row],[NFI Core Kit]],Table_NFI[NFI Core Kit])</f>
        <v>#REF!</v>
      </c>
      <c r="AD244" s="542" t="e">
        <f>IF(NFI_Expiration=1,IF(#REF!&lt;VLOOKUP(M$5,NFI,5,0),1,0)*Table_NFI[[#This Row],[Sanitary Kit]],Table_NFI[Sanitary Kit])</f>
        <v>#REF!</v>
      </c>
      <c r="AE244" s="542" t="e">
        <f>IF(NFI_Expiration=1,IF(#REF!&lt;VLOOKUP(N$5,NFI,5,0),1,0)*Table_NFI[[#This Row],[Mosquito net]],Table_NFI[Mosquito net])</f>
        <v>#REF!</v>
      </c>
      <c r="AF244" s="542" t="e">
        <f>IF(NFI_Expiration=1,IF(#REF!&lt;VLOOKUP(O$5,NFI,5,0),1,0)*Table_NFI[[#This Row],[Tarpaulin]],Table_NFI[[#This Row],[Tarpaulin]])</f>
        <v>#REF!</v>
      </c>
      <c r="AG244" s="542" t="e">
        <f>IF(NFI_Expiration=1,IF(#REF!&lt;VLOOKUP(P$5,NFI,5,0),1,0)*Table_NFI[[#This Row],[Blanket]],Table_NFI[[#This Row],[Blanket]])</f>
        <v>#REF!</v>
      </c>
      <c r="AH244" s="542" t="e">
        <f>IF(NFI_Expiration=1,IF(#REF!&lt;VLOOKUP(Q$5,NFI,5,0),1,0)*Table_NFI[[#This Row],[Kitchen Set]],Table_NFI[Kitchen Set])</f>
        <v>#REF!</v>
      </c>
      <c r="AI244" s="542" t="e">
        <f>IF(NFI_Expiration=1,IF(#REF!&lt;VLOOKUP(R$5,NFI,5,0),1,0)*Table_NFI[[#This Row],[Clothes Kit]],Table_NFI[Clothes Kit])</f>
        <v>#REF!</v>
      </c>
      <c r="AJ244" s="542" t="e">
        <f>IF(NFI_Expiration=1,IF(#REF!&lt;VLOOKUP(S$5,NFI,5,0),1,0)*Table_NFI[[#This Row],[Plastic Bucket]],Table_NFI[Plastic Bucket])</f>
        <v>#REF!</v>
      </c>
      <c r="AK244" s="542" t="e">
        <f>IF(NFI_Expiration=1,IF(#REF!&lt;VLOOKUP(T$5,NFI,5,0),1,0)*Table_NFI[[#This Row],[Plastic Mat]],Table_NFI[Plastic Mat])*IF(Table_NFI[[#This Row],[Distribution Date]]&gt;"2014-04-01",1,2.5)</f>
        <v>#REF!</v>
      </c>
      <c r="AL244" s="542" t="e">
        <f>IF(NFI_Expiration=1,IF(#REF!&lt;VLOOKUP(U$5,NFI,5,0),1,0)*Table_NFI[[#This Row],[Winter Clothes Adult]],Table_NFI[Winter Clothes Adult])</f>
        <v>#REF!</v>
      </c>
      <c r="AM244" s="542"/>
      <c r="AN244" s="542"/>
      <c r="AO244" s="542"/>
      <c r="AP244" s="542">
        <f>IF(Table_NFI[[#This Row],[Winter Clothes Adult]]+Table_NFI[[#This Row],[Winter Clothes Children]]+Table_NFI[[#This Row],[Winter Items Other]]+Table_NFI[[#This Row],[Winter Blanket]]&gt;0,1,0)</f>
        <v>0</v>
      </c>
      <c r="AQ244" s="542"/>
      <c r="AR244" s="542"/>
      <c r="AS244" s="542"/>
      <c r="AT244" s="205" t="str">
        <f>IFERROR(VLOOKUP(Table_NFI[[#This Row],[Location]],CL,2,0),"")</f>
        <v>MMR001CMP270</v>
      </c>
      <c r="AU244" s="183"/>
    </row>
    <row r="245" spans="2:47" x14ac:dyDescent="0.25">
      <c r="B245" s="540">
        <v>43228</v>
      </c>
      <c r="C245" s="540" t="str">
        <f>MONTH(Table_NFI[[#This Row],[Distribution Date]]) &amp; "/" &amp; YEAR(Table_NFI[[#This Row],[Distribution Date]])</f>
        <v>5/2018</v>
      </c>
      <c r="D245" s="665" t="s">
        <v>1635</v>
      </c>
      <c r="E245" s="665" t="s">
        <v>424</v>
      </c>
      <c r="F245" s="665" t="s">
        <v>378</v>
      </c>
      <c r="G245" s="197" t="s">
        <v>309</v>
      </c>
      <c r="H245" s="665" t="s">
        <v>1638</v>
      </c>
      <c r="I245" s="665"/>
      <c r="J245" s="665"/>
      <c r="K245" s="541"/>
      <c r="L245" s="665">
        <v>41</v>
      </c>
      <c r="M245" s="665"/>
      <c r="N245" s="665">
        <v>82</v>
      </c>
      <c r="O245" s="665">
        <f>41*2</f>
        <v>82</v>
      </c>
      <c r="P245" s="665">
        <f>41*2</f>
        <v>82</v>
      </c>
      <c r="Q245" s="665">
        <v>41</v>
      </c>
      <c r="R245" s="541"/>
      <c r="S245" s="665">
        <v>41</v>
      </c>
      <c r="T245" s="665"/>
      <c r="U245" s="541"/>
      <c r="V245" s="541"/>
      <c r="W245" s="541"/>
      <c r="X245" s="541"/>
      <c r="Y245" s="665"/>
      <c r="Z245" s="541"/>
      <c r="AA245" s="541"/>
      <c r="AB245" s="541"/>
      <c r="AC245" s="542" t="e">
        <f>IF(NFI_Expiration=1,IF(#REF!&lt;VLOOKUP(L$5,NFI,5,0),1,0)*Table_NFI[[#This Row],[NFI Core Kit]],Table_NFI[NFI Core Kit])</f>
        <v>#REF!</v>
      </c>
      <c r="AD245" s="542" t="e">
        <f>IF(NFI_Expiration=1,IF(#REF!&lt;VLOOKUP(M$5,NFI,5,0),1,0)*Table_NFI[[#This Row],[Sanitary Kit]],Table_NFI[Sanitary Kit])</f>
        <v>#REF!</v>
      </c>
      <c r="AE245" s="542" t="e">
        <f>IF(NFI_Expiration=1,IF(#REF!&lt;VLOOKUP(N$5,NFI,5,0),1,0)*Table_NFI[[#This Row],[Mosquito net]],Table_NFI[Mosquito net])</f>
        <v>#REF!</v>
      </c>
      <c r="AF245" s="542" t="e">
        <f>IF(NFI_Expiration=1,IF(#REF!&lt;VLOOKUP(O$5,NFI,5,0),1,0)*Table_NFI[[#This Row],[Tarpaulin]],Table_NFI[[#This Row],[Tarpaulin]])</f>
        <v>#REF!</v>
      </c>
      <c r="AG245" s="542" t="e">
        <f>IF(NFI_Expiration=1,IF(#REF!&lt;VLOOKUP(P$5,NFI,5,0),1,0)*Table_NFI[[#This Row],[Blanket]],Table_NFI[[#This Row],[Blanket]])</f>
        <v>#REF!</v>
      </c>
      <c r="AH245" s="542" t="e">
        <f>IF(NFI_Expiration=1,IF(#REF!&lt;VLOOKUP(Q$5,NFI,5,0),1,0)*Table_NFI[[#This Row],[Kitchen Set]],Table_NFI[Kitchen Set])</f>
        <v>#REF!</v>
      </c>
      <c r="AI245" s="542" t="e">
        <f>IF(NFI_Expiration=1,IF(#REF!&lt;VLOOKUP(R$5,NFI,5,0),1,0)*Table_NFI[[#This Row],[Clothes Kit]],Table_NFI[Clothes Kit])</f>
        <v>#REF!</v>
      </c>
      <c r="AJ245" s="542" t="e">
        <f>IF(NFI_Expiration=1,IF(#REF!&lt;VLOOKUP(S$5,NFI,5,0),1,0)*Table_NFI[[#This Row],[Plastic Bucket]],Table_NFI[Plastic Bucket])</f>
        <v>#REF!</v>
      </c>
      <c r="AK245" s="542" t="e">
        <f>IF(NFI_Expiration=1,IF(#REF!&lt;VLOOKUP(T$5,NFI,5,0),1,0)*Table_NFI[[#This Row],[Plastic Mat]],Table_NFI[Plastic Mat])*IF(Table_NFI[[#This Row],[Distribution Date]]&gt;"2014-04-01",1,2.5)</f>
        <v>#REF!</v>
      </c>
      <c r="AL245" s="542" t="e">
        <f>IF(NFI_Expiration=1,IF(#REF!&lt;VLOOKUP(U$5,NFI,5,0),1,0)*Table_NFI[[#This Row],[Winter Clothes Adult]],Table_NFI[Winter Clothes Adult])</f>
        <v>#REF!</v>
      </c>
      <c r="AM245" s="542"/>
      <c r="AN245" s="542"/>
      <c r="AO245" s="542"/>
      <c r="AP245" s="542">
        <f>IF(Table_NFI[[#This Row],[Winter Clothes Adult]]+Table_NFI[[#This Row],[Winter Clothes Children]]+Table_NFI[[#This Row],[Winter Items Other]]+Table_NFI[[#This Row],[Winter Blanket]]&gt;0,1,0)</f>
        <v>0</v>
      </c>
      <c r="AQ245" s="542"/>
      <c r="AR245" s="542"/>
      <c r="AS245" s="542"/>
      <c r="AT245" s="205" t="str">
        <f>IFERROR(VLOOKUP(Table_NFI[[#This Row],[Location]],CL,2,0),"")</f>
        <v/>
      </c>
      <c r="AU245" s="183"/>
    </row>
    <row r="246" spans="2:47" x14ac:dyDescent="0.25">
      <c r="B246" s="540">
        <v>43228</v>
      </c>
      <c r="C246" s="540" t="str">
        <f>MONTH(Table_NFI[[#This Row],[Distribution Date]]) &amp; "/" &amp; YEAR(Table_NFI[[#This Row],[Distribution Date]])</f>
        <v>5/2018</v>
      </c>
      <c r="D246" s="665" t="s">
        <v>1635</v>
      </c>
      <c r="E246" s="665" t="s">
        <v>424</v>
      </c>
      <c r="F246" s="665" t="s">
        <v>378</v>
      </c>
      <c r="G246" s="197" t="s">
        <v>309</v>
      </c>
      <c r="H246" s="665" t="s">
        <v>1637</v>
      </c>
      <c r="I246" s="665"/>
      <c r="J246" s="665"/>
      <c r="K246" s="541"/>
      <c r="L246" s="665">
        <v>16</v>
      </c>
      <c r="M246" s="665"/>
      <c r="N246" s="665">
        <v>32</v>
      </c>
      <c r="O246" s="665">
        <f>16*2</f>
        <v>32</v>
      </c>
      <c r="P246" s="665">
        <f>16*2</f>
        <v>32</v>
      </c>
      <c r="Q246" s="665">
        <v>16</v>
      </c>
      <c r="R246" s="541"/>
      <c r="S246" s="665">
        <v>16</v>
      </c>
      <c r="T246" s="665"/>
      <c r="U246" s="541"/>
      <c r="V246" s="541"/>
      <c r="W246" s="541"/>
      <c r="X246" s="541"/>
      <c r="Y246" s="665"/>
      <c r="Z246" s="541"/>
      <c r="AA246" s="541"/>
      <c r="AB246" s="541"/>
      <c r="AC246" s="542" t="e">
        <f>IF(NFI_Expiration=1,IF(#REF!&lt;VLOOKUP(L$5,NFI,5,0),1,0)*Table_NFI[[#This Row],[NFI Core Kit]],Table_NFI[NFI Core Kit])</f>
        <v>#REF!</v>
      </c>
      <c r="AD246" s="542" t="e">
        <f>IF(NFI_Expiration=1,IF(#REF!&lt;VLOOKUP(M$5,NFI,5,0),1,0)*Table_NFI[[#This Row],[Sanitary Kit]],Table_NFI[Sanitary Kit])</f>
        <v>#REF!</v>
      </c>
      <c r="AE246" s="542" t="e">
        <f>IF(NFI_Expiration=1,IF(#REF!&lt;VLOOKUP(N$5,NFI,5,0),1,0)*Table_NFI[[#This Row],[Mosquito net]],Table_NFI[Mosquito net])</f>
        <v>#REF!</v>
      </c>
      <c r="AF246" s="542" t="e">
        <f>IF(NFI_Expiration=1,IF(#REF!&lt;VLOOKUP(O$5,NFI,5,0),1,0)*Table_NFI[[#This Row],[Tarpaulin]],Table_NFI[[#This Row],[Tarpaulin]])</f>
        <v>#REF!</v>
      </c>
      <c r="AG246" s="542" t="e">
        <f>IF(NFI_Expiration=1,IF(#REF!&lt;VLOOKUP(P$5,NFI,5,0),1,0)*Table_NFI[[#This Row],[Blanket]],Table_NFI[[#This Row],[Blanket]])</f>
        <v>#REF!</v>
      </c>
      <c r="AH246" s="542" t="e">
        <f>IF(NFI_Expiration=1,IF(#REF!&lt;VLOOKUP(Q$5,NFI,5,0),1,0)*Table_NFI[[#This Row],[Kitchen Set]],Table_NFI[Kitchen Set])</f>
        <v>#REF!</v>
      </c>
      <c r="AI246" s="542" t="e">
        <f>IF(NFI_Expiration=1,IF(#REF!&lt;VLOOKUP(R$5,NFI,5,0),1,0)*Table_NFI[[#This Row],[Clothes Kit]],Table_NFI[Clothes Kit])</f>
        <v>#REF!</v>
      </c>
      <c r="AJ246" s="542" t="e">
        <f>IF(NFI_Expiration=1,IF(#REF!&lt;VLOOKUP(S$5,NFI,5,0),1,0)*Table_NFI[[#This Row],[Plastic Bucket]],Table_NFI[Plastic Bucket])</f>
        <v>#REF!</v>
      </c>
      <c r="AK246" s="542" t="e">
        <f>IF(NFI_Expiration=1,IF(#REF!&lt;VLOOKUP(T$5,NFI,5,0),1,0)*Table_NFI[[#This Row],[Plastic Mat]],Table_NFI[Plastic Mat])*IF(Table_NFI[[#This Row],[Distribution Date]]&gt;"2014-04-01",1,2.5)</f>
        <v>#REF!</v>
      </c>
      <c r="AL246" s="542" t="e">
        <f>IF(NFI_Expiration=1,IF(#REF!&lt;VLOOKUP(U$5,NFI,5,0),1,0)*Table_NFI[[#This Row],[Winter Clothes Adult]],Table_NFI[Winter Clothes Adult])</f>
        <v>#REF!</v>
      </c>
      <c r="AM246" s="542"/>
      <c r="AN246" s="542"/>
      <c r="AO246" s="542"/>
      <c r="AP246" s="542">
        <f>IF(Table_NFI[[#This Row],[Winter Clothes Adult]]+Table_NFI[[#This Row],[Winter Clothes Children]]+Table_NFI[[#This Row],[Winter Items Other]]+Table_NFI[[#This Row],[Winter Blanket]]&gt;0,1,0)</f>
        <v>0</v>
      </c>
      <c r="AQ246" s="542"/>
      <c r="AR246" s="542"/>
      <c r="AS246" s="542"/>
      <c r="AT246" s="205" t="str">
        <f>IFERROR(VLOOKUP(Table_NFI[[#This Row],[Location]],CL,2,0),"")</f>
        <v/>
      </c>
      <c r="AU246" s="183"/>
    </row>
    <row r="247" spans="2:47" x14ac:dyDescent="0.25">
      <c r="B247" s="540">
        <v>43224</v>
      </c>
      <c r="C247" s="540" t="str">
        <f>MONTH(Table_NFI[[#This Row],[Distribution Date]]) &amp; "/" &amp; YEAR(Table_NFI[[#This Row],[Distribution Date]])</f>
        <v>5/2018</v>
      </c>
      <c r="D247" s="665" t="s">
        <v>1634</v>
      </c>
      <c r="E247" s="665" t="s">
        <v>424</v>
      </c>
      <c r="F247" s="665" t="s">
        <v>378</v>
      </c>
      <c r="G247" s="197" t="s">
        <v>173</v>
      </c>
      <c r="H247" s="219" t="s">
        <v>1728</v>
      </c>
      <c r="I247" s="665"/>
      <c r="J247" s="665"/>
      <c r="K247" s="541"/>
      <c r="L247" s="665"/>
      <c r="M247" s="665"/>
      <c r="N247" s="665">
        <v>213</v>
      </c>
      <c r="O247" s="665"/>
      <c r="P247" s="665">
        <v>213</v>
      </c>
      <c r="Q247" s="665"/>
      <c r="R247" s="541"/>
      <c r="S247" s="665">
        <v>99</v>
      </c>
      <c r="T247" s="665"/>
      <c r="U247" s="541"/>
      <c r="V247" s="541"/>
      <c r="W247" s="541"/>
      <c r="X247" s="541"/>
      <c r="Y247" s="665"/>
      <c r="Z247" s="541"/>
      <c r="AA247" s="541"/>
      <c r="AB247" s="541"/>
      <c r="AC247" s="542" t="e">
        <f>IF(NFI_Expiration=1,IF(#REF!&lt;VLOOKUP(L$5,NFI,5,0),1,0)*Table_NFI[[#This Row],[NFI Core Kit]],Table_NFI[NFI Core Kit])</f>
        <v>#REF!</v>
      </c>
      <c r="AD247" s="542" t="e">
        <f>IF(NFI_Expiration=1,IF(#REF!&lt;VLOOKUP(M$5,NFI,5,0),1,0)*Table_NFI[[#This Row],[Sanitary Kit]],Table_NFI[Sanitary Kit])</f>
        <v>#REF!</v>
      </c>
      <c r="AE247" s="542" t="e">
        <f>IF(NFI_Expiration=1,IF(#REF!&lt;VLOOKUP(N$5,NFI,5,0),1,0)*Table_NFI[[#This Row],[Mosquito net]],Table_NFI[Mosquito net])</f>
        <v>#REF!</v>
      </c>
      <c r="AF247" s="542" t="e">
        <f>IF(NFI_Expiration=1,IF(#REF!&lt;VLOOKUP(O$5,NFI,5,0),1,0)*Table_NFI[[#This Row],[Tarpaulin]],Table_NFI[[#This Row],[Tarpaulin]])</f>
        <v>#REF!</v>
      </c>
      <c r="AG247" s="542" t="e">
        <f>IF(NFI_Expiration=1,IF(#REF!&lt;VLOOKUP(P$5,NFI,5,0),1,0)*Table_NFI[[#This Row],[Blanket]],Table_NFI[[#This Row],[Blanket]])</f>
        <v>#REF!</v>
      </c>
      <c r="AH247" s="542" t="e">
        <f>IF(NFI_Expiration=1,IF(#REF!&lt;VLOOKUP(Q$5,NFI,5,0),1,0)*Table_NFI[[#This Row],[Kitchen Set]],Table_NFI[Kitchen Set])</f>
        <v>#REF!</v>
      </c>
      <c r="AI247" s="542" t="e">
        <f>IF(NFI_Expiration=1,IF(#REF!&lt;VLOOKUP(R$5,NFI,5,0),1,0)*Table_NFI[[#This Row],[Clothes Kit]],Table_NFI[Clothes Kit])</f>
        <v>#REF!</v>
      </c>
      <c r="AJ247" s="542" t="e">
        <f>IF(NFI_Expiration=1,IF(#REF!&lt;VLOOKUP(S$5,NFI,5,0),1,0)*Table_NFI[[#This Row],[Plastic Bucket]],Table_NFI[Plastic Bucket])</f>
        <v>#REF!</v>
      </c>
      <c r="AK247" s="542" t="e">
        <f>IF(NFI_Expiration=1,IF(#REF!&lt;VLOOKUP(T$5,NFI,5,0),1,0)*Table_NFI[[#This Row],[Plastic Mat]],Table_NFI[Plastic Mat])*IF(Table_NFI[[#This Row],[Distribution Date]]&gt;"2014-04-01",1,2.5)</f>
        <v>#REF!</v>
      </c>
      <c r="AL247" s="542" t="e">
        <f>IF(NFI_Expiration=1,IF(#REF!&lt;VLOOKUP(U$5,NFI,5,0),1,0)*Table_NFI[[#This Row],[Winter Clothes Adult]],Table_NFI[Winter Clothes Adult])</f>
        <v>#REF!</v>
      </c>
      <c r="AM247" s="542"/>
      <c r="AN247" s="542"/>
      <c r="AO247" s="542"/>
      <c r="AP247" s="542">
        <f>IF(Table_NFI[[#This Row],[Winter Clothes Adult]]+Table_NFI[[#This Row],[Winter Clothes Children]]+Table_NFI[[#This Row],[Winter Items Other]]+Table_NFI[[#This Row],[Winter Blanket]]&gt;0,1,0)</f>
        <v>0</v>
      </c>
      <c r="AQ247" s="542"/>
      <c r="AR247" s="542"/>
      <c r="AS247" s="542"/>
      <c r="AT247" s="205" t="str">
        <f>IFERROR(VLOOKUP(Table_NFI[[#This Row],[Location]],CL,2,0),"")</f>
        <v>MMR001CMP261</v>
      </c>
      <c r="AU247" s="183"/>
    </row>
    <row r="248" spans="2:47" x14ac:dyDescent="0.25">
      <c r="B248" s="540">
        <v>43224</v>
      </c>
      <c r="C248" s="540" t="str">
        <f>MONTH(Table_NFI[[#This Row],[Distribution Date]]) &amp; "/" &amp; YEAR(Table_NFI[[#This Row],[Distribution Date]])</f>
        <v>5/2018</v>
      </c>
      <c r="D248" s="665" t="s">
        <v>1634</v>
      </c>
      <c r="E248" s="665" t="s">
        <v>424</v>
      </c>
      <c r="F248" s="665" t="s">
        <v>378</v>
      </c>
      <c r="G248" s="197" t="s">
        <v>173</v>
      </c>
      <c r="H248" s="219" t="s">
        <v>1665</v>
      </c>
      <c r="I248" s="665"/>
      <c r="J248" s="665"/>
      <c r="K248" s="541"/>
      <c r="L248" s="665"/>
      <c r="M248" s="665"/>
      <c r="N248" s="665">
        <v>44</v>
      </c>
      <c r="O248" s="665"/>
      <c r="P248" s="665">
        <v>34</v>
      </c>
      <c r="Q248" s="665"/>
      <c r="R248" s="541"/>
      <c r="S248" s="665">
        <v>31</v>
      </c>
      <c r="T248" s="665"/>
      <c r="U248" s="541"/>
      <c r="V248" s="541"/>
      <c r="W248" s="541"/>
      <c r="X248" s="541"/>
      <c r="Y248" s="665"/>
      <c r="Z248" s="541"/>
      <c r="AA248" s="541"/>
      <c r="AB248" s="541"/>
      <c r="AC248" s="542" t="e">
        <f>IF(NFI_Expiration=1,IF(#REF!&lt;VLOOKUP(L$5,NFI,5,0),1,0)*Table_NFI[[#This Row],[NFI Core Kit]],Table_NFI[NFI Core Kit])</f>
        <v>#REF!</v>
      </c>
      <c r="AD248" s="542" t="e">
        <f>IF(NFI_Expiration=1,IF(#REF!&lt;VLOOKUP(M$5,NFI,5,0),1,0)*Table_NFI[[#This Row],[Sanitary Kit]],Table_NFI[Sanitary Kit])</f>
        <v>#REF!</v>
      </c>
      <c r="AE248" s="542" t="e">
        <f>IF(NFI_Expiration=1,IF(#REF!&lt;VLOOKUP(N$5,NFI,5,0),1,0)*Table_NFI[[#This Row],[Mosquito net]],Table_NFI[Mosquito net])</f>
        <v>#REF!</v>
      </c>
      <c r="AF248" s="542" t="e">
        <f>IF(NFI_Expiration=1,IF(#REF!&lt;VLOOKUP(O$5,NFI,5,0),1,0)*Table_NFI[[#This Row],[Tarpaulin]],Table_NFI[[#This Row],[Tarpaulin]])</f>
        <v>#REF!</v>
      </c>
      <c r="AG248" s="542" t="e">
        <f>IF(NFI_Expiration=1,IF(#REF!&lt;VLOOKUP(P$5,NFI,5,0),1,0)*Table_NFI[[#This Row],[Blanket]],Table_NFI[[#This Row],[Blanket]])</f>
        <v>#REF!</v>
      </c>
      <c r="AH248" s="542" t="e">
        <f>IF(NFI_Expiration=1,IF(#REF!&lt;VLOOKUP(Q$5,NFI,5,0),1,0)*Table_NFI[[#This Row],[Kitchen Set]],Table_NFI[Kitchen Set])</f>
        <v>#REF!</v>
      </c>
      <c r="AI248" s="542" t="e">
        <f>IF(NFI_Expiration=1,IF(#REF!&lt;VLOOKUP(R$5,NFI,5,0),1,0)*Table_NFI[[#This Row],[Clothes Kit]],Table_NFI[Clothes Kit])</f>
        <v>#REF!</v>
      </c>
      <c r="AJ248" s="542" t="e">
        <f>IF(NFI_Expiration=1,IF(#REF!&lt;VLOOKUP(S$5,NFI,5,0),1,0)*Table_NFI[[#This Row],[Plastic Bucket]],Table_NFI[Plastic Bucket])</f>
        <v>#REF!</v>
      </c>
      <c r="AK248" s="542" t="e">
        <f>IF(NFI_Expiration=1,IF(#REF!&lt;VLOOKUP(T$5,NFI,5,0),1,0)*Table_NFI[[#This Row],[Plastic Mat]],Table_NFI[Plastic Mat])*IF(Table_NFI[[#This Row],[Distribution Date]]&gt;"2014-04-01",1,2.5)</f>
        <v>#REF!</v>
      </c>
      <c r="AL248" s="542" t="e">
        <f>IF(NFI_Expiration=1,IF(#REF!&lt;VLOOKUP(U$5,NFI,5,0),1,0)*Table_NFI[[#This Row],[Winter Clothes Adult]],Table_NFI[Winter Clothes Adult])</f>
        <v>#REF!</v>
      </c>
      <c r="AM248" s="542"/>
      <c r="AN248" s="542"/>
      <c r="AO248" s="542"/>
      <c r="AP248" s="542">
        <f>IF(Table_NFI[[#This Row],[Winter Clothes Adult]]+Table_NFI[[#This Row],[Winter Clothes Children]]+Table_NFI[[#This Row],[Winter Items Other]]+Table_NFI[[#This Row],[Winter Blanket]]&gt;0,1,0)</f>
        <v>0</v>
      </c>
      <c r="AQ248" s="542"/>
      <c r="AR248" s="542"/>
      <c r="AS248" s="542"/>
      <c r="AT248" s="205" t="str">
        <f>IFERROR(VLOOKUP(Table_NFI[[#This Row],[Location]],CL,2,0),"")</f>
        <v>MMR001CMP262</v>
      </c>
      <c r="AU248" s="183"/>
    </row>
    <row r="249" spans="2:47" x14ac:dyDescent="0.25">
      <c r="B249" s="540">
        <v>43224</v>
      </c>
      <c r="C249" s="540" t="str">
        <f>MONTH(Table_NFI[[#This Row],[Distribution Date]]) &amp; "/" &amp; YEAR(Table_NFI[[#This Row],[Distribution Date]])</f>
        <v>5/2018</v>
      </c>
      <c r="D249" s="665" t="s">
        <v>1634</v>
      </c>
      <c r="E249" s="665" t="s">
        <v>424</v>
      </c>
      <c r="F249" s="665" t="s">
        <v>378</v>
      </c>
      <c r="G249" s="197" t="s">
        <v>173</v>
      </c>
      <c r="H249" s="219" t="s">
        <v>1662</v>
      </c>
      <c r="I249" s="665"/>
      <c r="J249" s="665"/>
      <c r="K249" s="541"/>
      <c r="L249" s="665"/>
      <c r="M249" s="665"/>
      <c r="N249" s="665">
        <v>167</v>
      </c>
      <c r="O249" s="665"/>
      <c r="P249" s="665"/>
      <c r="Q249" s="665"/>
      <c r="R249" s="541"/>
      <c r="S249" s="665">
        <v>72</v>
      </c>
      <c r="T249" s="665"/>
      <c r="U249" s="541"/>
      <c r="V249" s="541"/>
      <c r="W249" s="541"/>
      <c r="X249" s="541"/>
      <c r="Y249" s="665"/>
      <c r="Z249" s="541"/>
      <c r="AA249" s="541"/>
      <c r="AB249" s="541"/>
      <c r="AC249" s="542" t="e">
        <f>IF(NFI_Expiration=1,IF(#REF!&lt;VLOOKUP(L$5,NFI,5,0),1,0)*Table_NFI[[#This Row],[NFI Core Kit]],Table_NFI[NFI Core Kit])</f>
        <v>#REF!</v>
      </c>
      <c r="AD249" s="542" t="e">
        <f>IF(NFI_Expiration=1,IF(#REF!&lt;VLOOKUP(M$5,NFI,5,0),1,0)*Table_NFI[[#This Row],[Sanitary Kit]],Table_NFI[Sanitary Kit])</f>
        <v>#REF!</v>
      </c>
      <c r="AE249" s="542" t="e">
        <f>IF(NFI_Expiration=1,IF(#REF!&lt;VLOOKUP(N$5,NFI,5,0),1,0)*Table_NFI[[#This Row],[Mosquito net]],Table_NFI[Mosquito net])</f>
        <v>#REF!</v>
      </c>
      <c r="AF249" s="542" t="e">
        <f>IF(NFI_Expiration=1,IF(#REF!&lt;VLOOKUP(O$5,NFI,5,0),1,0)*Table_NFI[[#This Row],[Tarpaulin]],Table_NFI[[#This Row],[Tarpaulin]])</f>
        <v>#REF!</v>
      </c>
      <c r="AG249" s="542" t="e">
        <f>IF(NFI_Expiration=1,IF(#REF!&lt;VLOOKUP(P$5,NFI,5,0),1,0)*Table_NFI[[#This Row],[Blanket]],Table_NFI[[#This Row],[Blanket]])</f>
        <v>#REF!</v>
      </c>
      <c r="AH249" s="542" t="e">
        <f>IF(NFI_Expiration=1,IF(#REF!&lt;VLOOKUP(Q$5,NFI,5,0),1,0)*Table_NFI[[#This Row],[Kitchen Set]],Table_NFI[Kitchen Set])</f>
        <v>#REF!</v>
      </c>
      <c r="AI249" s="542" t="e">
        <f>IF(NFI_Expiration=1,IF(#REF!&lt;VLOOKUP(R$5,NFI,5,0),1,0)*Table_NFI[[#This Row],[Clothes Kit]],Table_NFI[Clothes Kit])</f>
        <v>#REF!</v>
      </c>
      <c r="AJ249" s="542" t="e">
        <f>IF(NFI_Expiration=1,IF(#REF!&lt;VLOOKUP(S$5,NFI,5,0),1,0)*Table_NFI[[#This Row],[Plastic Bucket]],Table_NFI[Plastic Bucket])</f>
        <v>#REF!</v>
      </c>
      <c r="AK249" s="542" t="e">
        <f>IF(NFI_Expiration=1,IF(#REF!&lt;VLOOKUP(T$5,NFI,5,0),1,0)*Table_NFI[[#This Row],[Plastic Mat]],Table_NFI[Plastic Mat])*IF(Table_NFI[[#This Row],[Distribution Date]]&gt;"2014-04-01",1,2.5)</f>
        <v>#REF!</v>
      </c>
      <c r="AL249" s="542" t="e">
        <f>IF(NFI_Expiration=1,IF(#REF!&lt;VLOOKUP(U$5,NFI,5,0),1,0)*Table_NFI[[#This Row],[Winter Clothes Adult]],Table_NFI[Winter Clothes Adult])</f>
        <v>#REF!</v>
      </c>
      <c r="AM249" s="542"/>
      <c r="AN249" s="542"/>
      <c r="AO249" s="542"/>
      <c r="AP249" s="542">
        <f>IF(Table_NFI[[#This Row],[Winter Clothes Adult]]+Table_NFI[[#This Row],[Winter Clothes Children]]+Table_NFI[[#This Row],[Winter Items Other]]+Table_NFI[[#This Row],[Winter Blanket]]&gt;0,1,0)</f>
        <v>0</v>
      </c>
      <c r="AQ249" s="542"/>
      <c r="AR249" s="542"/>
      <c r="AS249" s="542"/>
      <c r="AT249" s="205" t="str">
        <f>IFERROR(VLOOKUP(Table_NFI[[#This Row],[Location]],CL,2,0),"")</f>
        <v>MMR001CMP260</v>
      </c>
      <c r="AU249" s="183"/>
    </row>
    <row r="250" spans="2:47" x14ac:dyDescent="0.25">
      <c r="B250" s="540">
        <v>43224</v>
      </c>
      <c r="C250" s="540" t="str">
        <f>MONTH(Table_NFI[[#This Row],[Distribution Date]]) &amp; "/" &amp; YEAR(Table_NFI[[#This Row],[Distribution Date]])</f>
        <v>5/2018</v>
      </c>
      <c r="D250" s="665" t="s">
        <v>1634</v>
      </c>
      <c r="E250" s="665" t="s">
        <v>424</v>
      </c>
      <c r="F250" s="665" t="s">
        <v>378</v>
      </c>
      <c r="G250" s="197" t="s">
        <v>173</v>
      </c>
      <c r="H250" s="219" t="s">
        <v>1661</v>
      </c>
      <c r="I250" s="665"/>
      <c r="J250" s="665"/>
      <c r="K250" s="541"/>
      <c r="L250" s="665"/>
      <c r="M250" s="665"/>
      <c r="N250" s="665">
        <v>99</v>
      </c>
      <c r="O250" s="665"/>
      <c r="P250" s="665"/>
      <c r="Q250" s="665"/>
      <c r="R250" s="541"/>
      <c r="S250" s="665">
        <v>45</v>
      </c>
      <c r="T250" s="665"/>
      <c r="U250" s="541"/>
      <c r="V250" s="541"/>
      <c r="W250" s="541"/>
      <c r="X250" s="541"/>
      <c r="Y250" s="665"/>
      <c r="Z250" s="541"/>
      <c r="AA250" s="541"/>
      <c r="AB250" s="541"/>
      <c r="AC250" s="542" t="e">
        <f>IF(NFI_Expiration=1,IF(#REF!&lt;VLOOKUP(L$5,NFI,5,0),1,0)*Table_NFI[[#This Row],[NFI Core Kit]],Table_NFI[NFI Core Kit])</f>
        <v>#REF!</v>
      </c>
      <c r="AD250" s="542" t="e">
        <f>IF(NFI_Expiration=1,IF(#REF!&lt;VLOOKUP(M$5,NFI,5,0),1,0)*Table_NFI[[#This Row],[Sanitary Kit]],Table_NFI[Sanitary Kit])</f>
        <v>#REF!</v>
      </c>
      <c r="AE250" s="542" t="e">
        <f>IF(NFI_Expiration=1,IF(#REF!&lt;VLOOKUP(N$5,NFI,5,0),1,0)*Table_NFI[[#This Row],[Mosquito net]],Table_NFI[Mosquito net])</f>
        <v>#REF!</v>
      </c>
      <c r="AF250" s="542" t="e">
        <f>IF(NFI_Expiration=1,IF(#REF!&lt;VLOOKUP(O$5,NFI,5,0),1,0)*Table_NFI[[#This Row],[Tarpaulin]],Table_NFI[[#This Row],[Tarpaulin]])</f>
        <v>#REF!</v>
      </c>
      <c r="AG250" s="542" t="e">
        <f>IF(NFI_Expiration=1,IF(#REF!&lt;VLOOKUP(P$5,NFI,5,0),1,0)*Table_NFI[[#This Row],[Blanket]],Table_NFI[[#This Row],[Blanket]])</f>
        <v>#REF!</v>
      </c>
      <c r="AH250" s="542" t="e">
        <f>IF(NFI_Expiration=1,IF(#REF!&lt;VLOOKUP(Q$5,NFI,5,0),1,0)*Table_NFI[[#This Row],[Kitchen Set]],Table_NFI[Kitchen Set])</f>
        <v>#REF!</v>
      </c>
      <c r="AI250" s="542" t="e">
        <f>IF(NFI_Expiration=1,IF(#REF!&lt;VLOOKUP(R$5,NFI,5,0),1,0)*Table_NFI[[#This Row],[Clothes Kit]],Table_NFI[Clothes Kit])</f>
        <v>#REF!</v>
      </c>
      <c r="AJ250" s="542" t="e">
        <f>IF(NFI_Expiration=1,IF(#REF!&lt;VLOOKUP(S$5,NFI,5,0),1,0)*Table_NFI[[#This Row],[Plastic Bucket]],Table_NFI[Plastic Bucket])</f>
        <v>#REF!</v>
      </c>
      <c r="AK250" s="542" t="e">
        <f>IF(NFI_Expiration=1,IF(#REF!&lt;VLOOKUP(T$5,NFI,5,0),1,0)*Table_NFI[[#This Row],[Plastic Mat]],Table_NFI[Plastic Mat])*IF(Table_NFI[[#This Row],[Distribution Date]]&gt;"2014-04-01",1,2.5)</f>
        <v>#REF!</v>
      </c>
      <c r="AL250" s="542" t="e">
        <f>IF(NFI_Expiration=1,IF(#REF!&lt;VLOOKUP(U$5,NFI,5,0),1,0)*Table_NFI[[#This Row],[Winter Clothes Adult]],Table_NFI[Winter Clothes Adult])</f>
        <v>#REF!</v>
      </c>
      <c r="AM250" s="542"/>
      <c r="AN250" s="542"/>
      <c r="AO250" s="542"/>
      <c r="AP250" s="542">
        <f>IF(Table_NFI[[#This Row],[Winter Clothes Adult]]+Table_NFI[[#This Row],[Winter Clothes Children]]+Table_NFI[[#This Row],[Winter Items Other]]+Table_NFI[[#This Row],[Winter Blanket]]&gt;0,1,0)</f>
        <v>0</v>
      </c>
      <c r="AQ250" s="542"/>
      <c r="AR250" s="542"/>
      <c r="AS250" s="542"/>
      <c r="AT250" s="205" t="str">
        <f>IFERROR(VLOOKUP(Table_NFI[[#This Row],[Location]],CL,2,0),"")</f>
        <v>MMR001CMP259</v>
      </c>
      <c r="AU250" s="183"/>
    </row>
    <row r="251" spans="2:47" x14ac:dyDescent="0.25">
      <c r="B251" s="540">
        <v>43230</v>
      </c>
      <c r="C251" s="540" t="str">
        <f>MONTH(Table_NFI[[#This Row],[Distribution Date]]) &amp; "/" &amp; YEAR(Table_NFI[[#This Row],[Distribution Date]])</f>
        <v>5/2018</v>
      </c>
      <c r="D251" s="665" t="s">
        <v>1560</v>
      </c>
      <c r="E251" s="665" t="s">
        <v>1560</v>
      </c>
      <c r="F251" s="665" t="s">
        <v>378</v>
      </c>
      <c r="G251" s="197" t="s">
        <v>27</v>
      </c>
      <c r="H251" s="219" t="s">
        <v>363</v>
      </c>
      <c r="I251" s="665"/>
      <c r="J251" s="665"/>
      <c r="K251" s="541"/>
      <c r="L251" s="665"/>
      <c r="M251" s="665"/>
      <c r="N251" s="665">
        <v>100</v>
      </c>
      <c r="O251" s="665">
        <v>20</v>
      </c>
      <c r="P251" s="665">
        <v>100</v>
      </c>
      <c r="Q251" s="665">
        <v>100</v>
      </c>
      <c r="R251" s="541"/>
      <c r="S251" s="665"/>
      <c r="T251" s="665">
        <v>100</v>
      </c>
      <c r="U251" s="541"/>
      <c r="V251" s="541"/>
      <c r="W251" s="541"/>
      <c r="X251" s="541"/>
      <c r="Y251" s="665"/>
      <c r="Z251" s="541"/>
      <c r="AA251" s="541"/>
      <c r="AB251" s="541"/>
      <c r="AC251" s="542" t="e">
        <f>IF(NFI_Expiration=1,IF(#REF!&lt;VLOOKUP(L$5,NFI,5,0),1,0)*Table_NFI[[#This Row],[NFI Core Kit]],Table_NFI[NFI Core Kit])</f>
        <v>#REF!</v>
      </c>
      <c r="AD251" s="542" t="e">
        <f>IF(NFI_Expiration=1,IF(#REF!&lt;VLOOKUP(M$5,NFI,5,0),1,0)*Table_NFI[[#This Row],[Sanitary Kit]],Table_NFI[Sanitary Kit])</f>
        <v>#REF!</v>
      </c>
      <c r="AE251" s="542" t="e">
        <f>IF(NFI_Expiration=1,IF(#REF!&lt;VLOOKUP(N$5,NFI,5,0),1,0)*Table_NFI[[#This Row],[Mosquito net]],Table_NFI[Mosquito net])</f>
        <v>#REF!</v>
      </c>
      <c r="AF251" s="542" t="e">
        <f>IF(NFI_Expiration=1,IF(#REF!&lt;VLOOKUP(O$5,NFI,5,0),1,0)*Table_NFI[[#This Row],[Tarpaulin]],Table_NFI[[#This Row],[Tarpaulin]])</f>
        <v>#REF!</v>
      </c>
      <c r="AG251" s="542" t="e">
        <f>IF(NFI_Expiration=1,IF(#REF!&lt;VLOOKUP(P$5,NFI,5,0),1,0)*Table_NFI[[#This Row],[Blanket]],Table_NFI[[#This Row],[Blanket]])</f>
        <v>#REF!</v>
      </c>
      <c r="AH251" s="542" t="e">
        <f>IF(NFI_Expiration=1,IF(#REF!&lt;VLOOKUP(Q$5,NFI,5,0),1,0)*Table_NFI[[#This Row],[Kitchen Set]],Table_NFI[Kitchen Set])</f>
        <v>#REF!</v>
      </c>
      <c r="AI251" s="542" t="e">
        <f>IF(NFI_Expiration=1,IF(#REF!&lt;VLOOKUP(R$5,NFI,5,0),1,0)*Table_NFI[[#This Row],[Clothes Kit]],Table_NFI[Clothes Kit])</f>
        <v>#REF!</v>
      </c>
      <c r="AJ251" s="542" t="e">
        <f>IF(NFI_Expiration=1,IF(#REF!&lt;VLOOKUP(S$5,NFI,5,0),1,0)*Table_NFI[[#This Row],[Plastic Bucket]],Table_NFI[Plastic Bucket])</f>
        <v>#REF!</v>
      </c>
      <c r="AK251" s="542" t="e">
        <f>IF(NFI_Expiration=1,IF(#REF!&lt;VLOOKUP(T$5,NFI,5,0),1,0)*Table_NFI[[#This Row],[Plastic Mat]],Table_NFI[Plastic Mat])*IF(Table_NFI[[#This Row],[Distribution Date]]&gt;"2014-04-01",1,2.5)</f>
        <v>#REF!</v>
      </c>
      <c r="AL251" s="542" t="e">
        <f>IF(NFI_Expiration=1,IF(#REF!&lt;VLOOKUP(U$5,NFI,5,0),1,0)*Table_NFI[[#This Row],[Winter Clothes Adult]],Table_NFI[Winter Clothes Adult])</f>
        <v>#REF!</v>
      </c>
      <c r="AM251" s="542"/>
      <c r="AN251" s="542"/>
      <c r="AO251" s="542"/>
      <c r="AP251" s="542">
        <f>IF(Table_NFI[[#This Row],[Winter Clothes Adult]]+Table_NFI[[#This Row],[Winter Clothes Children]]+Table_NFI[[#This Row],[Winter Items Other]]+Table_NFI[[#This Row],[Winter Blanket]]&gt;0,1,0)</f>
        <v>0</v>
      </c>
      <c r="AQ251" s="542"/>
      <c r="AR251" s="542"/>
      <c r="AS251" s="542"/>
      <c r="AT251" s="205" t="str">
        <f>IFERROR(VLOOKUP(Table_NFI[[#This Row],[Location]],CL,2,0),"")</f>
        <v>MMR001CMP195</v>
      </c>
      <c r="AU251" s="183"/>
    </row>
    <row r="252" spans="2:47" x14ac:dyDescent="0.25">
      <c r="B252" s="540">
        <v>43230</v>
      </c>
      <c r="C252" s="540" t="str">
        <f>MONTH(Table_NFI[[#This Row],[Distribution Date]]) &amp; "/" &amp; YEAR(Table_NFI[[#This Row],[Distribution Date]])</f>
        <v>5/2018</v>
      </c>
      <c r="D252" s="665" t="s">
        <v>1560</v>
      </c>
      <c r="E252" s="665" t="s">
        <v>1560</v>
      </c>
      <c r="F252" s="665" t="s">
        <v>378</v>
      </c>
      <c r="G252" s="197" t="s">
        <v>27</v>
      </c>
      <c r="H252" s="680" t="s">
        <v>28</v>
      </c>
      <c r="I252" s="675"/>
      <c r="J252" s="676"/>
      <c r="K252" s="676"/>
      <c r="L252" s="676"/>
      <c r="M252" s="676"/>
      <c r="N252" s="679">
        <v>30</v>
      </c>
      <c r="O252" s="679"/>
      <c r="P252" s="679">
        <v>30</v>
      </c>
      <c r="Q252" s="679">
        <v>30</v>
      </c>
      <c r="R252" s="679"/>
      <c r="S252" s="679"/>
      <c r="T252" s="679">
        <v>30</v>
      </c>
      <c r="U252" s="676"/>
      <c r="V252" s="676"/>
      <c r="W252" s="676"/>
      <c r="X252" s="676"/>
      <c r="Y252" s="676"/>
      <c r="Z252" s="676"/>
      <c r="AA252" s="676"/>
      <c r="AB252" s="676"/>
      <c r="AC252" s="677" t="e">
        <f>IF(NFI_Expiration=1,IF(#REF!&lt;VLOOKUP(L$5,NFI,5,0),1,0)*Table_NFI[[#This Row],[NFI Core Kit]],Table_NFI[NFI Core Kit])</f>
        <v>#REF!</v>
      </c>
      <c r="AD252" s="677" t="e">
        <f>IF(NFI_Expiration=1,IF(#REF!&lt;VLOOKUP(M$5,NFI,5,0),1,0)*Table_NFI[[#This Row],[Sanitary Kit]],Table_NFI[Sanitary Kit])</f>
        <v>#REF!</v>
      </c>
      <c r="AE252" s="677" t="e">
        <f>IF(NFI_Expiration=1,IF(#REF!&lt;VLOOKUP(N$5,NFI,5,0),1,0)*Table_NFI[[#This Row],[Mosquito net]],Table_NFI[Mosquito net])</f>
        <v>#REF!</v>
      </c>
      <c r="AF252" s="677" t="e">
        <f>IF(NFI_Expiration=1,IF(#REF!&lt;VLOOKUP(O$5,NFI,5,0),1,0)*Table_NFI[[#This Row],[Tarpaulin]],Table_NFI[[#This Row],[Tarpaulin]])</f>
        <v>#REF!</v>
      </c>
      <c r="AG252" s="677" t="e">
        <f>IF(NFI_Expiration=1,IF(#REF!&lt;VLOOKUP(P$5,NFI,5,0),1,0)*Table_NFI[[#This Row],[Blanket]],Table_NFI[[#This Row],[Blanket]])</f>
        <v>#REF!</v>
      </c>
      <c r="AH252" s="677" t="e">
        <f>IF(NFI_Expiration=1,IF(#REF!&lt;VLOOKUP(Q$5,NFI,5,0),1,0)*Table_NFI[[#This Row],[Kitchen Set]],Table_NFI[Kitchen Set])</f>
        <v>#REF!</v>
      </c>
      <c r="AI252" s="677" t="e">
        <f>IF(NFI_Expiration=1,IF(#REF!&lt;VLOOKUP(R$5,NFI,5,0),1,0)*Table_NFI[[#This Row],[Clothes Kit]],Table_NFI[Clothes Kit])</f>
        <v>#REF!</v>
      </c>
      <c r="AJ252" s="677" t="e">
        <f>IF(NFI_Expiration=1,IF(#REF!&lt;VLOOKUP(S$5,NFI,5,0),1,0)*Table_NFI[[#This Row],[Plastic Bucket]],Table_NFI[Plastic Bucket])</f>
        <v>#REF!</v>
      </c>
      <c r="AK252" s="677" t="e">
        <f>IF(NFI_Expiration=1,IF(#REF!&lt;VLOOKUP(T$5,NFI,5,0),1,0)*Table_NFI[[#This Row],[Plastic Mat]],Table_NFI[Plastic Mat])*IF(Table_NFI[[#This Row],[Distribution Date]]&gt;"2014-04-01",1,2.5)</f>
        <v>#REF!</v>
      </c>
      <c r="AL252" s="677" t="e">
        <f>IF(NFI_Expiration=1,IF(#REF!&lt;VLOOKUP(U$5,NFI,5,0),1,0)*Table_NFI[[#This Row],[Winter Clothes Adult]],Table_NFI[Winter Clothes Adult])</f>
        <v>#REF!</v>
      </c>
      <c r="AM252" s="677"/>
      <c r="AN252" s="677"/>
      <c r="AO252" s="677"/>
      <c r="AP252" s="677">
        <f>IF(Table_NFI[[#This Row],[Winter Clothes Adult]]+Table_NFI[[#This Row],[Winter Clothes Children]]+Table_NFI[[#This Row],[Winter Items Other]]+Table_NFI[[#This Row],[Winter Blanket]]&gt;0,1,0)</f>
        <v>0</v>
      </c>
      <c r="AQ252" s="677"/>
      <c r="AR252" s="677"/>
      <c r="AS252" s="677"/>
      <c r="AT252" s="678" t="str">
        <f>IFERROR(VLOOKUP(Table_NFI[[#This Row],[Location]],CL,2,0),"")</f>
        <v>MMR001CMP042</v>
      </c>
      <c r="AU252" s="675"/>
    </row>
    <row r="253" spans="2:47" x14ac:dyDescent="0.25">
      <c r="B253" s="540">
        <v>43228</v>
      </c>
      <c r="C253" s="540" t="str">
        <f>MONTH(Table_NFI[[#This Row],[Distribution Date]]) &amp; "/" &amp; YEAR(Table_NFI[[#This Row],[Distribution Date]])</f>
        <v>5/2018</v>
      </c>
      <c r="D253" s="665" t="s">
        <v>420</v>
      </c>
      <c r="E253" s="665" t="s">
        <v>420</v>
      </c>
      <c r="F253" s="665" t="s">
        <v>378</v>
      </c>
      <c r="G253" s="197" t="s">
        <v>237</v>
      </c>
      <c r="H253" s="219" t="s">
        <v>1671</v>
      </c>
      <c r="I253" s="665"/>
      <c r="J253" s="665"/>
      <c r="K253" s="541"/>
      <c r="L253" s="665"/>
      <c r="M253" s="665"/>
      <c r="N253" s="665"/>
      <c r="O253" s="665">
        <v>26</v>
      </c>
      <c r="P253" s="665"/>
      <c r="Q253" s="665"/>
      <c r="R253" s="541"/>
      <c r="S253" s="665"/>
      <c r="T253" s="665"/>
      <c r="U253" s="541"/>
      <c r="V253" s="541"/>
      <c r="W253" s="541"/>
      <c r="X253" s="541"/>
      <c r="Y253" s="665"/>
      <c r="Z253" s="541"/>
      <c r="AA253" s="541"/>
      <c r="AB253" s="541"/>
      <c r="AC253" s="542" t="e">
        <f>IF(NFI_Expiration=1,IF(#REF!&lt;VLOOKUP(L$5,NFI,5,0),1,0)*Table_NFI[[#This Row],[NFI Core Kit]],Table_NFI[NFI Core Kit])</f>
        <v>#REF!</v>
      </c>
      <c r="AD253" s="542" t="e">
        <f>IF(NFI_Expiration=1,IF(#REF!&lt;VLOOKUP(M$5,NFI,5,0),1,0)*Table_NFI[[#This Row],[Sanitary Kit]],Table_NFI[Sanitary Kit])</f>
        <v>#REF!</v>
      </c>
      <c r="AE253" s="542" t="e">
        <f>IF(NFI_Expiration=1,IF(#REF!&lt;VLOOKUP(N$5,NFI,5,0),1,0)*Table_NFI[[#This Row],[Mosquito net]],Table_NFI[Mosquito net])</f>
        <v>#REF!</v>
      </c>
      <c r="AF253" s="542" t="e">
        <f>IF(NFI_Expiration=1,IF(#REF!&lt;VLOOKUP(O$5,NFI,5,0),1,0)*Table_NFI[[#This Row],[Tarpaulin]],Table_NFI[[#This Row],[Tarpaulin]])</f>
        <v>#REF!</v>
      </c>
      <c r="AG253" s="542" t="e">
        <f>IF(NFI_Expiration=1,IF(#REF!&lt;VLOOKUP(P$5,NFI,5,0),1,0)*Table_NFI[[#This Row],[Blanket]],Table_NFI[[#This Row],[Blanket]])</f>
        <v>#REF!</v>
      </c>
      <c r="AH253" s="542" t="e">
        <f>IF(NFI_Expiration=1,IF(#REF!&lt;VLOOKUP(Q$5,NFI,5,0),1,0)*Table_NFI[[#This Row],[Kitchen Set]],Table_NFI[Kitchen Set])</f>
        <v>#REF!</v>
      </c>
      <c r="AI253" s="542" t="e">
        <f>IF(NFI_Expiration=1,IF(#REF!&lt;VLOOKUP(R$5,NFI,5,0),1,0)*Table_NFI[[#This Row],[Clothes Kit]],Table_NFI[Clothes Kit])</f>
        <v>#REF!</v>
      </c>
      <c r="AJ253" s="542" t="e">
        <f>IF(NFI_Expiration=1,IF(#REF!&lt;VLOOKUP(S$5,NFI,5,0),1,0)*Table_NFI[[#This Row],[Plastic Bucket]],Table_NFI[Plastic Bucket])</f>
        <v>#REF!</v>
      </c>
      <c r="AK253" s="542" t="e">
        <f>IF(NFI_Expiration=1,IF(#REF!&lt;VLOOKUP(T$5,NFI,5,0),1,0)*Table_NFI[[#This Row],[Plastic Mat]],Table_NFI[Plastic Mat])*IF(Table_NFI[[#This Row],[Distribution Date]]&gt;"2014-04-01",1,2.5)</f>
        <v>#REF!</v>
      </c>
      <c r="AL253" s="542" t="e">
        <f>IF(NFI_Expiration=1,IF(#REF!&lt;VLOOKUP(U$5,NFI,5,0),1,0)*Table_NFI[[#This Row],[Winter Clothes Adult]],Table_NFI[Winter Clothes Adult])</f>
        <v>#REF!</v>
      </c>
      <c r="AM253" s="542"/>
      <c r="AN253" s="542"/>
      <c r="AO253" s="542"/>
      <c r="AP253" s="542">
        <f>IF(Table_NFI[[#This Row],[Winter Clothes Adult]]+Table_NFI[[#This Row],[Winter Clothes Children]]+Table_NFI[[#This Row],[Winter Items Other]]+Table_NFI[[#This Row],[Winter Blanket]]&gt;0,1,0)</f>
        <v>0</v>
      </c>
      <c r="AQ253" s="542"/>
      <c r="AR253" s="542"/>
      <c r="AS253" s="542"/>
      <c r="AT253" s="205" t="str">
        <f>IFERROR(VLOOKUP(Table_NFI[[#This Row],[Location]],CL,2,0),"")</f>
        <v>MMR001CMP264</v>
      </c>
      <c r="AU253" s="183"/>
    </row>
    <row r="254" spans="2:47" x14ac:dyDescent="0.25">
      <c r="B254" s="540">
        <v>43228</v>
      </c>
      <c r="C254" s="540" t="str">
        <f>MONTH(Table_NFI[[#This Row],[Distribution Date]]) &amp; "/" &amp; YEAR(Table_NFI[[#This Row],[Distribution Date]])</f>
        <v>5/2018</v>
      </c>
      <c r="D254" s="665" t="s">
        <v>420</v>
      </c>
      <c r="E254" s="665" t="s">
        <v>1623</v>
      </c>
      <c r="F254" s="665" t="s">
        <v>378</v>
      </c>
      <c r="G254" s="197" t="s">
        <v>480</v>
      </c>
      <c r="H254" s="219" t="s">
        <v>1639</v>
      </c>
      <c r="I254" s="665"/>
      <c r="J254" s="665"/>
      <c r="K254" s="541"/>
      <c r="L254" s="665"/>
      <c r="M254" s="665"/>
      <c r="N254" s="665"/>
      <c r="O254" s="665"/>
      <c r="P254" s="665"/>
      <c r="Q254" s="665">
        <v>40</v>
      </c>
      <c r="R254" s="541"/>
      <c r="S254" s="665"/>
      <c r="T254" s="665"/>
      <c r="U254" s="541"/>
      <c r="V254" s="541"/>
      <c r="W254" s="541"/>
      <c r="X254" s="541"/>
      <c r="Y254" s="665"/>
      <c r="Z254" s="541"/>
      <c r="AA254" s="541"/>
      <c r="AB254" s="541"/>
      <c r="AC254" s="542" t="e">
        <f>IF(NFI_Expiration=1,IF(#REF!&lt;VLOOKUP(L$5,NFI,5,0),1,0)*Table_NFI[[#This Row],[NFI Core Kit]],Table_NFI[NFI Core Kit])</f>
        <v>#REF!</v>
      </c>
      <c r="AD254" s="542" t="e">
        <f>IF(NFI_Expiration=1,IF(#REF!&lt;VLOOKUP(M$5,NFI,5,0),1,0)*Table_NFI[[#This Row],[Sanitary Kit]],Table_NFI[Sanitary Kit])</f>
        <v>#REF!</v>
      </c>
      <c r="AE254" s="542" t="e">
        <f>IF(NFI_Expiration=1,IF(#REF!&lt;VLOOKUP(N$5,NFI,5,0),1,0)*Table_NFI[[#This Row],[Mosquito net]],Table_NFI[Mosquito net])</f>
        <v>#REF!</v>
      </c>
      <c r="AF254" s="542" t="e">
        <f>IF(NFI_Expiration=1,IF(#REF!&lt;VLOOKUP(O$5,NFI,5,0),1,0)*Table_NFI[[#This Row],[Tarpaulin]],Table_NFI[[#This Row],[Tarpaulin]])</f>
        <v>#REF!</v>
      </c>
      <c r="AG254" s="542" t="e">
        <f>IF(NFI_Expiration=1,IF(#REF!&lt;VLOOKUP(P$5,NFI,5,0),1,0)*Table_NFI[[#This Row],[Blanket]],Table_NFI[[#This Row],[Blanket]])</f>
        <v>#REF!</v>
      </c>
      <c r="AH254" s="542" t="e">
        <f>IF(NFI_Expiration=1,IF(#REF!&lt;VLOOKUP(Q$5,NFI,5,0),1,0)*Table_NFI[[#This Row],[Kitchen Set]],Table_NFI[Kitchen Set])</f>
        <v>#REF!</v>
      </c>
      <c r="AI254" s="542" t="e">
        <f>IF(NFI_Expiration=1,IF(#REF!&lt;VLOOKUP(R$5,NFI,5,0),1,0)*Table_NFI[[#This Row],[Clothes Kit]],Table_NFI[Clothes Kit])</f>
        <v>#REF!</v>
      </c>
      <c r="AJ254" s="542" t="e">
        <f>IF(NFI_Expiration=1,IF(#REF!&lt;VLOOKUP(S$5,NFI,5,0),1,0)*Table_NFI[[#This Row],[Plastic Bucket]],Table_NFI[Plastic Bucket])</f>
        <v>#REF!</v>
      </c>
      <c r="AK254" s="542" t="e">
        <f>IF(NFI_Expiration=1,IF(#REF!&lt;VLOOKUP(T$5,NFI,5,0),1,0)*Table_NFI[[#This Row],[Plastic Mat]],Table_NFI[Plastic Mat])*IF(Table_NFI[[#This Row],[Distribution Date]]&gt;"2014-04-01",1,2.5)</f>
        <v>#REF!</v>
      </c>
      <c r="AL254" s="542" t="e">
        <f>IF(NFI_Expiration=1,IF(#REF!&lt;VLOOKUP(U$5,NFI,5,0),1,0)*Table_NFI[[#This Row],[Winter Clothes Adult]],Table_NFI[Winter Clothes Adult])</f>
        <v>#REF!</v>
      </c>
      <c r="AM254" s="542"/>
      <c r="AN254" s="542"/>
      <c r="AO254" s="542"/>
      <c r="AP254" s="542">
        <f>IF(Table_NFI[[#This Row],[Winter Clothes Adult]]+Table_NFI[[#This Row],[Winter Clothes Children]]+Table_NFI[[#This Row],[Winter Items Other]]+Table_NFI[[#This Row],[Winter Blanket]]&gt;0,1,0)</f>
        <v>0</v>
      </c>
      <c r="AQ254" s="542"/>
      <c r="AR254" s="542"/>
      <c r="AS254" s="542"/>
      <c r="AT254" s="205" t="str">
        <f>IFERROR(VLOOKUP(Table_NFI[[#This Row],[Location]],CL,2,0),"")</f>
        <v>MMR001CMP268</v>
      </c>
      <c r="AU254" s="183"/>
    </row>
    <row r="255" spans="2:47" x14ac:dyDescent="0.25">
      <c r="B255" s="540">
        <v>43228</v>
      </c>
      <c r="C255" s="540" t="str">
        <f>MONTH(Table_NFI[[#This Row],[Distribution Date]]) &amp; "/" &amp; YEAR(Table_NFI[[#This Row],[Distribution Date]])</f>
        <v>5/2018</v>
      </c>
      <c r="D255" s="665" t="s">
        <v>420</v>
      </c>
      <c r="E255" s="665" t="s">
        <v>1623</v>
      </c>
      <c r="F255" s="665" t="s">
        <v>378</v>
      </c>
      <c r="G255" s="197" t="s">
        <v>237</v>
      </c>
      <c r="H255" s="219" t="s">
        <v>1671</v>
      </c>
      <c r="I255" s="665"/>
      <c r="J255" s="665">
        <v>251</v>
      </c>
      <c r="K255" s="541"/>
      <c r="L255" s="665"/>
      <c r="M255" s="665"/>
      <c r="N255" s="665"/>
      <c r="O255" s="665"/>
      <c r="P255" s="665"/>
      <c r="Q255" s="665">
        <v>251</v>
      </c>
      <c r="R255" s="541"/>
      <c r="S255" s="665"/>
      <c r="T255" s="665"/>
      <c r="U255" s="541"/>
      <c r="V255" s="541"/>
      <c r="W255" s="541"/>
      <c r="X255" s="541"/>
      <c r="Y255" s="665"/>
      <c r="Z255" s="541"/>
      <c r="AA255" s="541"/>
      <c r="AB255" s="541"/>
      <c r="AC255" s="542" t="e">
        <f>IF(NFI_Expiration=1,IF(#REF!&lt;VLOOKUP(L$5,NFI,5,0),1,0)*Table_NFI[[#This Row],[NFI Core Kit]],Table_NFI[NFI Core Kit])</f>
        <v>#REF!</v>
      </c>
      <c r="AD255" s="542" t="e">
        <f>IF(NFI_Expiration=1,IF(#REF!&lt;VLOOKUP(M$5,NFI,5,0),1,0)*Table_NFI[[#This Row],[Sanitary Kit]],Table_NFI[Sanitary Kit])</f>
        <v>#REF!</v>
      </c>
      <c r="AE255" s="542" t="e">
        <f>IF(NFI_Expiration=1,IF(#REF!&lt;VLOOKUP(N$5,NFI,5,0),1,0)*Table_NFI[[#This Row],[Mosquito net]],Table_NFI[Mosquito net])</f>
        <v>#REF!</v>
      </c>
      <c r="AF255" s="542" t="e">
        <f>IF(NFI_Expiration=1,IF(#REF!&lt;VLOOKUP(O$5,NFI,5,0),1,0)*Table_NFI[[#This Row],[Tarpaulin]],Table_NFI[[#This Row],[Tarpaulin]])</f>
        <v>#REF!</v>
      </c>
      <c r="AG255" s="542" t="e">
        <f>IF(NFI_Expiration=1,IF(#REF!&lt;VLOOKUP(P$5,NFI,5,0),1,0)*Table_NFI[[#This Row],[Blanket]],Table_NFI[[#This Row],[Blanket]])</f>
        <v>#REF!</v>
      </c>
      <c r="AH255" s="542" t="e">
        <f>IF(NFI_Expiration=1,IF(#REF!&lt;VLOOKUP(Q$5,NFI,5,0),1,0)*Table_NFI[[#This Row],[Kitchen Set]],Table_NFI[Kitchen Set])</f>
        <v>#REF!</v>
      </c>
      <c r="AI255" s="542" t="e">
        <f>IF(NFI_Expiration=1,IF(#REF!&lt;VLOOKUP(R$5,NFI,5,0),1,0)*Table_NFI[[#This Row],[Clothes Kit]],Table_NFI[Clothes Kit])</f>
        <v>#REF!</v>
      </c>
      <c r="AJ255" s="542" t="e">
        <f>IF(NFI_Expiration=1,IF(#REF!&lt;VLOOKUP(S$5,NFI,5,0),1,0)*Table_NFI[[#This Row],[Plastic Bucket]],Table_NFI[Plastic Bucket])</f>
        <v>#REF!</v>
      </c>
      <c r="AK255" s="542" t="e">
        <f>IF(NFI_Expiration=1,IF(#REF!&lt;VLOOKUP(T$5,NFI,5,0),1,0)*Table_NFI[[#This Row],[Plastic Mat]],Table_NFI[Plastic Mat])*IF(Table_NFI[[#This Row],[Distribution Date]]&gt;"2014-04-01",1,2.5)</f>
        <v>#REF!</v>
      </c>
      <c r="AL255" s="542" t="e">
        <f>IF(NFI_Expiration=1,IF(#REF!&lt;VLOOKUP(U$5,NFI,5,0),1,0)*Table_NFI[[#This Row],[Winter Clothes Adult]],Table_NFI[Winter Clothes Adult])</f>
        <v>#REF!</v>
      </c>
      <c r="AM255" s="542"/>
      <c r="AN255" s="542"/>
      <c r="AO255" s="542"/>
      <c r="AP255" s="542">
        <f>IF(Table_NFI[[#This Row],[Winter Clothes Adult]]+Table_NFI[[#This Row],[Winter Clothes Children]]+Table_NFI[[#This Row],[Winter Items Other]]+Table_NFI[[#This Row],[Winter Blanket]]&gt;0,1,0)</f>
        <v>0</v>
      </c>
      <c r="AQ255" s="542"/>
      <c r="AR255" s="542"/>
      <c r="AS255" s="542"/>
      <c r="AT255" s="205" t="str">
        <f>IFERROR(VLOOKUP(Table_NFI[[#This Row],[Location]],CL,2,0),"")</f>
        <v>MMR001CMP264</v>
      </c>
      <c r="AU255" s="183"/>
    </row>
    <row r="256" spans="2:47" x14ac:dyDescent="0.25">
      <c r="B256" s="540">
        <v>43228</v>
      </c>
      <c r="C256" s="540" t="str">
        <f>MONTH(Table_NFI[[#This Row],[Distribution Date]]) &amp; "/" &amp; YEAR(Table_NFI[[#This Row],[Distribution Date]])</f>
        <v>5/2018</v>
      </c>
      <c r="D256" s="665" t="s">
        <v>420</v>
      </c>
      <c r="E256" s="665" t="s">
        <v>1623</v>
      </c>
      <c r="F256" s="665" t="s">
        <v>378</v>
      </c>
      <c r="G256" s="197" t="s">
        <v>237</v>
      </c>
      <c r="H256" s="219" t="s">
        <v>1729</v>
      </c>
      <c r="I256" s="665"/>
      <c r="J256" s="665">
        <v>160</v>
      </c>
      <c r="K256" s="541"/>
      <c r="L256" s="665"/>
      <c r="M256" s="665"/>
      <c r="N256" s="665"/>
      <c r="O256" s="665"/>
      <c r="P256" s="665"/>
      <c r="Q256" s="665">
        <v>160</v>
      </c>
      <c r="R256" s="541"/>
      <c r="S256" s="665"/>
      <c r="T256" s="665"/>
      <c r="U256" s="541"/>
      <c r="V256" s="541"/>
      <c r="W256" s="541"/>
      <c r="X256" s="541"/>
      <c r="Y256" s="665"/>
      <c r="Z256" s="541"/>
      <c r="AA256" s="541"/>
      <c r="AB256" s="541"/>
      <c r="AC256" s="542" t="e">
        <f>IF(NFI_Expiration=1,IF(#REF!&lt;VLOOKUP(L$5,NFI,5,0),1,0)*Table_NFI[[#This Row],[NFI Core Kit]],Table_NFI[NFI Core Kit])</f>
        <v>#REF!</v>
      </c>
      <c r="AD256" s="542" t="e">
        <f>IF(NFI_Expiration=1,IF(#REF!&lt;VLOOKUP(M$5,NFI,5,0),1,0)*Table_NFI[[#This Row],[Sanitary Kit]],Table_NFI[Sanitary Kit])</f>
        <v>#REF!</v>
      </c>
      <c r="AE256" s="542" t="e">
        <f>IF(NFI_Expiration=1,IF(#REF!&lt;VLOOKUP(N$5,NFI,5,0),1,0)*Table_NFI[[#This Row],[Mosquito net]],Table_NFI[Mosquito net])</f>
        <v>#REF!</v>
      </c>
      <c r="AF256" s="542" t="e">
        <f>IF(NFI_Expiration=1,IF(#REF!&lt;VLOOKUP(O$5,NFI,5,0),1,0)*Table_NFI[[#This Row],[Tarpaulin]],Table_NFI[[#This Row],[Tarpaulin]])</f>
        <v>#REF!</v>
      </c>
      <c r="AG256" s="542" t="e">
        <f>IF(NFI_Expiration=1,IF(#REF!&lt;VLOOKUP(P$5,NFI,5,0),1,0)*Table_NFI[[#This Row],[Blanket]],Table_NFI[[#This Row],[Blanket]])</f>
        <v>#REF!</v>
      </c>
      <c r="AH256" s="542" t="e">
        <f>IF(NFI_Expiration=1,IF(#REF!&lt;VLOOKUP(Q$5,NFI,5,0),1,0)*Table_NFI[[#This Row],[Kitchen Set]],Table_NFI[Kitchen Set])</f>
        <v>#REF!</v>
      </c>
      <c r="AI256" s="542" t="e">
        <f>IF(NFI_Expiration=1,IF(#REF!&lt;VLOOKUP(R$5,NFI,5,0),1,0)*Table_NFI[[#This Row],[Clothes Kit]],Table_NFI[Clothes Kit])</f>
        <v>#REF!</v>
      </c>
      <c r="AJ256" s="542" t="e">
        <f>IF(NFI_Expiration=1,IF(#REF!&lt;VLOOKUP(S$5,NFI,5,0),1,0)*Table_NFI[[#This Row],[Plastic Bucket]],Table_NFI[Plastic Bucket])</f>
        <v>#REF!</v>
      </c>
      <c r="AK256" s="542" t="e">
        <f>IF(NFI_Expiration=1,IF(#REF!&lt;VLOOKUP(T$5,NFI,5,0),1,0)*Table_NFI[[#This Row],[Plastic Mat]],Table_NFI[Plastic Mat])*IF(Table_NFI[[#This Row],[Distribution Date]]&gt;"2014-04-01",1,2.5)</f>
        <v>#REF!</v>
      </c>
      <c r="AL256" s="542" t="e">
        <f>IF(NFI_Expiration=1,IF(#REF!&lt;VLOOKUP(U$5,NFI,5,0),1,0)*Table_NFI[[#This Row],[Winter Clothes Adult]],Table_NFI[Winter Clothes Adult])</f>
        <v>#REF!</v>
      </c>
      <c r="AM256" s="542"/>
      <c r="AN256" s="542"/>
      <c r="AO256" s="542"/>
      <c r="AP256" s="542">
        <f>IF(Table_NFI[[#This Row],[Winter Clothes Adult]]+Table_NFI[[#This Row],[Winter Clothes Children]]+Table_NFI[[#This Row],[Winter Items Other]]+Table_NFI[[#This Row],[Winter Blanket]]&gt;0,1,0)</f>
        <v>0</v>
      </c>
      <c r="AQ256" s="542"/>
      <c r="AR256" s="542"/>
      <c r="AS256" s="542"/>
      <c r="AT256" s="205" t="str">
        <f>IFERROR(VLOOKUP(Table_NFI[[#This Row],[Location]],CL,2,0),"")</f>
        <v>MMR001CMP263</v>
      </c>
      <c r="AU256" s="183"/>
    </row>
    <row r="257" spans="2:47" x14ac:dyDescent="0.25">
      <c r="B257" s="540">
        <v>43228</v>
      </c>
      <c r="C257" s="540" t="str">
        <f>MONTH(Table_NFI[[#This Row],[Distribution Date]]) &amp; "/" &amp; YEAR(Table_NFI[[#This Row],[Distribution Date]])</f>
        <v>5/2018</v>
      </c>
      <c r="D257" s="665" t="s">
        <v>420</v>
      </c>
      <c r="E257" s="665" t="s">
        <v>1623</v>
      </c>
      <c r="F257" s="665" t="s">
        <v>378</v>
      </c>
      <c r="G257" s="197" t="s">
        <v>1135</v>
      </c>
      <c r="H257" s="219" t="s">
        <v>1400</v>
      </c>
      <c r="I257" s="665"/>
      <c r="J257" s="665">
        <v>101</v>
      </c>
      <c r="K257" s="541"/>
      <c r="L257" s="665"/>
      <c r="M257" s="665"/>
      <c r="N257" s="665"/>
      <c r="O257" s="665"/>
      <c r="P257" s="665"/>
      <c r="Q257" s="665">
        <v>101</v>
      </c>
      <c r="R257" s="541"/>
      <c r="S257" s="665"/>
      <c r="T257" s="665"/>
      <c r="U257" s="541"/>
      <c r="V257" s="541"/>
      <c r="W257" s="541"/>
      <c r="X257" s="541"/>
      <c r="Y257" s="665"/>
      <c r="Z257" s="541"/>
      <c r="AA257" s="541"/>
      <c r="AB257" s="541"/>
      <c r="AC257" s="542" t="e">
        <f>IF(NFI_Expiration=1,IF(#REF!&lt;VLOOKUP(L$5,NFI,5,0),1,0)*Table_NFI[[#This Row],[NFI Core Kit]],Table_NFI[NFI Core Kit])</f>
        <v>#REF!</v>
      </c>
      <c r="AD257" s="542" t="e">
        <f>IF(NFI_Expiration=1,IF(#REF!&lt;VLOOKUP(M$5,NFI,5,0),1,0)*Table_NFI[[#This Row],[Sanitary Kit]],Table_NFI[Sanitary Kit])</f>
        <v>#REF!</v>
      </c>
      <c r="AE257" s="542" t="e">
        <f>IF(NFI_Expiration=1,IF(#REF!&lt;VLOOKUP(N$5,NFI,5,0),1,0)*Table_NFI[[#This Row],[Mosquito net]],Table_NFI[Mosquito net])</f>
        <v>#REF!</v>
      </c>
      <c r="AF257" s="542" t="e">
        <f>IF(NFI_Expiration=1,IF(#REF!&lt;VLOOKUP(O$5,NFI,5,0),1,0)*Table_NFI[[#This Row],[Tarpaulin]],Table_NFI[[#This Row],[Tarpaulin]])</f>
        <v>#REF!</v>
      </c>
      <c r="AG257" s="542" t="e">
        <f>IF(NFI_Expiration=1,IF(#REF!&lt;VLOOKUP(P$5,NFI,5,0),1,0)*Table_NFI[[#This Row],[Blanket]],Table_NFI[[#This Row],[Blanket]])</f>
        <v>#REF!</v>
      </c>
      <c r="AH257" s="542" t="e">
        <f>IF(NFI_Expiration=1,IF(#REF!&lt;VLOOKUP(Q$5,NFI,5,0),1,0)*Table_NFI[[#This Row],[Kitchen Set]],Table_NFI[Kitchen Set])</f>
        <v>#REF!</v>
      </c>
      <c r="AI257" s="542" t="e">
        <f>IF(NFI_Expiration=1,IF(#REF!&lt;VLOOKUP(R$5,NFI,5,0),1,0)*Table_NFI[[#This Row],[Clothes Kit]],Table_NFI[Clothes Kit])</f>
        <v>#REF!</v>
      </c>
      <c r="AJ257" s="542" t="e">
        <f>IF(NFI_Expiration=1,IF(#REF!&lt;VLOOKUP(S$5,NFI,5,0),1,0)*Table_NFI[[#This Row],[Plastic Bucket]],Table_NFI[Plastic Bucket])</f>
        <v>#REF!</v>
      </c>
      <c r="AK257" s="542" t="e">
        <f>IF(NFI_Expiration=1,IF(#REF!&lt;VLOOKUP(T$5,NFI,5,0),1,0)*Table_NFI[[#This Row],[Plastic Mat]],Table_NFI[Plastic Mat])*IF(Table_NFI[[#This Row],[Distribution Date]]&gt;"2014-04-01",1,2.5)</f>
        <v>#REF!</v>
      </c>
      <c r="AL257" s="542" t="e">
        <f>IF(NFI_Expiration=1,IF(#REF!&lt;VLOOKUP(U$5,NFI,5,0),1,0)*Table_NFI[[#This Row],[Winter Clothes Adult]],Table_NFI[Winter Clothes Adult])</f>
        <v>#REF!</v>
      </c>
      <c r="AM257" s="542"/>
      <c r="AN257" s="542"/>
      <c r="AO257" s="542"/>
      <c r="AP257" s="542">
        <f>IF(Table_NFI[[#This Row],[Winter Clothes Adult]]+Table_NFI[[#This Row],[Winter Clothes Children]]+Table_NFI[[#This Row],[Winter Items Other]]+Table_NFI[[#This Row],[Winter Blanket]]&gt;0,1,0)</f>
        <v>0</v>
      </c>
      <c r="AQ257" s="542"/>
      <c r="AR257" s="542"/>
      <c r="AS257" s="542"/>
      <c r="AT257" s="205" t="str">
        <f>IFERROR(VLOOKUP(Table_NFI[[#This Row],[Location]],CL,2,0),"")</f>
        <v/>
      </c>
      <c r="AU257" s="183"/>
    </row>
    <row r="258" spans="2:47" x14ac:dyDescent="0.25">
      <c r="B258" s="540">
        <v>43228</v>
      </c>
      <c r="C258" s="540" t="str">
        <f>MONTH(Table_NFI[[#This Row],[Distribution Date]]) &amp; "/" &amp; YEAR(Table_NFI[[#This Row],[Distribution Date]])</f>
        <v>5/2018</v>
      </c>
      <c r="D258" s="665" t="s">
        <v>420</v>
      </c>
      <c r="E258" s="665" t="s">
        <v>1623</v>
      </c>
      <c r="F258" s="665" t="s">
        <v>378</v>
      </c>
      <c r="G258" s="197" t="s">
        <v>237</v>
      </c>
      <c r="H258" s="219" t="s">
        <v>1730</v>
      </c>
      <c r="I258" s="665"/>
      <c r="J258" s="665">
        <v>86</v>
      </c>
      <c r="K258" s="541"/>
      <c r="L258" s="665"/>
      <c r="M258" s="665"/>
      <c r="N258" s="665"/>
      <c r="O258" s="665"/>
      <c r="P258" s="665"/>
      <c r="Q258" s="665">
        <v>86</v>
      </c>
      <c r="R258" s="541"/>
      <c r="S258" s="665"/>
      <c r="T258" s="665"/>
      <c r="U258" s="541"/>
      <c r="V258" s="541"/>
      <c r="W258" s="541"/>
      <c r="X258" s="541"/>
      <c r="Y258" s="665"/>
      <c r="Z258" s="541"/>
      <c r="AA258" s="541"/>
      <c r="AB258" s="541"/>
      <c r="AC258" s="542" t="e">
        <f>IF(NFI_Expiration=1,IF(#REF!&lt;VLOOKUP(L$5,NFI,5,0),1,0)*Table_NFI[[#This Row],[NFI Core Kit]],Table_NFI[NFI Core Kit])</f>
        <v>#REF!</v>
      </c>
      <c r="AD258" s="542" t="e">
        <f>IF(NFI_Expiration=1,IF(#REF!&lt;VLOOKUP(M$5,NFI,5,0),1,0)*Table_NFI[[#This Row],[Sanitary Kit]],Table_NFI[Sanitary Kit])</f>
        <v>#REF!</v>
      </c>
      <c r="AE258" s="542" t="e">
        <f>IF(NFI_Expiration=1,IF(#REF!&lt;VLOOKUP(N$5,NFI,5,0),1,0)*Table_NFI[[#This Row],[Mosquito net]],Table_NFI[Mosquito net])</f>
        <v>#REF!</v>
      </c>
      <c r="AF258" s="542" t="e">
        <f>IF(NFI_Expiration=1,IF(#REF!&lt;VLOOKUP(O$5,NFI,5,0),1,0)*Table_NFI[[#This Row],[Tarpaulin]],Table_NFI[[#This Row],[Tarpaulin]])</f>
        <v>#REF!</v>
      </c>
      <c r="AG258" s="542" t="e">
        <f>IF(NFI_Expiration=1,IF(#REF!&lt;VLOOKUP(P$5,NFI,5,0),1,0)*Table_NFI[[#This Row],[Blanket]],Table_NFI[[#This Row],[Blanket]])</f>
        <v>#REF!</v>
      </c>
      <c r="AH258" s="542" t="e">
        <f>IF(NFI_Expiration=1,IF(#REF!&lt;VLOOKUP(Q$5,NFI,5,0),1,0)*Table_NFI[[#This Row],[Kitchen Set]],Table_NFI[Kitchen Set])</f>
        <v>#REF!</v>
      </c>
      <c r="AI258" s="542" t="e">
        <f>IF(NFI_Expiration=1,IF(#REF!&lt;VLOOKUP(R$5,NFI,5,0),1,0)*Table_NFI[[#This Row],[Clothes Kit]],Table_NFI[Clothes Kit])</f>
        <v>#REF!</v>
      </c>
      <c r="AJ258" s="542" t="e">
        <f>IF(NFI_Expiration=1,IF(#REF!&lt;VLOOKUP(S$5,NFI,5,0),1,0)*Table_NFI[[#This Row],[Plastic Bucket]],Table_NFI[Plastic Bucket])</f>
        <v>#REF!</v>
      </c>
      <c r="AK258" s="542" t="e">
        <f>IF(NFI_Expiration=1,IF(#REF!&lt;VLOOKUP(T$5,NFI,5,0),1,0)*Table_NFI[[#This Row],[Plastic Mat]],Table_NFI[Plastic Mat])*IF(Table_NFI[[#This Row],[Distribution Date]]&gt;"2014-04-01",1,2.5)</f>
        <v>#REF!</v>
      </c>
      <c r="AL258" s="542" t="e">
        <f>IF(NFI_Expiration=1,IF(#REF!&lt;VLOOKUP(U$5,NFI,5,0),1,0)*Table_NFI[[#This Row],[Winter Clothes Adult]],Table_NFI[Winter Clothes Adult])</f>
        <v>#REF!</v>
      </c>
      <c r="AM258" s="542"/>
      <c r="AN258" s="542"/>
      <c r="AO258" s="542"/>
      <c r="AP258" s="542">
        <f>IF(Table_NFI[[#This Row],[Winter Clothes Adult]]+Table_NFI[[#This Row],[Winter Clothes Children]]+Table_NFI[[#This Row],[Winter Items Other]]+Table_NFI[[#This Row],[Winter Blanket]]&gt;0,1,0)</f>
        <v>0</v>
      </c>
      <c r="AQ258" s="542"/>
      <c r="AR258" s="542"/>
      <c r="AS258" s="542"/>
      <c r="AT258" s="205" t="str">
        <f>IFERROR(VLOOKUP(Table_NFI[[#This Row],[Location]],CL,2,0),"")</f>
        <v/>
      </c>
      <c r="AU258" s="183"/>
    </row>
    <row r="259" spans="2:47" x14ac:dyDescent="0.25">
      <c r="B259" s="540">
        <v>43228</v>
      </c>
      <c r="C259" s="540" t="str">
        <f>MONTH(Table_NFI[[#This Row],[Distribution Date]]) &amp; "/" &amp; YEAR(Table_NFI[[#This Row],[Distribution Date]])</f>
        <v>5/2018</v>
      </c>
      <c r="D259" s="665" t="s">
        <v>420</v>
      </c>
      <c r="E259" s="665" t="s">
        <v>424</v>
      </c>
      <c r="F259" s="665" t="s">
        <v>378</v>
      </c>
      <c r="G259" s="197" t="s">
        <v>309</v>
      </c>
      <c r="H259" s="219" t="s">
        <v>323</v>
      </c>
      <c r="I259" s="665"/>
      <c r="J259" s="665"/>
      <c r="K259" s="541"/>
      <c r="L259" s="665">
        <v>3</v>
      </c>
      <c r="M259" s="665"/>
      <c r="N259" s="669"/>
      <c r="O259" s="665">
        <v>3</v>
      </c>
      <c r="P259" s="669"/>
      <c r="Q259" s="665">
        <v>3</v>
      </c>
      <c r="R259" s="541"/>
      <c r="S259" s="665">
        <v>3</v>
      </c>
      <c r="T259" s="669"/>
      <c r="U259" s="541"/>
      <c r="V259" s="541"/>
      <c r="W259" s="541"/>
      <c r="X259" s="541"/>
      <c r="Y259" s="665">
        <v>3</v>
      </c>
      <c r="Z259" s="541"/>
      <c r="AA259" s="541"/>
      <c r="AB259" s="541"/>
      <c r="AC259" s="542" t="e">
        <f>IF(NFI_Expiration=1,IF(#REF!&lt;VLOOKUP(L$5,NFI,5,0),1,0)*Table_NFI[[#This Row],[NFI Core Kit]],Table_NFI[NFI Core Kit])</f>
        <v>#REF!</v>
      </c>
      <c r="AD259" s="542" t="e">
        <f>IF(NFI_Expiration=1,IF(#REF!&lt;VLOOKUP(M$5,NFI,5,0),1,0)*Table_NFI[[#This Row],[Sanitary Kit]],Table_NFI[Sanitary Kit])</f>
        <v>#REF!</v>
      </c>
      <c r="AE259" s="542" t="e">
        <f>IF(NFI_Expiration=1,IF(#REF!&lt;VLOOKUP(N$5,NFI,5,0),1,0)*Table_NFI[[#This Row],[Mosquito net]],Table_NFI[Mosquito net])</f>
        <v>#REF!</v>
      </c>
      <c r="AF259" s="542" t="e">
        <f>IF(NFI_Expiration=1,IF(#REF!&lt;VLOOKUP(O$5,NFI,5,0),1,0)*Table_NFI[[#This Row],[Tarpaulin]],Table_NFI[[#This Row],[Tarpaulin]])</f>
        <v>#REF!</v>
      </c>
      <c r="AG259" s="542" t="e">
        <f>IF(NFI_Expiration=1,IF(#REF!&lt;VLOOKUP(P$5,NFI,5,0),1,0)*Table_NFI[[#This Row],[Blanket]],Table_NFI[[#This Row],[Blanket]])</f>
        <v>#REF!</v>
      </c>
      <c r="AH259" s="542" t="e">
        <f>IF(NFI_Expiration=1,IF(#REF!&lt;VLOOKUP(Q$5,NFI,5,0),1,0)*Table_NFI[[#This Row],[Kitchen Set]],Table_NFI[Kitchen Set])</f>
        <v>#REF!</v>
      </c>
      <c r="AI259" s="542" t="e">
        <f>IF(NFI_Expiration=1,IF(#REF!&lt;VLOOKUP(R$5,NFI,5,0),1,0)*Table_NFI[[#This Row],[Clothes Kit]],Table_NFI[Clothes Kit])</f>
        <v>#REF!</v>
      </c>
      <c r="AJ259" s="542" t="e">
        <f>IF(NFI_Expiration=1,IF(#REF!&lt;VLOOKUP(S$5,NFI,5,0),1,0)*Table_NFI[[#This Row],[Plastic Bucket]],Table_NFI[Plastic Bucket])</f>
        <v>#REF!</v>
      </c>
      <c r="AK259" s="542" t="e">
        <f>IF(NFI_Expiration=1,IF(#REF!&lt;VLOOKUP(T$5,NFI,5,0),1,0)*Table_NFI[[#This Row],[Plastic Mat]],Table_NFI[Plastic Mat])*IF(Table_NFI[[#This Row],[Distribution Date]]&gt;"2014-04-01",1,2.5)</f>
        <v>#REF!</v>
      </c>
      <c r="AL259" s="542" t="e">
        <f>IF(NFI_Expiration=1,IF(#REF!&lt;VLOOKUP(U$5,NFI,5,0),1,0)*Table_NFI[[#This Row],[Winter Clothes Adult]],Table_NFI[Winter Clothes Adult])</f>
        <v>#REF!</v>
      </c>
      <c r="AM259" s="542"/>
      <c r="AN259" s="542"/>
      <c r="AO259" s="542"/>
      <c r="AP259" s="542">
        <f>IF(Table_NFI[[#This Row],[Winter Clothes Adult]]+Table_NFI[[#This Row],[Winter Clothes Children]]+Table_NFI[[#This Row],[Winter Items Other]]+Table_NFI[[#This Row],[Winter Blanket]]&gt;0,1,0)</f>
        <v>0</v>
      </c>
      <c r="AQ259" s="542"/>
      <c r="AR259" s="542"/>
      <c r="AS259" s="542"/>
      <c r="AT259" s="205" t="str">
        <f>IFERROR(VLOOKUP(Table_NFI[[#This Row],[Location]],CL,2,0),"")</f>
        <v>MMR001CMP040</v>
      </c>
      <c r="AU259" s="183"/>
    </row>
    <row r="260" spans="2:47" x14ac:dyDescent="0.25">
      <c r="B260" s="540">
        <v>43228</v>
      </c>
      <c r="C260" s="540" t="str">
        <f>MONTH(Table_NFI[[#This Row],[Distribution Date]]) &amp; "/" &amp; YEAR(Table_NFI[[#This Row],[Distribution Date]])</f>
        <v>5/2018</v>
      </c>
      <c r="D260" s="665" t="s">
        <v>420</v>
      </c>
      <c r="E260" s="665" t="s">
        <v>424</v>
      </c>
      <c r="F260" s="665" t="s">
        <v>378</v>
      </c>
      <c r="G260" s="197" t="s">
        <v>309</v>
      </c>
      <c r="H260" s="219" t="s">
        <v>323</v>
      </c>
      <c r="I260" s="665"/>
      <c r="J260" s="665"/>
      <c r="K260" s="541"/>
      <c r="L260" s="665">
        <v>24</v>
      </c>
      <c r="M260" s="665"/>
      <c r="N260" s="665">
        <v>52</v>
      </c>
      <c r="O260" s="665">
        <v>24</v>
      </c>
      <c r="P260" s="665">
        <v>52</v>
      </c>
      <c r="Q260" s="665">
        <v>24</v>
      </c>
      <c r="R260" s="665"/>
      <c r="S260" s="665">
        <v>24</v>
      </c>
      <c r="T260" s="665">
        <v>89</v>
      </c>
      <c r="U260" s="665"/>
      <c r="V260" s="541"/>
      <c r="W260" s="541"/>
      <c r="X260" s="541"/>
      <c r="Y260" s="665">
        <v>24</v>
      </c>
      <c r="Z260" s="541"/>
      <c r="AA260" s="541"/>
      <c r="AB260" s="541"/>
      <c r="AC260" s="542" t="e">
        <f>IF(NFI_Expiration=1,IF(#REF!&lt;VLOOKUP(L$5,NFI,5,0),1,0)*Table_NFI[[#This Row],[NFI Core Kit]],Table_NFI[NFI Core Kit])</f>
        <v>#REF!</v>
      </c>
      <c r="AD260" s="542" t="e">
        <f>IF(NFI_Expiration=1,IF(#REF!&lt;VLOOKUP(M$5,NFI,5,0),1,0)*Table_NFI[[#This Row],[Sanitary Kit]],Table_NFI[Sanitary Kit])</f>
        <v>#REF!</v>
      </c>
      <c r="AE260" s="542" t="e">
        <f>IF(NFI_Expiration=1,IF(#REF!&lt;VLOOKUP(N$5,NFI,5,0),1,0)*Table_NFI[[#This Row],[Mosquito net]],Table_NFI[Mosquito net])</f>
        <v>#REF!</v>
      </c>
      <c r="AF260" s="542" t="e">
        <f>IF(NFI_Expiration=1,IF(#REF!&lt;VLOOKUP(O$5,NFI,5,0),1,0)*Table_NFI[[#This Row],[Tarpaulin]],Table_NFI[[#This Row],[Tarpaulin]])</f>
        <v>#REF!</v>
      </c>
      <c r="AG260" s="542" t="e">
        <f>IF(NFI_Expiration=1,IF(#REF!&lt;VLOOKUP(P$5,NFI,5,0),1,0)*Table_NFI[[#This Row],[Blanket]],Table_NFI[[#This Row],[Blanket]])</f>
        <v>#REF!</v>
      </c>
      <c r="AH260" s="542" t="e">
        <f>IF(NFI_Expiration=1,IF(#REF!&lt;VLOOKUP(Q$5,NFI,5,0),1,0)*Table_NFI[[#This Row],[Kitchen Set]],Table_NFI[Kitchen Set])</f>
        <v>#REF!</v>
      </c>
      <c r="AI260" s="542" t="e">
        <f>IF(NFI_Expiration=1,IF(#REF!&lt;VLOOKUP(R$5,NFI,5,0),1,0)*Table_NFI[[#This Row],[Clothes Kit]],Table_NFI[Clothes Kit])</f>
        <v>#REF!</v>
      </c>
      <c r="AJ260" s="542" t="e">
        <f>IF(NFI_Expiration=1,IF(#REF!&lt;VLOOKUP(S$5,NFI,5,0),1,0)*Table_NFI[[#This Row],[Plastic Bucket]],Table_NFI[Plastic Bucket])</f>
        <v>#REF!</v>
      </c>
      <c r="AK260" s="542" t="e">
        <f>IF(NFI_Expiration=1,IF(#REF!&lt;VLOOKUP(T$5,NFI,5,0),1,0)*Table_NFI[[#This Row],[Plastic Mat]],Table_NFI[Plastic Mat])*IF(Table_NFI[[#This Row],[Distribution Date]]&gt;"2014-04-01",1,2.5)</f>
        <v>#REF!</v>
      </c>
      <c r="AL260" s="542" t="e">
        <f>IF(NFI_Expiration=1,IF(#REF!&lt;VLOOKUP(U$5,NFI,5,0),1,0)*Table_NFI[[#This Row],[Winter Clothes Adult]],Table_NFI[Winter Clothes Adult])</f>
        <v>#REF!</v>
      </c>
      <c r="AM260" s="542"/>
      <c r="AN260" s="542"/>
      <c r="AO260" s="542"/>
      <c r="AP260" s="542">
        <f>IF(Table_NFI[[#This Row],[Winter Clothes Adult]]+Table_NFI[[#This Row],[Winter Clothes Children]]+Table_NFI[[#This Row],[Winter Items Other]]+Table_NFI[[#This Row],[Winter Blanket]]&gt;0,1,0)</f>
        <v>0</v>
      </c>
      <c r="AQ260" s="542"/>
      <c r="AR260" s="542"/>
      <c r="AS260" s="542"/>
      <c r="AT260" s="205" t="str">
        <f>IFERROR(VLOOKUP(Table_NFI[[#This Row],[Location]],CL,2,0),"")</f>
        <v>MMR001CMP040</v>
      </c>
      <c r="AU260" s="183"/>
    </row>
    <row r="261" spans="2:47" x14ac:dyDescent="0.25">
      <c r="B261" s="540">
        <v>43231</v>
      </c>
      <c r="C261" s="540" t="str">
        <f>MONTH(Table_NFI[[#This Row],[Distribution Date]]) &amp; "/" &amp; YEAR(Table_NFI[[#This Row],[Distribution Date]])</f>
        <v>5/2018</v>
      </c>
      <c r="D261" s="665" t="s">
        <v>420</v>
      </c>
      <c r="E261" s="665" t="s">
        <v>462</v>
      </c>
      <c r="F261" s="665" t="s">
        <v>378</v>
      </c>
      <c r="G261" s="197" t="s">
        <v>309</v>
      </c>
      <c r="H261" s="219" t="s">
        <v>317</v>
      </c>
      <c r="I261" s="183"/>
      <c r="J261" s="541"/>
      <c r="K261" s="541"/>
      <c r="L261" s="665">
        <v>12</v>
      </c>
      <c r="M261" s="665">
        <v>9</v>
      </c>
      <c r="N261" s="665">
        <v>25</v>
      </c>
      <c r="O261" s="665">
        <v>12</v>
      </c>
      <c r="P261" s="665">
        <v>25</v>
      </c>
      <c r="Q261" s="665">
        <v>12</v>
      </c>
      <c r="R261" s="665"/>
      <c r="S261" s="665">
        <v>12</v>
      </c>
      <c r="T261" s="665">
        <v>34</v>
      </c>
      <c r="U261" s="665"/>
      <c r="V261" s="541"/>
      <c r="W261" s="541"/>
      <c r="X261" s="541"/>
      <c r="Y261" s="665">
        <v>12</v>
      </c>
      <c r="Z261" s="541"/>
      <c r="AA261" s="541"/>
      <c r="AB261" s="541"/>
      <c r="AC261" s="542" t="e">
        <f>IF(NFI_Expiration=1,IF(#REF!&lt;VLOOKUP(L$5,NFI,5,0),1,0)*Table_NFI[[#This Row],[NFI Core Kit]],Table_NFI[NFI Core Kit])</f>
        <v>#REF!</v>
      </c>
      <c r="AD261" s="542" t="e">
        <f>IF(NFI_Expiration=1,IF(#REF!&lt;VLOOKUP(M$5,NFI,5,0),1,0)*Table_NFI[[#This Row],[Sanitary Kit]],Table_NFI[Sanitary Kit])</f>
        <v>#REF!</v>
      </c>
      <c r="AE261" s="542" t="e">
        <f>IF(NFI_Expiration=1,IF(#REF!&lt;VLOOKUP(N$5,NFI,5,0),1,0)*Table_NFI[[#This Row],[Mosquito net]],Table_NFI[Mosquito net])</f>
        <v>#REF!</v>
      </c>
      <c r="AF261" s="542" t="e">
        <f>IF(NFI_Expiration=1,IF(#REF!&lt;VLOOKUP(O$5,NFI,5,0),1,0)*Table_NFI[[#This Row],[Tarpaulin]],Table_NFI[[#This Row],[Tarpaulin]])</f>
        <v>#REF!</v>
      </c>
      <c r="AG261" s="542" t="e">
        <f>IF(NFI_Expiration=1,IF(#REF!&lt;VLOOKUP(P$5,NFI,5,0),1,0)*Table_NFI[[#This Row],[Blanket]],Table_NFI[[#This Row],[Blanket]])</f>
        <v>#REF!</v>
      </c>
      <c r="AH261" s="542" t="e">
        <f>IF(NFI_Expiration=1,IF(#REF!&lt;VLOOKUP(Q$5,NFI,5,0),1,0)*Table_NFI[[#This Row],[Kitchen Set]],Table_NFI[Kitchen Set])</f>
        <v>#REF!</v>
      </c>
      <c r="AI261" s="542" t="e">
        <f>IF(NFI_Expiration=1,IF(#REF!&lt;VLOOKUP(R$5,NFI,5,0),1,0)*Table_NFI[[#This Row],[Clothes Kit]],Table_NFI[Clothes Kit])</f>
        <v>#REF!</v>
      </c>
      <c r="AJ261" s="542" t="e">
        <f>IF(NFI_Expiration=1,IF(#REF!&lt;VLOOKUP(S$5,NFI,5,0),1,0)*Table_NFI[[#This Row],[Plastic Bucket]],Table_NFI[Plastic Bucket])</f>
        <v>#REF!</v>
      </c>
      <c r="AK261" s="542" t="e">
        <f>IF(NFI_Expiration=1,IF(#REF!&lt;VLOOKUP(T$5,NFI,5,0),1,0)*Table_NFI[[#This Row],[Plastic Mat]],Table_NFI[Plastic Mat])*IF(Table_NFI[[#This Row],[Distribution Date]]&gt;"2014-04-01",1,2.5)</f>
        <v>#REF!</v>
      </c>
      <c r="AL261" s="542" t="e">
        <f>IF(NFI_Expiration=1,IF(#REF!&lt;VLOOKUP(U$5,NFI,5,0),1,0)*Table_NFI[[#This Row],[Winter Clothes Adult]],Table_NFI[Winter Clothes Adult])</f>
        <v>#REF!</v>
      </c>
      <c r="AM261" s="542"/>
      <c r="AN261" s="542"/>
      <c r="AO261" s="542"/>
      <c r="AP261" s="542">
        <f>IF(Table_NFI[[#This Row],[Winter Clothes Adult]]+Table_NFI[[#This Row],[Winter Clothes Children]]+Table_NFI[[#This Row],[Winter Items Other]]+Table_NFI[[#This Row],[Winter Blanket]]&gt;0,1,0)</f>
        <v>0</v>
      </c>
      <c r="AQ261" s="542"/>
      <c r="AR261" s="542"/>
      <c r="AS261" s="542"/>
      <c r="AT261" s="205" t="str">
        <f>IFERROR(VLOOKUP(Table_NFI[[#This Row],[Location]],CL,2,0),"")</f>
        <v>MMR001CMP032</v>
      </c>
      <c r="AU261" s="183"/>
    </row>
    <row r="262" spans="2:47" x14ac:dyDescent="0.25">
      <c r="B262" s="540">
        <v>43231</v>
      </c>
      <c r="C262" s="540" t="str">
        <f>MONTH(Table_NFI[[#This Row],[Distribution Date]]) &amp; "/" &amp; YEAR(Table_NFI[[#This Row],[Distribution Date]])</f>
        <v>5/2018</v>
      </c>
      <c r="D262" s="665" t="s">
        <v>420</v>
      </c>
      <c r="E262" s="665" t="s">
        <v>462</v>
      </c>
      <c r="F262" s="665" t="s">
        <v>378</v>
      </c>
      <c r="G262" s="197" t="s">
        <v>309</v>
      </c>
      <c r="H262" s="219" t="s">
        <v>337</v>
      </c>
      <c r="I262" s="183"/>
      <c r="J262" s="541"/>
      <c r="K262" s="541"/>
      <c r="L262" s="665">
        <v>1</v>
      </c>
      <c r="M262" s="665">
        <v>1</v>
      </c>
      <c r="N262" s="665">
        <v>4</v>
      </c>
      <c r="O262" s="665">
        <v>1</v>
      </c>
      <c r="P262" s="665">
        <v>4</v>
      </c>
      <c r="Q262" s="665">
        <v>1</v>
      </c>
      <c r="R262" s="665"/>
      <c r="S262" s="665">
        <v>1</v>
      </c>
      <c r="T262" s="665">
        <v>7</v>
      </c>
      <c r="U262" s="665"/>
      <c r="V262" s="541"/>
      <c r="W262" s="541"/>
      <c r="X262" s="541"/>
      <c r="Y262" s="665">
        <v>1</v>
      </c>
      <c r="Z262" s="541"/>
      <c r="AA262" s="541"/>
      <c r="AB262" s="541"/>
      <c r="AC262" s="542" t="e">
        <f>IF(NFI_Expiration=1,IF(#REF!&lt;VLOOKUP(L$5,NFI,5,0),1,0)*Table_NFI[[#This Row],[NFI Core Kit]],Table_NFI[NFI Core Kit])</f>
        <v>#REF!</v>
      </c>
      <c r="AD262" s="542" t="e">
        <f>IF(NFI_Expiration=1,IF(#REF!&lt;VLOOKUP(M$5,NFI,5,0),1,0)*Table_NFI[[#This Row],[Sanitary Kit]],Table_NFI[Sanitary Kit])</f>
        <v>#REF!</v>
      </c>
      <c r="AE262" s="542" t="e">
        <f>IF(NFI_Expiration=1,IF(#REF!&lt;VLOOKUP(N$5,NFI,5,0),1,0)*Table_NFI[[#This Row],[Mosquito net]],Table_NFI[Mosquito net])</f>
        <v>#REF!</v>
      </c>
      <c r="AF262" s="542" t="e">
        <f>IF(NFI_Expiration=1,IF(#REF!&lt;VLOOKUP(O$5,NFI,5,0),1,0)*Table_NFI[[#This Row],[Tarpaulin]],Table_NFI[[#This Row],[Tarpaulin]])</f>
        <v>#REF!</v>
      </c>
      <c r="AG262" s="542" t="e">
        <f>IF(NFI_Expiration=1,IF(#REF!&lt;VLOOKUP(P$5,NFI,5,0),1,0)*Table_NFI[[#This Row],[Blanket]],Table_NFI[[#This Row],[Blanket]])</f>
        <v>#REF!</v>
      </c>
      <c r="AH262" s="542" t="e">
        <f>IF(NFI_Expiration=1,IF(#REF!&lt;VLOOKUP(Q$5,NFI,5,0),1,0)*Table_NFI[[#This Row],[Kitchen Set]],Table_NFI[Kitchen Set])</f>
        <v>#REF!</v>
      </c>
      <c r="AI262" s="542" t="e">
        <f>IF(NFI_Expiration=1,IF(#REF!&lt;VLOOKUP(R$5,NFI,5,0),1,0)*Table_NFI[[#This Row],[Clothes Kit]],Table_NFI[Clothes Kit])</f>
        <v>#REF!</v>
      </c>
      <c r="AJ262" s="542" t="e">
        <f>IF(NFI_Expiration=1,IF(#REF!&lt;VLOOKUP(S$5,NFI,5,0),1,0)*Table_NFI[[#This Row],[Plastic Bucket]],Table_NFI[Plastic Bucket])</f>
        <v>#REF!</v>
      </c>
      <c r="AK262" s="542" t="e">
        <f>IF(NFI_Expiration=1,IF(#REF!&lt;VLOOKUP(T$5,NFI,5,0),1,0)*Table_NFI[[#This Row],[Plastic Mat]],Table_NFI[Plastic Mat])*IF(Table_NFI[[#This Row],[Distribution Date]]&gt;"2014-04-01",1,2.5)</f>
        <v>#REF!</v>
      </c>
      <c r="AL262" s="542" t="e">
        <f>IF(NFI_Expiration=1,IF(#REF!&lt;VLOOKUP(U$5,NFI,5,0),1,0)*Table_NFI[[#This Row],[Winter Clothes Adult]],Table_NFI[Winter Clothes Adult])</f>
        <v>#REF!</v>
      </c>
      <c r="AM262" s="542"/>
      <c r="AN262" s="542"/>
      <c r="AO262" s="542"/>
      <c r="AP262" s="542">
        <f>IF(Table_NFI[[#This Row],[Winter Clothes Adult]]+Table_NFI[[#This Row],[Winter Clothes Children]]+Table_NFI[[#This Row],[Winter Items Other]]+Table_NFI[[#This Row],[Winter Blanket]]&gt;0,1,0)</f>
        <v>0</v>
      </c>
      <c r="AQ262" s="542"/>
      <c r="AR262" s="542"/>
      <c r="AS262" s="542"/>
      <c r="AT262" s="205" t="str">
        <f>IFERROR(VLOOKUP(Table_NFI[[#This Row],[Location]],CL,2,0),"")</f>
        <v>MMR001CMP030</v>
      </c>
      <c r="AU262" s="183"/>
    </row>
    <row r="263" spans="2:47" x14ac:dyDescent="0.25">
      <c r="B263" s="540">
        <v>43231</v>
      </c>
      <c r="C263" s="540" t="str">
        <f>MONTH(Table_NFI[[#This Row],[Distribution Date]]) &amp; "/" &amp; YEAR(Table_NFI[[#This Row],[Distribution Date]])</f>
        <v>5/2018</v>
      </c>
      <c r="D263" s="665" t="s">
        <v>420</v>
      </c>
      <c r="E263" s="665" t="s">
        <v>462</v>
      </c>
      <c r="F263" s="665" t="s">
        <v>378</v>
      </c>
      <c r="G263" s="197" t="s">
        <v>309</v>
      </c>
      <c r="H263" s="219" t="s">
        <v>315</v>
      </c>
      <c r="I263" s="183"/>
      <c r="J263" s="541"/>
      <c r="K263" s="541"/>
      <c r="L263" s="665">
        <v>1</v>
      </c>
      <c r="M263" s="665">
        <v>1</v>
      </c>
      <c r="N263" s="665">
        <v>3</v>
      </c>
      <c r="O263" s="665">
        <v>1</v>
      </c>
      <c r="P263" s="665">
        <v>3</v>
      </c>
      <c r="Q263" s="665">
        <v>1</v>
      </c>
      <c r="R263" s="665"/>
      <c r="S263" s="665">
        <v>1</v>
      </c>
      <c r="T263" s="665">
        <v>4</v>
      </c>
      <c r="U263" s="665"/>
      <c r="V263" s="541"/>
      <c r="W263" s="541"/>
      <c r="X263" s="541"/>
      <c r="Y263" s="665">
        <v>1</v>
      </c>
      <c r="Z263" s="541"/>
      <c r="AA263" s="541"/>
      <c r="AB263" s="541"/>
      <c r="AC263" s="542" t="e">
        <f>IF(NFI_Expiration=1,IF(#REF!&lt;VLOOKUP(L$5,NFI,5,0),1,0)*Table_NFI[[#This Row],[NFI Core Kit]],Table_NFI[NFI Core Kit])</f>
        <v>#REF!</v>
      </c>
      <c r="AD263" s="542" t="e">
        <f>IF(NFI_Expiration=1,IF(#REF!&lt;VLOOKUP(M$5,NFI,5,0),1,0)*Table_NFI[[#This Row],[Sanitary Kit]],Table_NFI[Sanitary Kit])</f>
        <v>#REF!</v>
      </c>
      <c r="AE263" s="542" t="e">
        <f>IF(NFI_Expiration=1,IF(#REF!&lt;VLOOKUP(N$5,NFI,5,0),1,0)*Table_NFI[[#This Row],[Mosquito net]],Table_NFI[Mosquito net])</f>
        <v>#REF!</v>
      </c>
      <c r="AF263" s="542" t="e">
        <f>IF(NFI_Expiration=1,IF(#REF!&lt;VLOOKUP(O$5,NFI,5,0),1,0)*Table_NFI[[#This Row],[Tarpaulin]],Table_NFI[[#This Row],[Tarpaulin]])</f>
        <v>#REF!</v>
      </c>
      <c r="AG263" s="542" t="e">
        <f>IF(NFI_Expiration=1,IF(#REF!&lt;VLOOKUP(P$5,NFI,5,0),1,0)*Table_NFI[[#This Row],[Blanket]],Table_NFI[[#This Row],[Blanket]])</f>
        <v>#REF!</v>
      </c>
      <c r="AH263" s="542" t="e">
        <f>IF(NFI_Expiration=1,IF(#REF!&lt;VLOOKUP(Q$5,NFI,5,0),1,0)*Table_NFI[[#This Row],[Kitchen Set]],Table_NFI[Kitchen Set])</f>
        <v>#REF!</v>
      </c>
      <c r="AI263" s="542" t="e">
        <f>IF(NFI_Expiration=1,IF(#REF!&lt;VLOOKUP(R$5,NFI,5,0),1,0)*Table_NFI[[#This Row],[Clothes Kit]],Table_NFI[Clothes Kit])</f>
        <v>#REF!</v>
      </c>
      <c r="AJ263" s="542" t="e">
        <f>IF(NFI_Expiration=1,IF(#REF!&lt;VLOOKUP(S$5,NFI,5,0),1,0)*Table_NFI[[#This Row],[Plastic Bucket]],Table_NFI[Plastic Bucket])</f>
        <v>#REF!</v>
      </c>
      <c r="AK263" s="542" t="e">
        <f>IF(NFI_Expiration=1,IF(#REF!&lt;VLOOKUP(T$5,NFI,5,0),1,0)*Table_NFI[[#This Row],[Plastic Mat]],Table_NFI[Plastic Mat])*IF(Table_NFI[[#This Row],[Distribution Date]]&gt;"2014-04-01",1,2.5)</f>
        <v>#REF!</v>
      </c>
      <c r="AL263" s="542" t="e">
        <f>IF(NFI_Expiration=1,IF(#REF!&lt;VLOOKUP(U$5,NFI,5,0),1,0)*Table_NFI[[#This Row],[Winter Clothes Adult]],Table_NFI[Winter Clothes Adult])</f>
        <v>#REF!</v>
      </c>
      <c r="AM263" s="542"/>
      <c r="AN263" s="542"/>
      <c r="AO263" s="542"/>
      <c r="AP263" s="542">
        <f>IF(Table_NFI[[#This Row],[Winter Clothes Adult]]+Table_NFI[[#This Row],[Winter Clothes Children]]+Table_NFI[[#This Row],[Winter Items Other]]+Table_NFI[[#This Row],[Winter Blanket]]&gt;0,1,0)</f>
        <v>0</v>
      </c>
      <c r="AQ263" s="542"/>
      <c r="AR263" s="542"/>
      <c r="AS263" s="542"/>
      <c r="AT263" s="205" t="str">
        <f>IFERROR(VLOOKUP(Table_NFI[[#This Row],[Location]],CL,2,0),"")</f>
        <v>MMR001CMP038</v>
      </c>
      <c r="AU263" s="183"/>
    </row>
    <row r="264" spans="2:47" x14ac:dyDescent="0.25">
      <c r="B264" s="540">
        <v>43245</v>
      </c>
      <c r="C264" s="540" t="str">
        <f>MONTH(Table_NFI[[#This Row],[Distribution Date]]) &amp; "/" &amp; YEAR(Table_NFI[[#This Row],[Distribution Date]])</f>
        <v>5/2018</v>
      </c>
      <c r="D264" s="665" t="s">
        <v>420</v>
      </c>
      <c r="E264" s="665" t="s">
        <v>462</v>
      </c>
      <c r="F264" s="665" t="s">
        <v>378</v>
      </c>
      <c r="G264" s="197" t="s">
        <v>309</v>
      </c>
      <c r="H264" s="219" t="s">
        <v>327</v>
      </c>
      <c r="I264" s="183"/>
      <c r="J264" s="541"/>
      <c r="K264" s="541"/>
      <c r="L264" s="665">
        <v>10</v>
      </c>
      <c r="M264" s="665"/>
      <c r="N264" s="665">
        <v>33</v>
      </c>
      <c r="O264" s="665">
        <v>10</v>
      </c>
      <c r="P264" s="665">
        <v>33</v>
      </c>
      <c r="Q264" s="665">
        <v>10</v>
      </c>
      <c r="R264" s="665"/>
      <c r="S264" s="665">
        <v>10</v>
      </c>
      <c r="T264" s="665">
        <v>57</v>
      </c>
      <c r="U264" s="665"/>
      <c r="V264" s="665"/>
      <c r="W264" s="665"/>
      <c r="X264" s="665"/>
      <c r="Y264" s="665">
        <v>10</v>
      </c>
      <c r="Z264" s="541"/>
      <c r="AA264" s="541"/>
      <c r="AB264" s="541"/>
      <c r="AC264" s="542" t="e">
        <f>IF(NFI_Expiration=1,IF(#REF!&lt;VLOOKUP(L$5,NFI,5,0),1,0)*Table_NFI[[#This Row],[NFI Core Kit]],Table_NFI[NFI Core Kit])</f>
        <v>#REF!</v>
      </c>
      <c r="AD264" s="542" t="e">
        <f>IF(NFI_Expiration=1,IF(#REF!&lt;VLOOKUP(M$5,NFI,5,0),1,0)*Table_NFI[[#This Row],[Sanitary Kit]],Table_NFI[Sanitary Kit])</f>
        <v>#REF!</v>
      </c>
      <c r="AE264" s="542" t="e">
        <f>IF(NFI_Expiration=1,IF(#REF!&lt;VLOOKUP(N$5,NFI,5,0),1,0)*Table_NFI[[#This Row],[Mosquito net]],Table_NFI[Mosquito net])</f>
        <v>#REF!</v>
      </c>
      <c r="AF264" s="542" t="e">
        <f>IF(NFI_Expiration=1,IF(#REF!&lt;VLOOKUP(O$5,NFI,5,0),1,0)*Table_NFI[[#This Row],[Tarpaulin]],Table_NFI[[#This Row],[Tarpaulin]])</f>
        <v>#REF!</v>
      </c>
      <c r="AG264" s="542" t="e">
        <f>IF(NFI_Expiration=1,IF(#REF!&lt;VLOOKUP(P$5,NFI,5,0),1,0)*Table_NFI[[#This Row],[Blanket]],Table_NFI[[#This Row],[Blanket]])</f>
        <v>#REF!</v>
      </c>
      <c r="AH264" s="542" t="e">
        <f>IF(NFI_Expiration=1,IF(#REF!&lt;VLOOKUP(Q$5,NFI,5,0),1,0)*Table_NFI[[#This Row],[Kitchen Set]],Table_NFI[Kitchen Set])</f>
        <v>#REF!</v>
      </c>
      <c r="AI264" s="542" t="e">
        <f>IF(NFI_Expiration=1,IF(#REF!&lt;VLOOKUP(R$5,NFI,5,0),1,0)*Table_NFI[[#This Row],[Clothes Kit]],Table_NFI[Clothes Kit])</f>
        <v>#REF!</v>
      </c>
      <c r="AJ264" s="542" t="e">
        <f>IF(NFI_Expiration=1,IF(#REF!&lt;VLOOKUP(S$5,NFI,5,0),1,0)*Table_NFI[[#This Row],[Plastic Bucket]],Table_NFI[Plastic Bucket])</f>
        <v>#REF!</v>
      </c>
      <c r="AK264" s="542" t="e">
        <f>IF(NFI_Expiration=1,IF(#REF!&lt;VLOOKUP(T$5,NFI,5,0),1,0)*Table_NFI[[#This Row],[Plastic Mat]],Table_NFI[Plastic Mat])*IF(Table_NFI[[#This Row],[Distribution Date]]&gt;"2014-04-01",1,2.5)</f>
        <v>#REF!</v>
      </c>
      <c r="AL264" s="542" t="e">
        <f>IF(NFI_Expiration=1,IF(#REF!&lt;VLOOKUP(U$5,NFI,5,0),1,0)*Table_NFI[[#This Row],[Winter Clothes Adult]],Table_NFI[Winter Clothes Adult])</f>
        <v>#REF!</v>
      </c>
      <c r="AM264" s="542"/>
      <c r="AN264" s="542"/>
      <c r="AO264" s="542"/>
      <c r="AP264" s="542">
        <f>IF(Table_NFI[[#This Row],[Winter Clothes Adult]]+Table_NFI[[#This Row],[Winter Clothes Children]]+Table_NFI[[#This Row],[Winter Items Other]]+Table_NFI[[#This Row],[Winter Blanket]]&gt;0,1,0)</f>
        <v>0</v>
      </c>
      <c r="AQ264" s="542"/>
      <c r="AR264" s="542"/>
      <c r="AS264" s="542"/>
      <c r="AT264" s="205" t="str">
        <f>IFERROR(VLOOKUP(Table_NFI[[#This Row],[Location]],CL,2,0),"")</f>
        <v>MMR001CMP031</v>
      </c>
      <c r="AU264" s="183"/>
    </row>
    <row r="265" spans="2:47" x14ac:dyDescent="0.25">
      <c r="B265" s="540">
        <v>43245</v>
      </c>
      <c r="C265" s="540" t="str">
        <f>MONTH(Table_NFI[[#This Row],[Distribution Date]]) &amp; "/" &amp; YEAR(Table_NFI[[#This Row],[Distribution Date]])</f>
        <v>5/2018</v>
      </c>
      <c r="D265" s="665" t="s">
        <v>420</v>
      </c>
      <c r="E265" s="665" t="s">
        <v>462</v>
      </c>
      <c r="F265" s="665" t="s">
        <v>378</v>
      </c>
      <c r="G265" s="197" t="s">
        <v>309</v>
      </c>
      <c r="H265" s="219" t="s">
        <v>317</v>
      </c>
      <c r="I265" s="183"/>
      <c r="J265" s="541"/>
      <c r="K265" s="541"/>
      <c r="L265" s="665">
        <v>7</v>
      </c>
      <c r="M265" s="665"/>
      <c r="N265" s="665">
        <v>12</v>
      </c>
      <c r="O265" s="665">
        <v>7</v>
      </c>
      <c r="P265" s="665">
        <v>12</v>
      </c>
      <c r="Q265" s="665">
        <v>7</v>
      </c>
      <c r="R265" s="665"/>
      <c r="S265" s="665">
        <v>7</v>
      </c>
      <c r="T265" s="665">
        <v>16</v>
      </c>
      <c r="U265" s="665"/>
      <c r="V265" s="665"/>
      <c r="W265" s="665"/>
      <c r="X265" s="665"/>
      <c r="Y265" s="665">
        <v>7</v>
      </c>
      <c r="Z265" s="541"/>
      <c r="AA265" s="541"/>
      <c r="AB265" s="541"/>
      <c r="AC265" s="542" t="e">
        <f>IF(NFI_Expiration=1,IF(#REF!&lt;VLOOKUP(L$5,NFI,5,0),1,0)*Table_NFI[[#This Row],[NFI Core Kit]],Table_NFI[NFI Core Kit])</f>
        <v>#REF!</v>
      </c>
      <c r="AD265" s="542" t="e">
        <f>IF(NFI_Expiration=1,IF(#REF!&lt;VLOOKUP(M$5,NFI,5,0),1,0)*Table_NFI[[#This Row],[Sanitary Kit]],Table_NFI[Sanitary Kit])</f>
        <v>#REF!</v>
      </c>
      <c r="AE265" s="542" t="e">
        <f>IF(NFI_Expiration=1,IF(#REF!&lt;VLOOKUP(N$5,NFI,5,0),1,0)*Table_NFI[[#This Row],[Mosquito net]],Table_NFI[Mosquito net])</f>
        <v>#REF!</v>
      </c>
      <c r="AF265" s="542" t="e">
        <f>IF(NFI_Expiration=1,IF(#REF!&lt;VLOOKUP(O$5,NFI,5,0),1,0)*Table_NFI[[#This Row],[Tarpaulin]],Table_NFI[[#This Row],[Tarpaulin]])</f>
        <v>#REF!</v>
      </c>
      <c r="AG265" s="542" t="e">
        <f>IF(NFI_Expiration=1,IF(#REF!&lt;VLOOKUP(P$5,NFI,5,0),1,0)*Table_NFI[[#This Row],[Blanket]],Table_NFI[[#This Row],[Blanket]])</f>
        <v>#REF!</v>
      </c>
      <c r="AH265" s="542" t="e">
        <f>IF(NFI_Expiration=1,IF(#REF!&lt;VLOOKUP(Q$5,NFI,5,0),1,0)*Table_NFI[[#This Row],[Kitchen Set]],Table_NFI[Kitchen Set])</f>
        <v>#REF!</v>
      </c>
      <c r="AI265" s="542" t="e">
        <f>IF(NFI_Expiration=1,IF(#REF!&lt;VLOOKUP(R$5,NFI,5,0),1,0)*Table_NFI[[#This Row],[Clothes Kit]],Table_NFI[Clothes Kit])</f>
        <v>#REF!</v>
      </c>
      <c r="AJ265" s="542" t="e">
        <f>IF(NFI_Expiration=1,IF(#REF!&lt;VLOOKUP(S$5,NFI,5,0),1,0)*Table_NFI[[#This Row],[Plastic Bucket]],Table_NFI[Plastic Bucket])</f>
        <v>#REF!</v>
      </c>
      <c r="AK265" s="542" t="e">
        <f>IF(NFI_Expiration=1,IF(#REF!&lt;VLOOKUP(T$5,NFI,5,0),1,0)*Table_NFI[[#This Row],[Plastic Mat]],Table_NFI[Plastic Mat])*IF(Table_NFI[[#This Row],[Distribution Date]]&gt;"2014-04-01",1,2.5)</f>
        <v>#REF!</v>
      </c>
      <c r="AL265" s="542" t="e">
        <f>IF(NFI_Expiration=1,IF(#REF!&lt;VLOOKUP(U$5,NFI,5,0),1,0)*Table_NFI[[#This Row],[Winter Clothes Adult]],Table_NFI[Winter Clothes Adult])</f>
        <v>#REF!</v>
      </c>
      <c r="AM265" s="542"/>
      <c r="AN265" s="542"/>
      <c r="AO265" s="542"/>
      <c r="AP265" s="542">
        <f>IF(Table_NFI[[#This Row],[Winter Clothes Adult]]+Table_NFI[[#This Row],[Winter Clothes Children]]+Table_NFI[[#This Row],[Winter Items Other]]+Table_NFI[[#This Row],[Winter Blanket]]&gt;0,1,0)</f>
        <v>0</v>
      </c>
      <c r="AQ265" s="542"/>
      <c r="AR265" s="542"/>
      <c r="AS265" s="542"/>
      <c r="AT265" s="205" t="str">
        <f>IFERROR(VLOOKUP(Table_NFI[[#This Row],[Location]],CL,2,0),"")</f>
        <v>MMR001CMP032</v>
      </c>
      <c r="AU265" s="183"/>
    </row>
    <row r="266" spans="2:47" x14ac:dyDescent="0.25">
      <c r="B266" s="540">
        <v>43244</v>
      </c>
      <c r="C266" s="540" t="str">
        <f>MONTH(Table_NFI[[#This Row],[Distribution Date]]) &amp; "/" &amp; YEAR(Table_NFI[[#This Row],[Distribution Date]])</f>
        <v>5/2018</v>
      </c>
      <c r="D266" s="198" t="s">
        <v>420</v>
      </c>
      <c r="E266" s="198" t="s">
        <v>1305</v>
      </c>
      <c r="F266" s="198" t="s">
        <v>378</v>
      </c>
      <c r="G266" s="197" t="s">
        <v>237</v>
      </c>
      <c r="H266" s="219" t="s">
        <v>272</v>
      </c>
      <c r="I266" s="183"/>
      <c r="J266" s="541"/>
      <c r="K266" s="541"/>
      <c r="L266" s="665">
        <v>21</v>
      </c>
      <c r="M266" s="665"/>
      <c r="N266" s="665">
        <v>61</v>
      </c>
      <c r="O266" s="665">
        <v>21</v>
      </c>
      <c r="P266" s="665">
        <v>65</v>
      </c>
      <c r="Q266" s="665">
        <v>21</v>
      </c>
      <c r="R266" s="665"/>
      <c r="S266" s="674">
        <v>21</v>
      </c>
      <c r="T266" s="674">
        <v>106</v>
      </c>
      <c r="U266" s="665"/>
      <c r="V266" s="665"/>
      <c r="W266" s="665"/>
      <c r="X266" s="665"/>
      <c r="Y266" s="674">
        <v>21</v>
      </c>
      <c r="Z266" s="541"/>
      <c r="AA266" s="541"/>
      <c r="AB266" s="541"/>
      <c r="AC266" s="542" t="e">
        <f>IF(NFI_Expiration=1,IF(#REF!&lt;VLOOKUP(L$5,NFI,5,0),1,0)*Table_NFI[[#This Row],[NFI Core Kit]],Table_NFI[NFI Core Kit])</f>
        <v>#REF!</v>
      </c>
      <c r="AD266" s="542" t="e">
        <f>IF(NFI_Expiration=1,IF(#REF!&lt;VLOOKUP(M$5,NFI,5,0),1,0)*Table_NFI[[#This Row],[Sanitary Kit]],Table_NFI[Sanitary Kit])</f>
        <v>#REF!</v>
      </c>
      <c r="AE266" s="542" t="e">
        <f>IF(NFI_Expiration=1,IF(#REF!&lt;VLOOKUP(N$5,NFI,5,0),1,0)*Table_NFI[[#This Row],[Mosquito net]],Table_NFI[Mosquito net])</f>
        <v>#REF!</v>
      </c>
      <c r="AF266" s="542" t="e">
        <f>IF(NFI_Expiration=1,IF(#REF!&lt;VLOOKUP(O$5,NFI,5,0),1,0)*Table_NFI[[#This Row],[Tarpaulin]],Table_NFI[[#This Row],[Tarpaulin]])</f>
        <v>#REF!</v>
      </c>
      <c r="AG266" s="542" t="e">
        <f>IF(NFI_Expiration=1,IF(#REF!&lt;VLOOKUP(P$5,NFI,5,0),1,0)*Table_NFI[[#This Row],[Blanket]],Table_NFI[[#This Row],[Blanket]])</f>
        <v>#REF!</v>
      </c>
      <c r="AH266" s="542" t="e">
        <f>IF(NFI_Expiration=1,IF(#REF!&lt;VLOOKUP(Q$5,NFI,5,0),1,0)*Table_NFI[[#This Row],[Kitchen Set]],Table_NFI[Kitchen Set])</f>
        <v>#REF!</v>
      </c>
      <c r="AI266" s="542" t="e">
        <f>IF(NFI_Expiration=1,IF(#REF!&lt;VLOOKUP(R$5,NFI,5,0),1,0)*Table_NFI[[#This Row],[Clothes Kit]],Table_NFI[Clothes Kit])</f>
        <v>#REF!</v>
      </c>
      <c r="AJ266" s="542" t="e">
        <f>IF(NFI_Expiration=1,IF(#REF!&lt;VLOOKUP(S$5,NFI,5,0),1,0)*Table_NFI[[#This Row],[Plastic Bucket]],Table_NFI[Plastic Bucket])</f>
        <v>#REF!</v>
      </c>
      <c r="AK266" s="542" t="e">
        <f>IF(NFI_Expiration=1,IF(#REF!&lt;VLOOKUP(T$5,NFI,5,0),1,0)*Table_NFI[[#This Row],[Plastic Mat]],Table_NFI[Plastic Mat])*IF(Table_NFI[[#This Row],[Distribution Date]]&gt;"2014-04-01",1,2.5)</f>
        <v>#REF!</v>
      </c>
      <c r="AL266" s="542" t="e">
        <f>IF(NFI_Expiration=1,IF(#REF!&lt;VLOOKUP(U$5,NFI,5,0),1,0)*Table_NFI[[#This Row],[Winter Clothes Adult]],Table_NFI[Winter Clothes Adult])</f>
        <v>#REF!</v>
      </c>
      <c r="AM266" s="542"/>
      <c r="AN266" s="542"/>
      <c r="AO266" s="542"/>
      <c r="AP266" s="542">
        <f>IF(Table_NFI[[#This Row],[Winter Clothes Adult]]+Table_NFI[[#This Row],[Winter Clothes Children]]+Table_NFI[[#This Row],[Winter Items Other]]+Table_NFI[[#This Row],[Winter Blanket]]&gt;0,1,0)</f>
        <v>0</v>
      </c>
      <c r="AQ266" s="542"/>
      <c r="AR266" s="542"/>
      <c r="AS266" s="542"/>
      <c r="AT266" s="205" t="str">
        <f>IFERROR(VLOOKUP(Table_NFI[[#This Row],[Location]],CL,2,0),"")</f>
        <v>MMR001CMP162</v>
      </c>
      <c r="AU266" s="183"/>
    </row>
    <row r="267" spans="2:47" x14ac:dyDescent="0.25">
      <c r="B267" s="540">
        <v>43238</v>
      </c>
      <c r="C267" s="540" t="str">
        <f>MONTH(Table_NFI[[#This Row],[Distribution Date]]) &amp; "/" &amp; YEAR(Table_NFI[[#This Row],[Distribution Date]])</f>
        <v>5/2018</v>
      </c>
      <c r="D267" s="198" t="s">
        <v>420</v>
      </c>
      <c r="E267" s="198" t="s">
        <v>1305</v>
      </c>
      <c r="F267" s="198" t="s">
        <v>378</v>
      </c>
      <c r="G267" s="197" t="s">
        <v>309</v>
      </c>
      <c r="H267" s="219" t="s">
        <v>329</v>
      </c>
      <c r="I267" s="183"/>
      <c r="J267" s="541"/>
      <c r="K267" s="541"/>
      <c r="L267" s="665">
        <v>52</v>
      </c>
      <c r="M267" s="665"/>
      <c r="N267" s="665">
        <v>153</v>
      </c>
      <c r="O267" s="665">
        <v>52</v>
      </c>
      <c r="P267" s="665">
        <v>157</v>
      </c>
      <c r="Q267" s="665">
        <v>52</v>
      </c>
      <c r="R267" s="665"/>
      <c r="S267" s="674">
        <v>52</v>
      </c>
      <c r="T267" s="674">
        <v>274</v>
      </c>
      <c r="U267" s="665"/>
      <c r="V267" s="665"/>
      <c r="W267" s="665"/>
      <c r="X267" s="665"/>
      <c r="Y267" s="674">
        <v>52</v>
      </c>
      <c r="Z267" s="541"/>
      <c r="AA267" s="541"/>
      <c r="AB267" s="541"/>
      <c r="AC267" s="542" t="e">
        <f>IF(NFI_Expiration=1,IF(#REF!&lt;VLOOKUP(L$5,NFI,5,0),1,0)*Table_NFI[[#This Row],[NFI Core Kit]],Table_NFI[NFI Core Kit])</f>
        <v>#REF!</v>
      </c>
      <c r="AD267" s="542" t="e">
        <f>IF(NFI_Expiration=1,IF(#REF!&lt;VLOOKUP(M$5,NFI,5,0),1,0)*Table_NFI[[#This Row],[Sanitary Kit]],Table_NFI[Sanitary Kit])</f>
        <v>#REF!</v>
      </c>
      <c r="AE267" s="542" t="e">
        <f>IF(NFI_Expiration=1,IF(#REF!&lt;VLOOKUP(N$5,NFI,5,0),1,0)*Table_NFI[[#This Row],[Mosquito net]],Table_NFI[Mosquito net])</f>
        <v>#REF!</v>
      </c>
      <c r="AF267" s="542" t="e">
        <f>IF(NFI_Expiration=1,IF(#REF!&lt;VLOOKUP(O$5,NFI,5,0),1,0)*Table_NFI[[#This Row],[Tarpaulin]],Table_NFI[[#This Row],[Tarpaulin]])</f>
        <v>#REF!</v>
      </c>
      <c r="AG267" s="542" t="e">
        <f>IF(NFI_Expiration=1,IF(#REF!&lt;VLOOKUP(P$5,NFI,5,0),1,0)*Table_NFI[[#This Row],[Blanket]],Table_NFI[[#This Row],[Blanket]])</f>
        <v>#REF!</v>
      </c>
      <c r="AH267" s="542" t="e">
        <f>IF(NFI_Expiration=1,IF(#REF!&lt;VLOOKUP(Q$5,NFI,5,0),1,0)*Table_NFI[[#This Row],[Kitchen Set]],Table_NFI[Kitchen Set])</f>
        <v>#REF!</v>
      </c>
      <c r="AI267" s="542" t="e">
        <f>IF(NFI_Expiration=1,IF(#REF!&lt;VLOOKUP(R$5,NFI,5,0),1,0)*Table_NFI[[#This Row],[Clothes Kit]],Table_NFI[Clothes Kit])</f>
        <v>#REF!</v>
      </c>
      <c r="AJ267" s="542" t="e">
        <f>IF(NFI_Expiration=1,IF(#REF!&lt;VLOOKUP(S$5,NFI,5,0),1,0)*Table_NFI[[#This Row],[Plastic Bucket]],Table_NFI[Plastic Bucket])</f>
        <v>#REF!</v>
      </c>
      <c r="AK267" s="542" t="e">
        <f>IF(NFI_Expiration=1,IF(#REF!&lt;VLOOKUP(T$5,NFI,5,0),1,0)*Table_NFI[[#This Row],[Plastic Mat]],Table_NFI[Plastic Mat])*IF(Table_NFI[[#This Row],[Distribution Date]]&gt;"2014-04-01",1,2.5)</f>
        <v>#REF!</v>
      </c>
      <c r="AL267" s="542" t="e">
        <f>IF(NFI_Expiration=1,IF(#REF!&lt;VLOOKUP(U$5,NFI,5,0),1,0)*Table_NFI[[#This Row],[Winter Clothes Adult]],Table_NFI[Winter Clothes Adult])</f>
        <v>#REF!</v>
      </c>
      <c r="AM267" s="542"/>
      <c r="AN267" s="542"/>
      <c r="AO267" s="542"/>
      <c r="AP267" s="542">
        <f>IF(Table_NFI[[#This Row],[Winter Clothes Adult]]+Table_NFI[[#This Row],[Winter Clothes Children]]+Table_NFI[[#This Row],[Winter Items Other]]+Table_NFI[[#This Row],[Winter Blanket]]&gt;0,1,0)</f>
        <v>0</v>
      </c>
      <c r="AQ267" s="542"/>
      <c r="AR267" s="542"/>
      <c r="AS267" s="542"/>
      <c r="AT267" s="205" t="str">
        <f>IFERROR(VLOOKUP(Table_NFI[[#This Row],[Location]],CL,2,0),"")</f>
        <v>MMR001CMP029</v>
      </c>
      <c r="AU267" s="183"/>
    </row>
    <row r="268" spans="2:47" x14ac:dyDescent="0.25">
      <c r="B268" s="540">
        <v>43221</v>
      </c>
      <c r="C268" s="540" t="str">
        <f>MONTH(Table_NFI[[#This Row],[Distribution Date]]) &amp; "/" &amp; YEAR(Table_NFI[[#This Row],[Distribution Date]])</f>
        <v>5/2018</v>
      </c>
      <c r="D268" s="198" t="s">
        <v>420</v>
      </c>
      <c r="E268" s="198" t="s">
        <v>1305</v>
      </c>
      <c r="F268" s="198" t="s">
        <v>378</v>
      </c>
      <c r="G268" s="197" t="s">
        <v>309</v>
      </c>
      <c r="H268" s="219" t="s">
        <v>329</v>
      </c>
      <c r="I268" s="183"/>
      <c r="J268" s="541"/>
      <c r="K268" s="541"/>
      <c r="L268" s="541"/>
      <c r="M268" s="541"/>
      <c r="N268" s="541"/>
      <c r="O268" s="541"/>
      <c r="P268" s="541"/>
      <c r="Q268" s="541"/>
      <c r="R268" s="541"/>
      <c r="S268" s="541"/>
      <c r="T268" s="541"/>
      <c r="U268" s="541"/>
      <c r="V268" s="541"/>
      <c r="W268" s="541"/>
      <c r="X268" s="541"/>
      <c r="Y268" s="541"/>
      <c r="Z268" s="541"/>
      <c r="AA268" s="541"/>
      <c r="AB268" s="541">
        <v>9</v>
      </c>
      <c r="AC268" s="542" t="e">
        <f>IF(NFI_Expiration=1,IF(#REF!&lt;VLOOKUP(L$5,NFI,5,0),1,0)*Table_NFI[[#This Row],[NFI Core Kit]],Table_NFI[NFI Core Kit])</f>
        <v>#REF!</v>
      </c>
      <c r="AD268" s="542" t="e">
        <f>IF(NFI_Expiration=1,IF(#REF!&lt;VLOOKUP(M$5,NFI,5,0),1,0)*Table_NFI[[#This Row],[Sanitary Kit]],Table_NFI[Sanitary Kit])</f>
        <v>#REF!</v>
      </c>
      <c r="AE268" s="542" t="e">
        <f>IF(NFI_Expiration=1,IF(#REF!&lt;VLOOKUP(N$5,NFI,5,0),1,0)*Table_NFI[[#This Row],[Mosquito net]],Table_NFI[Mosquito net])</f>
        <v>#REF!</v>
      </c>
      <c r="AF268" s="542" t="e">
        <f>IF(NFI_Expiration=1,IF(#REF!&lt;VLOOKUP(O$5,NFI,5,0),1,0)*Table_NFI[[#This Row],[Tarpaulin]],Table_NFI[[#This Row],[Tarpaulin]])</f>
        <v>#REF!</v>
      </c>
      <c r="AG268" s="542" t="e">
        <f>IF(NFI_Expiration=1,IF(#REF!&lt;VLOOKUP(P$5,NFI,5,0),1,0)*Table_NFI[[#This Row],[Blanket]],Table_NFI[[#This Row],[Blanket]])</f>
        <v>#REF!</v>
      </c>
      <c r="AH268" s="542" t="e">
        <f>IF(NFI_Expiration=1,IF(#REF!&lt;VLOOKUP(Q$5,NFI,5,0),1,0)*Table_NFI[[#This Row],[Kitchen Set]],Table_NFI[Kitchen Set])</f>
        <v>#REF!</v>
      </c>
      <c r="AI268" s="542" t="e">
        <f>IF(NFI_Expiration=1,IF(#REF!&lt;VLOOKUP(R$5,NFI,5,0),1,0)*Table_NFI[[#This Row],[Clothes Kit]],Table_NFI[Clothes Kit])</f>
        <v>#REF!</v>
      </c>
      <c r="AJ268" s="542" t="e">
        <f>IF(NFI_Expiration=1,IF(#REF!&lt;VLOOKUP(S$5,NFI,5,0),1,0)*Table_NFI[[#This Row],[Plastic Bucket]],Table_NFI[Plastic Bucket])</f>
        <v>#REF!</v>
      </c>
      <c r="AK268" s="542" t="e">
        <f>IF(NFI_Expiration=1,IF(#REF!&lt;VLOOKUP(T$5,NFI,5,0),1,0)*Table_NFI[[#This Row],[Plastic Mat]],Table_NFI[Plastic Mat])*IF(Table_NFI[[#This Row],[Distribution Date]]&gt;"2014-04-01",1,2.5)</f>
        <v>#REF!</v>
      </c>
      <c r="AL268" s="542" t="e">
        <f>IF(NFI_Expiration=1,IF(#REF!&lt;VLOOKUP(U$5,NFI,5,0),1,0)*Table_NFI[[#This Row],[Winter Clothes Adult]],Table_NFI[Winter Clothes Adult])</f>
        <v>#REF!</v>
      </c>
      <c r="AM268" s="542"/>
      <c r="AN268" s="542"/>
      <c r="AO268" s="542"/>
      <c r="AP268" s="542">
        <f>IF(Table_NFI[[#This Row],[Winter Clothes Adult]]+Table_NFI[[#This Row],[Winter Clothes Children]]+Table_NFI[[#This Row],[Winter Items Other]]+Table_NFI[[#This Row],[Winter Blanket]]&gt;0,1,0)</f>
        <v>0</v>
      </c>
      <c r="AQ268" s="542"/>
      <c r="AR268" s="542"/>
      <c r="AS268" s="542"/>
      <c r="AT268" s="205" t="str">
        <f>IFERROR(VLOOKUP(Table_NFI[[#This Row],[Location]],CL,2,0),"")</f>
        <v>MMR001CMP029</v>
      </c>
      <c r="AU268" s="183"/>
    </row>
    <row r="269" spans="2:47" x14ac:dyDescent="0.25">
      <c r="B269" s="540">
        <v>43224</v>
      </c>
      <c r="C269" s="540" t="str">
        <f>MONTH(Table_NFI[[#This Row],[Distribution Date]]) &amp; "/" &amp; YEAR(Table_NFI[[#This Row],[Distribution Date]])</f>
        <v>5/2018</v>
      </c>
      <c r="D269" s="665" t="s">
        <v>825</v>
      </c>
      <c r="E269" s="665" t="s">
        <v>825</v>
      </c>
      <c r="F269" s="665" t="s">
        <v>378</v>
      </c>
      <c r="G269" s="197" t="s">
        <v>27</v>
      </c>
      <c r="H269" s="219" t="s">
        <v>28</v>
      </c>
      <c r="I269" s="183"/>
      <c r="J269" s="541"/>
      <c r="K269" s="541"/>
      <c r="L269" s="541">
        <v>45</v>
      </c>
      <c r="M269" s="541">
        <v>45</v>
      </c>
      <c r="N269" s="541"/>
      <c r="O269" s="541"/>
      <c r="P269" s="541"/>
      <c r="Q269" s="541"/>
      <c r="R269" s="541"/>
      <c r="S269" s="541"/>
      <c r="T269" s="541"/>
      <c r="U269" s="541"/>
      <c r="V269" s="541"/>
      <c r="W269" s="541"/>
      <c r="X269" s="541"/>
      <c r="Y269" s="541">
        <v>45</v>
      </c>
      <c r="Z269" s="541"/>
      <c r="AA269" s="541"/>
      <c r="AB269" s="541"/>
      <c r="AC269" s="542" t="e">
        <f>IF(NFI_Expiration=1,IF(#REF!&lt;VLOOKUP(L$5,NFI,5,0),1,0)*Table_NFI[[#This Row],[NFI Core Kit]],Table_NFI[NFI Core Kit])</f>
        <v>#REF!</v>
      </c>
      <c r="AD269" s="542" t="e">
        <f>IF(NFI_Expiration=1,IF(#REF!&lt;VLOOKUP(M$5,NFI,5,0),1,0)*Table_NFI[[#This Row],[Sanitary Kit]],Table_NFI[Sanitary Kit])</f>
        <v>#REF!</v>
      </c>
      <c r="AE269" s="542" t="e">
        <f>IF(NFI_Expiration=1,IF(#REF!&lt;VLOOKUP(N$5,NFI,5,0),1,0)*Table_NFI[[#This Row],[Mosquito net]],Table_NFI[Mosquito net])</f>
        <v>#REF!</v>
      </c>
      <c r="AF269" s="542" t="e">
        <f>IF(NFI_Expiration=1,IF(#REF!&lt;VLOOKUP(O$5,NFI,5,0),1,0)*Table_NFI[[#This Row],[Tarpaulin]],Table_NFI[[#This Row],[Tarpaulin]])</f>
        <v>#REF!</v>
      </c>
      <c r="AG269" s="542" t="e">
        <f>IF(NFI_Expiration=1,IF(#REF!&lt;VLOOKUP(P$5,NFI,5,0),1,0)*Table_NFI[[#This Row],[Blanket]],Table_NFI[[#This Row],[Blanket]])</f>
        <v>#REF!</v>
      </c>
      <c r="AH269" s="542" t="e">
        <f>IF(NFI_Expiration=1,IF(#REF!&lt;VLOOKUP(Q$5,NFI,5,0),1,0)*Table_NFI[[#This Row],[Kitchen Set]],Table_NFI[Kitchen Set])</f>
        <v>#REF!</v>
      </c>
      <c r="AI269" s="542" t="e">
        <f>IF(NFI_Expiration=1,IF(#REF!&lt;VLOOKUP(R$5,NFI,5,0),1,0)*Table_NFI[[#This Row],[Clothes Kit]],Table_NFI[Clothes Kit])</f>
        <v>#REF!</v>
      </c>
      <c r="AJ269" s="542" t="e">
        <f>IF(NFI_Expiration=1,IF(#REF!&lt;VLOOKUP(S$5,NFI,5,0),1,0)*Table_NFI[[#This Row],[Plastic Bucket]],Table_NFI[Plastic Bucket])</f>
        <v>#REF!</v>
      </c>
      <c r="AK269" s="542" t="e">
        <f>IF(NFI_Expiration=1,IF(#REF!&lt;VLOOKUP(T$5,NFI,5,0),1,0)*Table_NFI[[#This Row],[Plastic Mat]],Table_NFI[Plastic Mat])*IF(Table_NFI[[#This Row],[Distribution Date]]&gt;"2014-04-01",1,2.5)</f>
        <v>#REF!</v>
      </c>
      <c r="AL269" s="542" t="e">
        <f>IF(NFI_Expiration=1,IF(#REF!&lt;VLOOKUP(U$5,NFI,5,0),1,0)*Table_NFI[[#This Row],[Winter Clothes Adult]],Table_NFI[Winter Clothes Adult])</f>
        <v>#REF!</v>
      </c>
      <c r="AM269" s="542"/>
      <c r="AN269" s="542"/>
      <c r="AO269" s="542"/>
      <c r="AP269" s="542">
        <f>IF(Table_NFI[[#This Row],[Winter Clothes Adult]]+Table_NFI[[#This Row],[Winter Clothes Children]]+Table_NFI[[#This Row],[Winter Items Other]]+Table_NFI[[#This Row],[Winter Blanket]]&gt;0,1,0)</f>
        <v>0</v>
      </c>
      <c r="AQ269" s="542"/>
      <c r="AR269" s="542"/>
      <c r="AS269" s="542"/>
      <c r="AT269" s="205" t="str">
        <f>IFERROR(VLOOKUP(Table_NFI[[#This Row],[Location]],CL,2,0),"")</f>
        <v>MMR001CMP042</v>
      </c>
      <c r="AU269" s="183"/>
    </row>
    <row r="270" spans="2:47" x14ac:dyDescent="0.25">
      <c r="B270" s="540">
        <v>43224</v>
      </c>
      <c r="C270" s="540" t="str">
        <f>MONTH(Table_NFI[[#This Row],[Distribution Date]]) &amp; "/" &amp; YEAR(Table_NFI[[#This Row],[Distribution Date]])</f>
        <v>5/2018</v>
      </c>
      <c r="D270" s="665" t="s">
        <v>825</v>
      </c>
      <c r="E270" s="665" t="s">
        <v>825</v>
      </c>
      <c r="F270" s="665" t="s">
        <v>378</v>
      </c>
      <c r="G270" s="197" t="s">
        <v>27</v>
      </c>
      <c r="H270" s="219" t="s">
        <v>363</v>
      </c>
      <c r="I270" s="183"/>
      <c r="J270" s="541"/>
      <c r="K270" s="541"/>
      <c r="L270" s="541">
        <v>54</v>
      </c>
      <c r="M270" s="541">
        <v>54</v>
      </c>
      <c r="N270" s="541"/>
      <c r="O270" s="541"/>
      <c r="P270" s="541"/>
      <c r="Q270" s="541"/>
      <c r="R270" s="541"/>
      <c r="S270" s="541"/>
      <c r="T270" s="541"/>
      <c r="U270" s="541"/>
      <c r="V270" s="541"/>
      <c r="W270" s="541"/>
      <c r="X270" s="541"/>
      <c r="Y270" s="541">
        <v>54</v>
      </c>
      <c r="Z270" s="541"/>
      <c r="AA270" s="541"/>
      <c r="AB270" s="541"/>
      <c r="AC270" s="542" t="e">
        <f>IF(NFI_Expiration=1,IF(#REF!&lt;VLOOKUP(L$5,NFI,5,0),1,0)*Table_NFI[[#This Row],[NFI Core Kit]],Table_NFI[NFI Core Kit])</f>
        <v>#REF!</v>
      </c>
      <c r="AD270" s="542" t="e">
        <f>IF(NFI_Expiration=1,IF(#REF!&lt;VLOOKUP(M$5,NFI,5,0),1,0)*Table_NFI[[#This Row],[Sanitary Kit]],Table_NFI[Sanitary Kit])</f>
        <v>#REF!</v>
      </c>
      <c r="AE270" s="542" t="e">
        <f>IF(NFI_Expiration=1,IF(#REF!&lt;VLOOKUP(N$5,NFI,5,0),1,0)*Table_NFI[[#This Row],[Mosquito net]],Table_NFI[Mosquito net])</f>
        <v>#REF!</v>
      </c>
      <c r="AF270" s="542" t="e">
        <f>IF(NFI_Expiration=1,IF(#REF!&lt;VLOOKUP(O$5,NFI,5,0),1,0)*Table_NFI[[#This Row],[Tarpaulin]],Table_NFI[[#This Row],[Tarpaulin]])</f>
        <v>#REF!</v>
      </c>
      <c r="AG270" s="542" t="e">
        <f>IF(NFI_Expiration=1,IF(#REF!&lt;VLOOKUP(P$5,NFI,5,0),1,0)*Table_NFI[[#This Row],[Blanket]],Table_NFI[[#This Row],[Blanket]])</f>
        <v>#REF!</v>
      </c>
      <c r="AH270" s="542" t="e">
        <f>IF(NFI_Expiration=1,IF(#REF!&lt;VLOOKUP(Q$5,NFI,5,0),1,0)*Table_NFI[[#This Row],[Kitchen Set]],Table_NFI[Kitchen Set])</f>
        <v>#REF!</v>
      </c>
      <c r="AI270" s="542" t="e">
        <f>IF(NFI_Expiration=1,IF(#REF!&lt;VLOOKUP(R$5,NFI,5,0),1,0)*Table_NFI[[#This Row],[Clothes Kit]],Table_NFI[Clothes Kit])</f>
        <v>#REF!</v>
      </c>
      <c r="AJ270" s="542" t="e">
        <f>IF(NFI_Expiration=1,IF(#REF!&lt;VLOOKUP(S$5,NFI,5,0),1,0)*Table_NFI[[#This Row],[Plastic Bucket]],Table_NFI[Plastic Bucket])</f>
        <v>#REF!</v>
      </c>
      <c r="AK270" s="542" t="e">
        <f>IF(NFI_Expiration=1,IF(#REF!&lt;VLOOKUP(T$5,NFI,5,0),1,0)*Table_NFI[[#This Row],[Plastic Mat]],Table_NFI[Plastic Mat])*IF(Table_NFI[[#This Row],[Distribution Date]]&gt;"2014-04-01",1,2.5)</f>
        <v>#REF!</v>
      </c>
      <c r="AL270" s="542" t="e">
        <f>IF(NFI_Expiration=1,IF(#REF!&lt;VLOOKUP(U$5,NFI,5,0),1,0)*Table_NFI[[#This Row],[Winter Clothes Adult]],Table_NFI[Winter Clothes Adult])</f>
        <v>#REF!</v>
      </c>
      <c r="AM270" s="542"/>
      <c r="AN270" s="542"/>
      <c r="AO270" s="542"/>
      <c r="AP270" s="542">
        <f>IF(Table_NFI[[#This Row],[Winter Clothes Adult]]+Table_NFI[[#This Row],[Winter Clothes Children]]+Table_NFI[[#This Row],[Winter Items Other]]+Table_NFI[[#This Row],[Winter Blanket]]&gt;0,1,0)</f>
        <v>0</v>
      </c>
      <c r="AQ270" s="542"/>
      <c r="AR270" s="542"/>
      <c r="AS270" s="542"/>
      <c r="AT270" s="205" t="str">
        <f>IFERROR(VLOOKUP(Table_NFI[[#This Row],[Location]],CL,2,0),"")</f>
        <v>MMR001CMP195</v>
      </c>
      <c r="AU270" s="183"/>
    </row>
    <row r="271" spans="2:47" x14ac:dyDescent="0.25">
      <c r="B271" s="540">
        <v>43224</v>
      </c>
      <c r="C271" s="540" t="str">
        <f>MONTH(Table_NFI[[#This Row],[Distribution Date]]) &amp; "/" &amp; YEAR(Table_NFI[[#This Row],[Distribution Date]])</f>
        <v>5/2018</v>
      </c>
      <c r="D271" s="665" t="s">
        <v>825</v>
      </c>
      <c r="E271" s="665" t="s">
        <v>825</v>
      </c>
      <c r="F271" s="665" t="s">
        <v>378</v>
      </c>
      <c r="G271" s="197" t="s">
        <v>480</v>
      </c>
      <c r="H271" s="219" t="s">
        <v>1703</v>
      </c>
      <c r="I271" s="183"/>
      <c r="J271" s="541">
        <v>28</v>
      </c>
      <c r="K271" s="541"/>
      <c r="L271" s="541"/>
      <c r="M271" s="541"/>
      <c r="N271" s="541">
        <v>28</v>
      </c>
      <c r="O271" s="541">
        <v>28</v>
      </c>
      <c r="P271" s="541">
        <v>28</v>
      </c>
      <c r="Q271" s="541">
        <v>28</v>
      </c>
      <c r="R271" s="541"/>
      <c r="S271" s="541"/>
      <c r="T271" s="541"/>
      <c r="U271" s="541"/>
      <c r="V271" s="541"/>
      <c r="W271" s="541"/>
      <c r="X271" s="541"/>
      <c r="Y271" s="541"/>
      <c r="Z271" s="541"/>
      <c r="AA271" s="541"/>
      <c r="AB271" s="541"/>
      <c r="AC271" s="542" t="e">
        <f>IF(NFI_Expiration=1,IF(#REF!&lt;VLOOKUP(L$5,NFI,5,0),1,0)*Table_NFI[[#This Row],[NFI Core Kit]],Table_NFI[NFI Core Kit])</f>
        <v>#REF!</v>
      </c>
      <c r="AD271" s="542" t="e">
        <f>IF(NFI_Expiration=1,IF(#REF!&lt;VLOOKUP(M$5,NFI,5,0),1,0)*Table_NFI[[#This Row],[Sanitary Kit]],Table_NFI[Sanitary Kit])</f>
        <v>#REF!</v>
      </c>
      <c r="AE271" s="542" t="e">
        <f>IF(NFI_Expiration=1,IF(#REF!&lt;VLOOKUP(N$5,NFI,5,0),1,0)*Table_NFI[[#This Row],[Mosquito net]],Table_NFI[Mosquito net])</f>
        <v>#REF!</v>
      </c>
      <c r="AF271" s="542" t="e">
        <f>IF(NFI_Expiration=1,IF(#REF!&lt;VLOOKUP(O$5,NFI,5,0),1,0)*Table_NFI[[#This Row],[Tarpaulin]],Table_NFI[[#This Row],[Tarpaulin]])</f>
        <v>#REF!</v>
      </c>
      <c r="AG271" s="542" t="e">
        <f>IF(NFI_Expiration=1,IF(#REF!&lt;VLOOKUP(P$5,NFI,5,0),1,0)*Table_NFI[[#This Row],[Blanket]],Table_NFI[[#This Row],[Blanket]])</f>
        <v>#REF!</v>
      </c>
      <c r="AH271" s="542" t="e">
        <f>IF(NFI_Expiration=1,IF(#REF!&lt;VLOOKUP(Q$5,NFI,5,0),1,0)*Table_NFI[[#This Row],[Kitchen Set]],Table_NFI[Kitchen Set])</f>
        <v>#REF!</v>
      </c>
      <c r="AI271" s="542" t="e">
        <f>IF(NFI_Expiration=1,IF(#REF!&lt;VLOOKUP(R$5,NFI,5,0),1,0)*Table_NFI[[#This Row],[Clothes Kit]],Table_NFI[Clothes Kit])</f>
        <v>#REF!</v>
      </c>
      <c r="AJ271" s="542" t="e">
        <f>IF(NFI_Expiration=1,IF(#REF!&lt;VLOOKUP(S$5,NFI,5,0),1,0)*Table_NFI[[#This Row],[Plastic Bucket]],Table_NFI[Plastic Bucket])</f>
        <v>#REF!</v>
      </c>
      <c r="AK271" s="542" t="e">
        <f>IF(NFI_Expiration=1,IF(#REF!&lt;VLOOKUP(T$5,NFI,5,0),1,0)*Table_NFI[[#This Row],[Plastic Mat]],Table_NFI[Plastic Mat])*IF(Table_NFI[[#This Row],[Distribution Date]]&gt;"2014-04-01",1,2.5)</f>
        <v>#REF!</v>
      </c>
      <c r="AL271" s="542" t="e">
        <f>IF(NFI_Expiration=1,IF(#REF!&lt;VLOOKUP(U$5,NFI,5,0),1,0)*Table_NFI[[#This Row],[Winter Clothes Adult]],Table_NFI[Winter Clothes Adult])</f>
        <v>#REF!</v>
      </c>
      <c r="AM271" s="542"/>
      <c r="AN271" s="542"/>
      <c r="AO271" s="542"/>
      <c r="AP271" s="542">
        <f>IF(Table_NFI[[#This Row],[Winter Clothes Adult]]+Table_NFI[[#This Row],[Winter Clothes Children]]+Table_NFI[[#This Row],[Winter Items Other]]+Table_NFI[[#This Row],[Winter Blanket]]&gt;0,1,0)</f>
        <v>0</v>
      </c>
      <c r="AQ271" s="542"/>
      <c r="AR271" s="542"/>
      <c r="AS271" s="542"/>
      <c r="AT271" s="205" t="str">
        <f>IFERROR(VLOOKUP(Table_NFI[[#This Row],[Location]],CL,2,0),"")</f>
        <v>MMR001CMP270</v>
      </c>
      <c r="AU271" s="183"/>
    </row>
    <row r="272" spans="2:47" x14ac:dyDescent="0.25">
      <c r="B272" s="540">
        <v>43228</v>
      </c>
      <c r="C272" s="540" t="str">
        <f>MONTH(Table_NFI[[#This Row],[Distribution Date]]) &amp; "/" &amp; YEAR(Table_NFI[[#This Row],[Distribution Date]])</f>
        <v>5/2018</v>
      </c>
      <c r="D272" s="665" t="s">
        <v>825</v>
      </c>
      <c r="E272" s="665" t="s">
        <v>825</v>
      </c>
      <c r="F272" s="665" t="s">
        <v>378</v>
      </c>
      <c r="G272" s="197" t="s">
        <v>361</v>
      </c>
      <c r="H272" s="219" t="s">
        <v>1696</v>
      </c>
      <c r="I272" s="183"/>
      <c r="J272" s="541"/>
      <c r="K272" s="541"/>
      <c r="L272" s="541"/>
      <c r="M272" s="541">
        <v>29</v>
      </c>
      <c r="N272" s="541">
        <v>29</v>
      </c>
      <c r="O272" s="541"/>
      <c r="P272" s="541"/>
      <c r="Q272" s="541">
        <v>29</v>
      </c>
      <c r="R272" s="541"/>
      <c r="S272" s="541"/>
      <c r="T272" s="541"/>
      <c r="U272" s="541"/>
      <c r="V272" s="541"/>
      <c r="W272" s="541"/>
      <c r="X272" s="541"/>
      <c r="Y272" s="541"/>
      <c r="Z272" s="541"/>
      <c r="AA272" s="541"/>
      <c r="AB272" s="541"/>
      <c r="AC272" s="542" t="e">
        <f>IF(NFI_Expiration=1,IF(#REF!&lt;VLOOKUP(L$5,NFI,5,0),1,0)*Table_NFI[[#This Row],[NFI Core Kit]],Table_NFI[NFI Core Kit])</f>
        <v>#REF!</v>
      </c>
      <c r="AD272" s="542" t="e">
        <f>IF(NFI_Expiration=1,IF(#REF!&lt;VLOOKUP(M$5,NFI,5,0),1,0)*Table_NFI[[#This Row],[Sanitary Kit]],Table_NFI[Sanitary Kit])</f>
        <v>#REF!</v>
      </c>
      <c r="AE272" s="542" t="e">
        <f>IF(NFI_Expiration=1,IF(#REF!&lt;VLOOKUP(N$5,NFI,5,0),1,0)*Table_NFI[[#This Row],[Mosquito net]],Table_NFI[Mosquito net])</f>
        <v>#REF!</v>
      </c>
      <c r="AF272" s="542" t="e">
        <f>IF(NFI_Expiration=1,IF(#REF!&lt;VLOOKUP(O$5,NFI,5,0),1,0)*Table_NFI[[#This Row],[Tarpaulin]],Table_NFI[[#This Row],[Tarpaulin]])</f>
        <v>#REF!</v>
      </c>
      <c r="AG272" s="542" t="e">
        <f>IF(NFI_Expiration=1,IF(#REF!&lt;VLOOKUP(P$5,NFI,5,0),1,0)*Table_NFI[[#This Row],[Blanket]],Table_NFI[[#This Row],[Blanket]])</f>
        <v>#REF!</v>
      </c>
      <c r="AH272" s="542" t="e">
        <f>IF(NFI_Expiration=1,IF(#REF!&lt;VLOOKUP(Q$5,NFI,5,0),1,0)*Table_NFI[[#This Row],[Kitchen Set]],Table_NFI[Kitchen Set])</f>
        <v>#REF!</v>
      </c>
      <c r="AI272" s="542" t="e">
        <f>IF(NFI_Expiration=1,IF(#REF!&lt;VLOOKUP(R$5,NFI,5,0),1,0)*Table_NFI[[#This Row],[Clothes Kit]],Table_NFI[Clothes Kit])</f>
        <v>#REF!</v>
      </c>
      <c r="AJ272" s="542" t="e">
        <f>IF(NFI_Expiration=1,IF(#REF!&lt;VLOOKUP(S$5,NFI,5,0),1,0)*Table_NFI[[#This Row],[Plastic Bucket]],Table_NFI[Plastic Bucket])</f>
        <v>#REF!</v>
      </c>
      <c r="AK272" s="542" t="e">
        <f>IF(NFI_Expiration=1,IF(#REF!&lt;VLOOKUP(T$5,NFI,5,0),1,0)*Table_NFI[[#This Row],[Plastic Mat]],Table_NFI[Plastic Mat])*IF(Table_NFI[[#This Row],[Distribution Date]]&gt;"2014-04-01",1,2.5)</f>
        <v>#REF!</v>
      </c>
      <c r="AL272" s="542" t="e">
        <f>IF(NFI_Expiration=1,IF(#REF!&lt;VLOOKUP(U$5,NFI,5,0),1,0)*Table_NFI[[#This Row],[Winter Clothes Adult]],Table_NFI[Winter Clothes Adult])</f>
        <v>#REF!</v>
      </c>
      <c r="AM272" s="542"/>
      <c r="AN272" s="542"/>
      <c r="AO272" s="542"/>
      <c r="AP272" s="542">
        <f>IF(Table_NFI[[#This Row],[Winter Clothes Adult]]+Table_NFI[[#This Row],[Winter Clothes Children]]+Table_NFI[[#This Row],[Winter Items Other]]+Table_NFI[[#This Row],[Winter Blanket]]&gt;0,1,0)</f>
        <v>0</v>
      </c>
      <c r="AQ272" s="542"/>
      <c r="AR272" s="542"/>
      <c r="AS272" s="542"/>
      <c r="AT272" s="205" t="str">
        <f>IFERROR(VLOOKUP(Table_NFI[[#This Row],[Location]],CL,2,0),"")</f>
        <v/>
      </c>
      <c r="AU272" s="183"/>
    </row>
    <row r="273" spans="2:47" x14ac:dyDescent="0.25">
      <c r="B273" s="540">
        <v>43230</v>
      </c>
      <c r="C273" s="540" t="str">
        <f>MONTH(Table_NFI[[#This Row],[Distribution Date]]) &amp; "/" &amp; YEAR(Table_NFI[[#This Row],[Distribution Date]])</f>
        <v>5/2018</v>
      </c>
      <c r="D273" s="665" t="s">
        <v>825</v>
      </c>
      <c r="E273" s="665" t="s">
        <v>825</v>
      </c>
      <c r="F273" s="665" t="s">
        <v>378</v>
      </c>
      <c r="G273" s="197" t="s">
        <v>1135</v>
      </c>
      <c r="H273" s="219" t="s">
        <v>1400</v>
      </c>
      <c r="I273" s="183"/>
      <c r="J273" s="541">
        <v>67</v>
      </c>
      <c r="K273" s="541"/>
      <c r="L273" s="541"/>
      <c r="M273" s="541"/>
      <c r="N273" s="541">
        <v>67</v>
      </c>
      <c r="O273" s="541"/>
      <c r="P273" s="541"/>
      <c r="Q273" s="541"/>
      <c r="R273" s="541"/>
      <c r="S273" s="541"/>
      <c r="T273" s="541"/>
      <c r="U273" s="541"/>
      <c r="V273" s="541"/>
      <c r="W273" s="541"/>
      <c r="X273" s="541"/>
      <c r="Y273" s="541"/>
      <c r="Z273" s="541"/>
      <c r="AA273" s="541"/>
      <c r="AB273" s="541"/>
      <c r="AC273" s="542" t="e">
        <f>IF(NFI_Expiration=1,IF(#REF!&lt;VLOOKUP(L$5,NFI,5,0),1,0)*Table_NFI[[#This Row],[NFI Core Kit]],Table_NFI[NFI Core Kit])</f>
        <v>#REF!</v>
      </c>
      <c r="AD273" s="542" t="e">
        <f>IF(NFI_Expiration=1,IF(#REF!&lt;VLOOKUP(M$5,NFI,5,0),1,0)*Table_NFI[[#This Row],[Sanitary Kit]],Table_NFI[Sanitary Kit])</f>
        <v>#REF!</v>
      </c>
      <c r="AE273" s="542" t="e">
        <f>IF(NFI_Expiration=1,IF(#REF!&lt;VLOOKUP(N$5,NFI,5,0),1,0)*Table_NFI[[#This Row],[Mosquito net]],Table_NFI[Mosquito net])</f>
        <v>#REF!</v>
      </c>
      <c r="AF273" s="542" t="e">
        <f>IF(NFI_Expiration=1,IF(#REF!&lt;VLOOKUP(O$5,NFI,5,0),1,0)*Table_NFI[[#This Row],[Tarpaulin]],Table_NFI[[#This Row],[Tarpaulin]])</f>
        <v>#REF!</v>
      </c>
      <c r="AG273" s="542" t="e">
        <f>IF(NFI_Expiration=1,IF(#REF!&lt;VLOOKUP(P$5,NFI,5,0),1,0)*Table_NFI[[#This Row],[Blanket]],Table_NFI[[#This Row],[Blanket]])</f>
        <v>#REF!</v>
      </c>
      <c r="AH273" s="542" t="e">
        <f>IF(NFI_Expiration=1,IF(#REF!&lt;VLOOKUP(Q$5,NFI,5,0),1,0)*Table_NFI[[#This Row],[Kitchen Set]],Table_NFI[Kitchen Set])</f>
        <v>#REF!</v>
      </c>
      <c r="AI273" s="542" t="e">
        <f>IF(NFI_Expiration=1,IF(#REF!&lt;VLOOKUP(R$5,NFI,5,0),1,0)*Table_NFI[[#This Row],[Clothes Kit]],Table_NFI[Clothes Kit])</f>
        <v>#REF!</v>
      </c>
      <c r="AJ273" s="542" t="e">
        <f>IF(NFI_Expiration=1,IF(#REF!&lt;VLOOKUP(S$5,NFI,5,0),1,0)*Table_NFI[[#This Row],[Plastic Bucket]],Table_NFI[Plastic Bucket])</f>
        <v>#REF!</v>
      </c>
      <c r="AK273" s="542" t="e">
        <f>IF(NFI_Expiration=1,IF(#REF!&lt;VLOOKUP(T$5,NFI,5,0),1,0)*Table_NFI[[#This Row],[Plastic Mat]],Table_NFI[Plastic Mat])*IF(Table_NFI[[#This Row],[Distribution Date]]&gt;"2014-04-01",1,2.5)</f>
        <v>#REF!</v>
      </c>
      <c r="AL273" s="542" t="e">
        <f>IF(NFI_Expiration=1,IF(#REF!&lt;VLOOKUP(U$5,NFI,5,0),1,0)*Table_NFI[[#This Row],[Winter Clothes Adult]],Table_NFI[Winter Clothes Adult])</f>
        <v>#REF!</v>
      </c>
      <c r="AM273" s="542"/>
      <c r="AN273" s="542"/>
      <c r="AO273" s="542"/>
      <c r="AP273" s="542">
        <f>IF(Table_NFI[[#This Row],[Winter Clothes Adult]]+Table_NFI[[#This Row],[Winter Clothes Children]]+Table_NFI[[#This Row],[Winter Items Other]]+Table_NFI[[#This Row],[Winter Blanket]]&gt;0,1,0)</f>
        <v>0</v>
      </c>
      <c r="AQ273" s="542"/>
      <c r="AR273" s="542"/>
      <c r="AS273" s="542"/>
      <c r="AT273" s="205" t="str">
        <f>IFERROR(VLOOKUP(Table_NFI[[#This Row],[Location]],CL,2,0),"")</f>
        <v/>
      </c>
      <c r="AU273" s="183"/>
    </row>
    <row r="274" spans="2:47" x14ac:dyDescent="0.25">
      <c r="B274" s="540">
        <v>43230</v>
      </c>
      <c r="C274" s="540" t="str">
        <f>MONTH(Table_NFI[[#This Row],[Distribution Date]]) &amp; "/" &amp; YEAR(Table_NFI[[#This Row],[Distribution Date]])</f>
        <v>5/2018</v>
      </c>
      <c r="D274" s="665" t="s">
        <v>825</v>
      </c>
      <c r="E274" s="665" t="s">
        <v>825</v>
      </c>
      <c r="F274" s="665" t="s">
        <v>378</v>
      </c>
      <c r="G274" s="197" t="s">
        <v>480</v>
      </c>
      <c r="H274" s="219" t="s">
        <v>1639</v>
      </c>
      <c r="I274" s="183"/>
      <c r="J274" s="541"/>
      <c r="K274" s="541"/>
      <c r="L274" s="541">
        <v>37</v>
      </c>
      <c r="M274" s="541">
        <v>37</v>
      </c>
      <c r="N274" s="541"/>
      <c r="O274" s="541"/>
      <c r="P274" s="541"/>
      <c r="Q274" s="541"/>
      <c r="R274" s="541"/>
      <c r="S274" s="541"/>
      <c r="T274" s="541"/>
      <c r="U274" s="541"/>
      <c r="V274" s="541"/>
      <c r="W274" s="541"/>
      <c r="X274" s="541"/>
      <c r="Y274" s="541">
        <v>37</v>
      </c>
      <c r="Z274" s="541"/>
      <c r="AA274" s="541"/>
      <c r="AB274" s="541"/>
      <c r="AC274" s="542" t="e">
        <f>IF(NFI_Expiration=1,IF(#REF!&lt;VLOOKUP(L$5,NFI,5,0),1,0)*Table_NFI[[#This Row],[NFI Core Kit]],Table_NFI[NFI Core Kit])</f>
        <v>#REF!</v>
      </c>
      <c r="AD274" s="542" t="e">
        <f>IF(NFI_Expiration=1,IF(#REF!&lt;VLOOKUP(M$5,NFI,5,0),1,0)*Table_NFI[[#This Row],[Sanitary Kit]],Table_NFI[Sanitary Kit])</f>
        <v>#REF!</v>
      </c>
      <c r="AE274" s="542" t="e">
        <f>IF(NFI_Expiration=1,IF(#REF!&lt;VLOOKUP(N$5,NFI,5,0),1,0)*Table_NFI[[#This Row],[Mosquito net]],Table_NFI[Mosquito net])</f>
        <v>#REF!</v>
      </c>
      <c r="AF274" s="542" t="e">
        <f>IF(NFI_Expiration=1,IF(#REF!&lt;VLOOKUP(O$5,NFI,5,0),1,0)*Table_NFI[[#This Row],[Tarpaulin]],Table_NFI[[#This Row],[Tarpaulin]])</f>
        <v>#REF!</v>
      </c>
      <c r="AG274" s="542" t="e">
        <f>IF(NFI_Expiration=1,IF(#REF!&lt;VLOOKUP(P$5,NFI,5,0),1,0)*Table_NFI[[#This Row],[Blanket]],Table_NFI[[#This Row],[Blanket]])</f>
        <v>#REF!</v>
      </c>
      <c r="AH274" s="542" t="e">
        <f>IF(NFI_Expiration=1,IF(#REF!&lt;VLOOKUP(Q$5,NFI,5,0),1,0)*Table_NFI[[#This Row],[Kitchen Set]],Table_NFI[Kitchen Set])</f>
        <v>#REF!</v>
      </c>
      <c r="AI274" s="542" t="e">
        <f>IF(NFI_Expiration=1,IF(#REF!&lt;VLOOKUP(R$5,NFI,5,0),1,0)*Table_NFI[[#This Row],[Clothes Kit]],Table_NFI[Clothes Kit])</f>
        <v>#REF!</v>
      </c>
      <c r="AJ274" s="542" t="e">
        <f>IF(NFI_Expiration=1,IF(#REF!&lt;VLOOKUP(S$5,NFI,5,0),1,0)*Table_NFI[[#This Row],[Plastic Bucket]],Table_NFI[Plastic Bucket])</f>
        <v>#REF!</v>
      </c>
      <c r="AK274" s="542" t="e">
        <f>IF(NFI_Expiration=1,IF(#REF!&lt;VLOOKUP(T$5,NFI,5,0),1,0)*Table_NFI[[#This Row],[Plastic Mat]],Table_NFI[Plastic Mat])*IF(Table_NFI[[#This Row],[Distribution Date]]&gt;"2014-04-01",1,2.5)</f>
        <v>#REF!</v>
      </c>
      <c r="AL274" s="542" t="e">
        <f>IF(NFI_Expiration=1,IF(#REF!&lt;VLOOKUP(U$5,NFI,5,0),1,0)*Table_NFI[[#This Row],[Winter Clothes Adult]],Table_NFI[Winter Clothes Adult])</f>
        <v>#REF!</v>
      </c>
      <c r="AM274" s="542"/>
      <c r="AN274" s="542"/>
      <c r="AO274" s="542"/>
      <c r="AP274" s="542">
        <f>IF(Table_NFI[[#This Row],[Winter Clothes Adult]]+Table_NFI[[#This Row],[Winter Clothes Children]]+Table_NFI[[#This Row],[Winter Items Other]]+Table_NFI[[#This Row],[Winter Blanket]]&gt;0,1,0)</f>
        <v>0</v>
      </c>
      <c r="AQ274" s="542"/>
      <c r="AR274" s="542"/>
      <c r="AS274" s="542"/>
      <c r="AT274" s="205" t="str">
        <f>IFERROR(VLOOKUP(Table_NFI[[#This Row],[Location]],CL,2,0),"")</f>
        <v>MMR001CMP268</v>
      </c>
      <c r="AU274" s="183"/>
    </row>
    <row r="275" spans="2:47" x14ac:dyDescent="0.25">
      <c r="B275" s="540">
        <v>43237</v>
      </c>
      <c r="C275" s="540" t="str">
        <f>MONTH(Table_NFI[[#This Row],[Distribution Date]]) &amp; "/" &amp; YEAR(Table_NFI[[#This Row],[Distribution Date]])</f>
        <v>5/2018</v>
      </c>
      <c r="D275" s="198" t="s">
        <v>1458</v>
      </c>
      <c r="E275" s="198"/>
      <c r="F275" s="198" t="s">
        <v>506</v>
      </c>
      <c r="G275" s="197" t="s">
        <v>297</v>
      </c>
      <c r="H275" s="219" t="s">
        <v>1136</v>
      </c>
      <c r="I275" s="183"/>
      <c r="J275" s="541"/>
      <c r="K275" s="541"/>
      <c r="L275" s="541">
        <v>1</v>
      </c>
      <c r="M275" s="541"/>
      <c r="N275" s="541"/>
      <c r="O275" s="541"/>
      <c r="P275" s="541"/>
      <c r="Q275" s="541"/>
      <c r="R275" s="541"/>
      <c r="S275" s="541"/>
      <c r="T275" s="541"/>
      <c r="U275" s="541"/>
      <c r="V275" s="541"/>
      <c r="W275" s="541"/>
      <c r="X275" s="541"/>
      <c r="Y275" s="541"/>
      <c r="Z275" s="541"/>
      <c r="AA275" s="541"/>
      <c r="AB275" s="541"/>
      <c r="AC275" s="542" t="e">
        <f>IF(NFI_Expiration=1,IF(#REF!&lt;VLOOKUP(L$5,NFI,5,0),1,0)*Table_NFI[[#This Row],[NFI Core Kit]],Table_NFI[NFI Core Kit])</f>
        <v>#REF!</v>
      </c>
      <c r="AD275" s="542" t="e">
        <f>IF(NFI_Expiration=1,IF(#REF!&lt;VLOOKUP(M$5,NFI,5,0),1,0)*Table_NFI[[#This Row],[Sanitary Kit]],Table_NFI[Sanitary Kit])</f>
        <v>#REF!</v>
      </c>
      <c r="AE275" s="542" t="e">
        <f>IF(NFI_Expiration=1,IF(#REF!&lt;VLOOKUP(N$5,NFI,5,0),1,0)*Table_NFI[[#This Row],[Mosquito net]],Table_NFI[Mosquito net])</f>
        <v>#REF!</v>
      </c>
      <c r="AF275" s="542" t="e">
        <f>IF(NFI_Expiration=1,IF(#REF!&lt;VLOOKUP(O$5,NFI,5,0),1,0)*Table_NFI[[#This Row],[Tarpaulin]],Table_NFI[[#This Row],[Tarpaulin]])</f>
        <v>#REF!</v>
      </c>
      <c r="AG275" s="542" t="e">
        <f>IF(NFI_Expiration=1,IF(#REF!&lt;VLOOKUP(P$5,NFI,5,0),1,0)*Table_NFI[[#This Row],[Blanket]],Table_NFI[[#This Row],[Blanket]])</f>
        <v>#REF!</v>
      </c>
      <c r="AH275" s="542" t="e">
        <f>IF(NFI_Expiration=1,IF(#REF!&lt;VLOOKUP(Q$5,NFI,5,0),1,0)*Table_NFI[[#This Row],[Kitchen Set]],Table_NFI[Kitchen Set])</f>
        <v>#REF!</v>
      </c>
      <c r="AI275" s="542" t="e">
        <f>IF(NFI_Expiration=1,IF(#REF!&lt;VLOOKUP(R$5,NFI,5,0),1,0)*Table_NFI[[#This Row],[Clothes Kit]],Table_NFI[Clothes Kit])</f>
        <v>#REF!</v>
      </c>
      <c r="AJ275" s="542" t="e">
        <f>IF(NFI_Expiration=1,IF(#REF!&lt;VLOOKUP(S$5,NFI,5,0),1,0)*Table_NFI[[#This Row],[Plastic Bucket]],Table_NFI[Plastic Bucket])</f>
        <v>#REF!</v>
      </c>
      <c r="AK275" s="542" t="e">
        <f>IF(NFI_Expiration=1,IF(#REF!&lt;VLOOKUP(T$5,NFI,5,0),1,0)*Table_NFI[[#This Row],[Plastic Mat]],Table_NFI[Plastic Mat])*IF(Table_NFI[[#This Row],[Distribution Date]]&gt;"2014-04-01",1,2.5)</f>
        <v>#REF!</v>
      </c>
      <c r="AL275" s="542" t="e">
        <f>IF(NFI_Expiration=1,IF(#REF!&lt;VLOOKUP(U$5,NFI,5,0),1,0)*Table_NFI[[#This Row],[Winter Clothes Adult]],Table_NFI[Winter Clothes Adult])</f>
        <v>#REF!</v>
      </c>
      <c r="AM275" s="542"/>
      <c r="AN275" s="542"/>
      <c r="AO275" s="542"/>
      <c r="AP275" s="542">
        <f>IF(Table_NFI[[#This Row],[Winter Clothes Adult]]+Table_NFI[[#This Row],[Winter Clothes Children]]+Table_NFI[[#This Row],[Winter Items Other]]+Table_NFI[[#This Row],[Winter Blanket]]&gt;0,1,0)</f>
        <v>0</v>
      </c>
      <c r="AQ275" s="542"/>
      <c r="AR275" s="542"/>
      <c r="AS275" s="542"/>
      <c r="AT275" s="205" t="str">
        <f>IFERROR(VLOOKUP(Table_NFI[[#This Row],[Location]],CL,2,0),"")</f>
        <v>MMR015CMP221</v>
      </c>
      <c r="AU275" s="183"/>
    </row>
    <row r="276" spans="2:47" x14ac:dyDescent="0.25">
      <c r="B276" s="540">
        <v>43248</v>
      </c>
      <c r="C276" s="540" t="str">
        <f>MONTH(Table_NFI[[#This Row],[Distribution Date]]) &amp; "/" &amp; YEAR(Table_NFI[[#This Row],[Distribution Date]])</f>
        <v>5/2018</v>
      </c>
      <c r="D276" s="198" t="s">
        <v>1458</v>
      </c>
      <c r="E276" s="198"/>
      <c r="F276" s="198" t="s">
        <v>506</v>
      </c>
      <c r="G276" s="197" t="s">
        <v>288</v>
      </c>
      <c r="H276" s="219" t="s">
        <v>1136</v>
      </c>
      <c r="I276" s="183"/>
      <c r="J276" s="541"/>
      <c r="K276" s="541"/>
      <c r="L276" s="541">
        <v>1</v>
      </c>
      <c r="M276" s="541"/>
      <c r="N276" s="541"/>
      <c r="O276" s="541"/>
      <c r="P276" s="541"/>
      <c r="Q276" s="541"/>
      <c r="R276" s="541"/>
      <c r="S276" s="541"/>
      <c r="T276" s="541"/>
      <c r="U276" s="541"/>
      <c r="V276" s="541"/>
      <c r="W276" s="541"/>
      <c r="X276" s="541"/>
      <c r="Y276" s="541"/>
      <c r="Z276" s="541"/>
      <c r="AA276" s="541"/>
      <c r="AB276" s="541"/>
      <c r="AC276" s="542" t="e">
        <f>IF(NFI_Expiration=1,IF(#REF!&lt;VLOOKUP(L$5,NFI,5,0),1,0)*Table_NFI[[#This Row],[NFI Core Kit]],Table_NFI[NFI Core Kit])</f>
        <v>#REF!</v>
      </c>
      <c r="AD276" s="542" t="e">
        <f>IF(NFI_Expiration=1,IF(#REF!&lt;VLOOKUP(M$5,NFI,5,0),1,0)*Table_NFI[[#This Row],[Sanitary Kit]],Table_NFI[Sanitary Kit])</f>
        <v>#REF!</v>
      </c>
      <c r="AE276" s="542" t="e">
        <f>IF(NFI_Expiration=1,IF(#REF!&lt;VLOOKUP(N$5,NFI,5,0),1,0)*Table_NFI[[#This Row],[Mosquito net]],Table_NFI[Mosquito net])</f>
        <v>#REF!</v>
      </c>
      <c r="AF276" s="542" t="e">
        <f>IF(NFI_Expiration=1,IF(#REF!&lt;VLOOKUP(O$5,NFI,5,0),1,0)*Table_NFI[[#This Row],[Tarpaulin]],Table_NFI[[#This Row],[Tarpaulin]])</f>
        <v>#REF!</v>
      </c>
      <c r="AG276" s="542" t="e">
        <f>IF(NFI_Expiration=1,IF(#REF!&lt;VLOOKUP(P$5,NFI,5,0),1,0)*Table_NFI[[#This Row],[Blanket]],Table_NFI[[#This Row],[Blanket]])</f>
        <v>#REF!</v>
      </c>
      <c r="AH276" s="542" t="e">
        <f>IF(NFI_Expiration=1,IF(#REF!&lt;VLOOKUP(Q$5,NFI,5,0),1,0)*Table_NFI[[#This Row],[Kitchen Set]],Table_NFI[Kitchen Set])</f>
        <v>#REF!</v>
      </c>
      <c r="AI276" s="542" t="e">
        <f>IF(NFI_Expiration=1,IF(#REF!&lt;VLOOKUP(R$5,NFI,5,0),1,0)*Table_NFI[[#This Row],[Clothes Kit]],Table_NFI[Clothes Kit])</f>
        <v>#REF!</v>
      </c>
      <c r="AJ276" s="542" t="e">
        <f>IF(NFI_Expiration=1,IF(#REF!&lt;VLOOKUP(S$5,NFI,5,0),1,0)*Table_NFI[[#This Row],[Plastic Bucket]],Table_NFI[Plastic Bucket])</f>
        <v>#REF!</v>
      </c>
      <c r="AK276" s="542" t="e">
        <f>IF(NFI_Expiration=1,IF(#REF!&lt;VLOOKUP(T$5,NFI,5,0),1,0)*Table_NFI[[#This Row],[Plastic Mat]],Table_NFI[Plastic Mat])*IF(Table_NFI[[#This Row],[Distribution Date]]&gt;"2014-04-01",1,2.5)</f>
        <v>#REF!</v>
      </c>
      <c r="AL276" s="542" t="e">
        <f>IF(NFI_Expiration=1,IF(#REF!&lt;VLOOKUP(U$5,NFI,5,0),1,0)*Table_NFI[[#This Row],[Winter Clothes Adult]],Table_NFI[Winter Clothes Adult])</f>
        <v>#REF!</v>
      </c>
      <c r="AM276" s="542"/>
      <c r="AN276" s="542"/>
      <c r="AO276" s="542"/>
      <c r="AP276" s="542">
        <f>IF(Table_NFI[[#This Row],[Winter Clothes Adult]]+Table_NFI[[#This Row],[Winter Clothes Children]]+Table_NFI[[#This Row],[Winter Items Other]]+Table_NFI[[#This Row],[Winter Blanket]]&gt;0,1,0)</f>
        <v>0</v>
      </c>
      <c r="AQ276" s="542"/>
      <c r="AR276" s="542"/>
      <c r="AS276" s="542"/>
      <c r="AT276" s="205" t="str">
        <f>IFERROR(VLOOKUP(Table_NFI[[#This Row],[Location]],CL,2,0),"")</f>
        <v>MMR015CMP221</v>
      </c>
      <c r="AU276" s="183"/>
    </row>
    <row r="277" spans="2:47" x14ac:dyDescent="0.25">
      <c r="B277" s="540">
        <v>43235</v>
      </c>
      <c r="C277" s="540" t="str">
        <f>MONTH(Table_NFI[[#This Row],[Distribution Date]]) &amp; "/" &amp; YEAR(Table_NFI[[#This Row],[Distribution Date]])</f>
        <v>5/2018</v>
      </c>
      <c r="D277" s="198" t="s">
        <v>1458</v>
      </c>
      <c r="E277" s="198"/>
      <c r="F277" s="198" t="s">
        <v>378</v>
      </c>
      <c r="G277" s="197" t="s">
        <v>151</v>
      </c>
      <c r="H277" s="219" t="s">
        <v>154</v>
      </c>
      <c r="I277" s="183">
        <v>1</v>
      </c>
      <c r="J277" s="541"/>
      <c r="K277" s="541"/>
      <c r="L277" s="541"/>
      <c r="M277" s="541"/>
      <c r="N277" s="541"/>
      <c r="O277" s="541"/>
      <c r="P277" s="541"/>
      <c r="Q277" s="541"/>
      <c r="R277" s="541"/>
      <c r="S277" s="541"/>
      <c r="T277" s="541"/>
      <c r="U277" s="541"/>
      <c r="V277" s="541"/>
      <c r="W277" s="541"/>
      <c r="X277" s="541"/>
      <c r="Y277" s="541"/>
      <c r="Z277" s="541"/>
      <c r="AA277" s="541"/>
      <c r="AB277" s="541"/>
      <c r="AC277" s="542" t="e">
        <f>IF(NFI_Expiration=1,IF(#REF!&lt;VLOOKUP(L$5,NFI,5,0),1,0)*Table_NFI[[#This Row],[NFI Core Kit]],Table_NFI[NFI Core Kit])</f>
        <v>#REF!</v>
      </c>
      <c r="AD277" s="542" t="e">
        <f>IF(NFI_Expiration=1,IF(#REF!&lt;VLOOKUP(M$5,NFI,5,0),1,0)*Table_NFI[[#This Row],[Sanitary Kit]],Table_NFI[Sanitary Kit])</f>
        <v>#REF!</v>
      </c>
      <c r="AE277" s="542" t="e">
        <f>IF(NFI_Expiration=1,IF(#REF!&lt;VLOOKUP(N$5,NFI,5,0),1,0)*Table_NFI[[#This Row],[Mosquito net]],Table_NFI[Mosquito net])</f>
        <v>#REF!</v>
      </c>
      <c r="AF277" s="542" t="e">
        <f>IF(NFI_Expiration=1,IF(#REF!&lt;VLOOKUP(O$5,NFI,5,0),1,0)*Table_NFI[[#This Row],[Tarpaulin]],Table_NFI[[#This Row],[Tarpaulin]])</f>
        <v>#REF!</v>
      </c>
      <c r="AG277" s="542" t="e">
        <f>IF(NFI_Expiration=1,IF(#REF!&lt;VLOOKUP(P$5,NFI,5,0),1,0)*Table_NFI[[#This Row],[Blanket]],Table_NFI[[#This Row],[Blanket]])</f>
        <v>#REF!</v>
      </c>
      <c r="AH277" s="542" t="e">
        <f>IF(NFI_Expiration=1,IF(#REF!&lt;VLOOKUP(Q$5,NFI,5,0),1,0)*Table_NFI[[#This Row],[Kitchen Set]],Table_NFI[Kitchen Set])</f>
        <v>#REF!</v>
      </c>
      <c r="AI277" s="542" t="e">
        <f>IF(NFI_Expiration=1,IF(#REF!&lt;VLOOKUP(R$5,NFI,5,0),1,0)*Table_NFI[[#This Row],[Clothes Kit]],Table_NFI[Clothes Kit])</f>
        <v>#REF!</v>
      </c>
      <c r="AJ277" s="542" t="e">
        <f>IF(NFI_Expiration=1,IF(#REF!&lt;VLOOKUP(S$5,NFI,5,0),1,0)*Table_NFI[[#This Row],[Plastic Bucket]],Table_NFI[Plastic Bucket])</f>
        <v>#REF!</v>
      </c>
      <c r="AK277" s="542" t="e">
        <f>IF(NFI_Expiration=1,IF(#REF!&lt;VLOOKUP(T$5,NFI,5,0),1,0)*Table_NFI[[#This Row],[Plastic Mat]],Table_NFI[Plastic Mat])*IF(Table_NFI[[#This Row],[Distribution Date]]&gt;"2014-04-01",1,2.5)</f>
        <v>#REF!</v>
      </c>
      <c r="AL277" s="542" t="e">
        <f>IF(NFI_Expiration=1,IF(#REF!&lt;VLOOKUP(U$5,NFI,5,0),1,0)*Table_NFI[[#This Row],[Winter Clothes Adult]],Table_NFI[Winter Clothes Adult])</f>
        <v>#REF!</v>
      </c>
      <c r="AM277" s="542"/>
      <c r="AN277" s="542"/>
      <c r="AO277" s="542"/>
      <c r="AP277" s="542">
        <f>IF(Table_NFI[[#This Row],[Winter Clothes Adult]]+Table_NFI[[#This Row],[Winter Clothes Children]]+Table_NFI[[#This Row],[Winter Items Other]]+Table_NFI[[#This Row],[Winter Blanket]]&gt;0,1,0)</f>
        <v>0</v>
      </c>
      <c r="AQ277" s="542"/>
      <c r="AR277" s="542"/>
      <c r="AS277" s="542"/>
      <c r="AT277" s="205" t="str">
        <f>IFERROR(VLOOKUP(Table_NFI[[#This Row],[Location]],CL,2,0),"")</f>
        <v>MMR001CMP132</v>
      </c>
      <c r="AU277" s="183"/>
    </row>
    <row r="278" spans="2:47" x14ac:dyDescent="0.25">
      <c r="B278" s="540">
        <v>43241</v>
      </c>
      <c r="C278" s="540" t="str">
        <f>MONTH(Table_NFI[[#This Row],[Distribution Date]]) &amp; "/" &amp; YEAR(Table_NFI[[#This Row],[Distribution Date]])</f>
        <v>5/2018</v>
      </c>
      <c r="D278" s="198" t="s">
        <v>1458</v>
      </c>
      <c r="E278" s="198"/>
      <c r="F278" s="198" t="s">
        <v>506</v>
      </c>
      <c r="G278" s="197" t="s">
        <v>288</v>
      </c>
      <c r="H278" s="219" t="s">
        <v>289</v>
      </c>
      <c r="I278" s="183">
        <v>1</v>
      </c>
      <c r="J278" s="541"/>
      <c r="K278" s="541"/>
      <c r="L278" s="541"/>
      <c r="M278" s="541"/>
      <c r="N278" s="541"/>
      <c r="O278" s="541"/>
      <c r="P278" s="541"/>
      <c r="Q278" s="541"/>
      <c r="R278" s="541"/>
      <c r="S278" s="541"/>
      <c r="T278" s="541"/>
      <c r="U278" s="541"/>
      <c r="V278" s="541"/>
      <c r="W278" s="541"/>
      <c r="X278" s="541"/>
      <c r="Y278" s="541"/>
      <c r="Z278" s="541"/>
      <c r="AA278" s="541"/>
      <c r="AB278" s="541"/>
      <c r="AC278" s="542" t="e">
        <f>IF(NFI_Expiration=1,IF(#REF!&lt;VLOOKUP(L$5,NFI,5,0),1,0)*Table_NFI[[#This Row],[NFI Core Kit]],Table_NFI[NFI Core Kit])</f>
        <v>#REF!</v>
      </c>
      <c r="AD278" s="542" t="e">
        <f>IF(NFI_Expiration=1,IF(#REF!&lt;VLOOKUP(M$5,NFI,5,0),1,0)*Table_NFI[[#This Row],[Sanitary Kit]],Table_NFI[Sanitary Kit])</f>
        <v>#REF!</v>
      </c>
      <c r="AE278" s="542" t="e">
        <f>IF(NFI_Expiration=1,IF(#REF!&lt;VLOOKUP(N$5,NFI,5,0),1,0)*Table_NFI[[#This Row],[Mosquito net]],Table_NFI[Mosquito net])</f>
        <v>#REF!</v>
      </c>
      <c r="AF278" s="542" t="e">
        <f>IF(NFI_Expiration=1,IF(#REF!&lt;VLOOKUP(O$5,NFI,5,0),1,0)*Table_NFI[[#This Row],[Tarpaulin]],Table_NFI[[#This Row],[Tarpaulin]])</f>
        <v>#REF!</v>
      </c>
      <c r="AG278" s="542" t="e">
        <f>IF(NFI_Expiration=1,IF(#REF!&lt;VLOOKUP(P$5,NFI,5,0),1,0)*Table_NFI[[#This Row],[Blanket]],Table_NFI[[#This Row],[Blanket]])</f>
        <v>#REF!</v>
      </c>
      <c r="AH278" s="542" t="e">
        <f>IF(NFI_Expiration=1,IF(#REF!&lt;VLOOKUP(Q$5,NFI,5,0),1,0)*Table_NFI[[#This Row],[Kitchen Set]],Table_NFI[Kitchen Set])</f>
        <v>#REF!</v>
      </c>
      <c r="AI278" s="542" t="e">
        <f>IF(NFI_Expiration=1,IF(#REF!&lt;VLOOKUP(R$5,NFI,5,0),1,0)*Table_NFI[[#This Row],[Clothes Kit]],Table_NFI[Clothes Kit])</f>
        <v>#REF!</v>
      </c>
      <c r="AJ278" s="542" t="e">
        <f>IF(NFI_Expiration=1,IF(#REF!&lt;VLOOKUP(S$5,NFI,5,0),1,0)*Table_NFI[[#This Row],[Plastic Bucket]],Table_NFI[Plastic Bucket])</f>
        <v>#REF!</v>
      </c>
      <c r="AK278" s="542" t="e">
        <f>IF(NFI_Expiration=1,IF(#REF!&lt;VLOOKUP(T$5,NFI,5,0),1,0)*Table_NFI[[#This Row],[Plastic Mat]],Table_NFI[Plastic Mat])*IF(Table_NFI[[#This Row],[Distribution Date]]&gt;"2014-04-01",1,2.5)</f>
        <v>#REF!</v>
      </c>
      <c r="AL278" s="542" t="e">
        <f>IF(NFI_Expiration=1,IF(#REF!&lt;VLOOKUP(U$5,NFI,5,0),1,0)*Table_NFI[[#This Row],[Winter Clothes Adult]],Table_NFI[Winter Clothes Adult])</f>
        <v>#REF!</v>
      </c>
      <c r="AM278" s="542"/>
      <c r="AN278" s="542"/>
      <c r="AO278" s="542"/>
      <c r="AP278" s="542">
        <f>IF(Table_NFI[[#This Row],[Winter Clothes Adult]]+Table_NFI[[#This Row],[Winter Clothes Children]]+Table_NFI[[#This Row],[Winter Items Other]]+Table_NFI[[#This Row],[Winter Blanket]]&gt;0,1,0)</f>
        <v>0</v>
      </c>
      <c r="AQ278" s="542"/>
      <c r="AR278" s="542"/>
      <c r="AS278" s="542"/>
      <c r="AT278" s="205" t="str">
        <f>IFERROR(VLOOKUP(Table_NFI[[#This Row],[Location]],CL,2,0),"")</f>
        <v>MMR015CMP001</v>
      </c>
      <c r="AU278" s="183"/>
    </row>
    <row r="279" spans="2:47" x14ac:dyDescent="0.25">
      <c r="B279" s="540">
        <v>43251</v>
      </c>
      <c r="C279" s="540" t="str">
        <f>MONTH(Table_NFI[[#This Row],[Distribution Date]]) &amp; "/" &amp; YEAR(Table_NFI[[#This Row],[Distribution Date]])</f>
        <v>5/2018</v>
      </c>
      <c r="D279" s="198" t="s">
        <v>1458</v>
      </c>
      <c r="E279" s="198"/>
      <c r="F279" s="198" t="s">
        <v>378</v>
      </c>
      <c r="G279" s="197" t="s">
        <v>151</v>
      </c>
      <c r="H279" s="219" t="s">
        <v>910</v>
      </c>
      <c r="I279" s="183">
        <v>1</v>
      </c>
      <c r="J279" s="541"/>
      <c r="K279" s="541"/>
      <c r="L279" s="541"/>
      <c r="M279" s="541"/>
      <c r="N279" s="541">
        <v>2</v>
      </c>
      <c r="O279" s="541"/>
      <c r="P279" s="541">
        <v>2</v>
      </c>
      <c r="Q279" s="541">
        <v>2</v>
      </c>
      <c r="R279" s="541">
        <v>2</v>
      </c>
      <c r="S279" s="541">
        <v>1</v>
      </c>
      <c r="T279" s="541">
        <v>2</v>
      </c>
      <c r="U279" s="541"/>
      <c r="V279" s="541"/>
      <c r="W279" s="541"/>
      <c r="X279" s="541"/>
      <c r="Y279" s="541"/>
      <c r="Z279" s="541"/>
      <c r="AA279" s="541"/>
      <c r="AB279" s="541"/>
      <c r="AC279" s="542" t="e">
        <f>IF(NFI_Expiration=1,IF(#REF!&lt;VLOOKUP(L$5,NFI,5,0),1,0)*Table_NFI[[#This Row],[NFI Core Kit]],Table_NFI[NFI Core Kit])</f>
        <v>#REF!</v>
      </c>
      <c r="AD279" s="542" t="e">
        <f>IF(NFI_Expiration=1,IF(#REF!&lt;VLOOKUP(M$5,NFI,5,0),1,0)*Table_NFI[[#This Row],[Sanitary Kit]],Table_NFI[Sanitary Kit])</f>
        <v>#REF!</v>
      </c>
      <c r="AE279" s="542" t="e">
        <f>IF(NFI_Expiration=1,IF(#REF!&lt;VLOOKUP(N$5,NFI,5,0),1,0)*Table_NFI[[#This Row],[Mosquito net]],Table_NFI[Mosquito net])</f>
        <v>#REF!</v>
      </c>
      <c r="AF279" s="542" t="e">
        <f>IF(NFI_Expiration=1,IF(#REF!&lt;VLOOKUP(O$5,NFI,5,0),1,0)*Table_NFI[[#This Row],[Tarpaulin]],Table_NFI[[#This Row],[Tarpaulin]])</f>
        <v>#REF!</v>
      </c>
      <c r="AG279" s="542" t="e">
        <f>IF(NFI_Expiration=1,IF(#REF!&lt;VLOOKUP(P$5,NFI,5,0),1,0)*Table_NFI[[#This Row],[Blanket]],Table_NFI[[#This Row],[Blanket]])</f>
        <v>#REF!</v>
      </c>
      <c r="AH279" s="542" t="e">
        <f>IF(NFI_Expiration=1,IF(#REF!&lt;VLOOKUP(Q$5,NFI,5,0),1,0)*Table_NFI[[#This Row],[Kitchen Set]],Table_NFI[Kitchen Set])</f>
        <v>#REF!</v>
      </c>
      <c r="AI279" s="542" t="e">
        <f>IF(NFI_Expiration=1,IF(#REF!&lt;VLOOKUP(R$5,NFI,5,0),1,0)*Table_NFI[[#This Row],[Clothes Kit]],Table_NFI[Clothes Kit])</f>
        <v>#REF!</v>
      </c>
      <c r="AJ279" s="542" t="e">
        <f>IF(NFI_Expiration=1,IF(#REF!&lt;VLOOKUP(S$5,NFI,5,0),1,0)*Table_NFI[[#This Row],[Plastic Bucket]],Table_NFI[Plastic Bucket])</f>
        <v>#REF!</v>
      </c>
      <c r="AK279" s="542" t="e">
        <f>IF(NFI_Expiration=1,IF(#REF!&lt;VLOOKUP(T$5,NFI,5,0),1,0)*Table_NFI[[#This Row],[Plastic Mat]],Table_NFI[Plastic Mat])*IF(Table_NFI[[#This Row],[Distribution Date]]&gt;"2014-04-01",1,2.5)</f>
        <v>#REF!</v>
      </c>
      <c r="AL279" s="542" t="e">
        <f>IF(NFI_Expiration=1,IF(#REF!&lt;VLOOKUP(U$5,NFI,5,0),1,0)*Table_NFI[[#This Row],[Winter Clothes Adult]],Table_NFI[Winter Clothes Adult])</f>
        <v>#REF!</v>
      </c>
      <c r="AM279" s="542"/>
      <c r="AN279" s="542"/>
      <c r="AO279" s="542"/>
      <c r="AP279" s="542">
        <f>IF(Table_NFI[[#This Row],[Winter Clothes Adult]]+Table_NFI[[#This Row],[Winter Clothes Children]]+Table_NFI[[#This Row],[Winter Items Other]]+Table_NFI[[#This Row],[Winter Blanket]]&gt;0,1,0)</f>
        <v>0</v>
      </c>
      <c r="AQ279" s="542"/>
      <c r="AR279" s="542"/>
      <c r="AS279" s="542"/>
      <c r="AT279" s="205" t="str">
        <f>IFERROR(VLOOKUP(Table_NFI[[#This Row],[Location]],CL,2,0),"")</f>
        <v>MMR001CMP228</v>
      </c>
      <c r="AU279" s="183"/>
    </row>
    <row r="280" spans="2:47" x14ac:dyDescent="0.25">
      <c r="B280" s="540">
        <v>43221</v>
      </c>
      <c r="C280" s="540" t="str">
        <f>MONTH(Table_NFI[[#This Row],[Distribution Date]]) &amp; "/" &amp; YEAR(Table_NFI[[#This Row],[Distribution Date]])</f>
        <v>5/2018</v>
      </c>
      <c r="D280" s="198" t="s">
        <v>778</v>
      </c>
      <c r="E280" s="198" t="s">
        <v>778</v>
      </c>
      <c r="F280" s="665" t="s">
        <v>378</v>
      </c>
      <c r="G280" s="197" t="s">
        <v>237</v>
      </c>
      <c r="H280" s="219" t="s">
        <v>1729</v>
      </c>
      <c r="I280" s="183"/>
      <c r="J280" s="541"/>
      <c r="K280" s="541"/>
      <c r="L280" s="541"/>
      <c r="M280" s="541"/>
      <c r="N280" s="541">
        <v>66</v>
      </c>
      <c r="O280" s="541"/>
      <c r="P280" s="541">
        <v>66</v>
      </c>
      <c r="Q280" s="541"/>
      <c r="R280" s="541"/>
      <c r="S280" s="541"/>
      <c r="T280" s="541">
        <v>66</v>
      </c>
      <c r="U280" s="541"/>
      <c r="V280" s="541"/>
      <c r="W280" s="541"/>
      <c r="X280" s="541"/>
      <c r="Y280" s="541"/>
      <c r="Z280" s="541"/>
      <c r="AA280" s="541"/>
      <c r="AB280" s="541"/>
      <c r="AC280" s="542" t="e">
        <f>IF(NFI_Expiration=1,IF(#REF!&lt;VLOOKUP(L$5,NFI,5,0),1,0)*Table_NFI[[#This Row],[NFI Core Kit]],Table_NFI[NFI Core Kit])</f>
        <v>#REF!</v>
      </c>
      <c r="AD280" s="542" t="e">
        <f>IF(NFI_Expiration=1,IF(#REF!&lt;VLOOKUP(M$5,NFI,5,0),1,0)*Table_NFI[[#This Row],[Sanitary Kit]],Table_NFI[Sanitary Kit])</f>
        <v>#REF!</v>
      </c>
      <c r="AE280" s="542" t="e">
        <f>IF(NFI_Expiration=1,IF(#REF!&lt;VLOOKUP(N$5,NFI,5,0),1,0)*Table_NFI[[#This Row],[Mosquito net]],Table_NFI[Mosquito net])</f>
        <v>#REF!</v>
      </c>
      <c r="AF280" s="542" t="e">
        <f>IF(NFI_Expiration=1,IF(#REF!&lt;VLOOKUP(O$5,NFI,5,0),1,0)*Table_NFI[[#This Row],[Tarpaulin]],Table_NFI[[#This Row],[Tarpaulin]])</f>
        <v>#REF!</v>
      </c>
      <c r="AG280" s="542" t="e">
        <f>IF(NFI_Expiration=1,IF(#REF!&lt;VLOOKUP(P$5,NFI,5,0),1,0)*Table_NFI[[#This Row],[Blanket]],Table_NFI[[#This Row],[Blanket]])</f>
        <v>#REF!</v>
      </c>
      <c r="AH280" s="542" t="e">
        <f>IF(NFI_Expiration=1,IF(#REF!&lt;VLOOKUP(Q$5,NFI,5,0),1,0)*Table_NFI[[#This Row],[Kitchen Set]],Table_NFI[Kitchen Set])</f>
        <v>#REF!</v>
      </c>
      <c r="AI280" s="542" t="e">
        <f>IF(NFI_Expiration=1,IF(#REF!&lt;VLOOKUP(R$5,NFI,5,0),1,0)*Table_NFI[[#This Row],[Clothes Kit]],Table_NFI[Clothes Kit])</f>
        <v>#REF!</v>
      </c>
      <c r="AJ280" s="542" t="e">
        <f>IF(NFI_Expiration=1,IF(#REF!&lt;VLOOKUP(S$5,NFI,5,0),1,0)*Table_NFI[[#This Row],[Plastic Bucket]],Table_NFI[Plastic Bucket])</f>
        <v>#REF!</v>
      </c>
      <c r="AK280" s="542" t="e">
        <f>IF(NFI_Expiration=1,IF(#REF!&lt;VLOOKUP(T$5,NFI,5,0),1,0)*Table_NFI[[#This Row],[Plastic Mat]],Table_NFI[Plastic Mat])*IF(Table_NFI[[#This Row],[Distribution Date]]&gt;"2014-04-01",1,2.5)</f>
        <v>#REF!</v>
      </c>
      <c r="AL280" s="542" t="e">
        <f>IF(NFI_Expiration=1,IF(#REF!&lt;VLOOKUP(U$5,NFI,5,0),1,0)*Table_NFI[[#This Row],[Winter Clothes Adult]],Table_NFI[Winter Clothes Adult])</f>
        <v>#REF!</v>
      </c>
      <c r="AM280" s="542"/>
      <c r="AN280" s="542"/>
      <c r="AO280" s="542"/>
      <c r="AP280" s="542">
        <f>IF(Table_NFI[[#This Row],[Winter Clothes Adult]]+Table_NFI[[#This Row],[Winter Clothes Children]]+Table_NFI[[#This Row],[Winter Items Other]]+Table_NFI[[#This Row],[Winter Blanket]]&gt;0,1,0)</f>
        <v>0</v>
      </c>
      <c r="AQ280" s="542"/>
      <c r="AR280" s="542"/>
      <c r="AS280" s="542"/>
      <c r="AT280" s="205" t="str">
        <f>IFERROR(VLOOKUP(Table_NFI[[#This Row],[Location]],CL,2,0),"")</f>
        <v>MMR001CMP263</v>
      </c>
      <c r="AU280" s="183"/>
    </row>
    <row r="281" spans="2:47" x14ac:dyDescent="0.25">
      <c r="B281" s="540">
        <v>43225</v>
      </c>
      <c r="C281" s="540" t="str">
        <f>MONTH(Table_NFI[[#This Row],[Distribution Date]]) &amp; "/" &amp; YEAR(Table_NFI[[#This Row],[Distribution Date]])</f>
        <v>5/2018</v>
      </c>
      <c r="D281" s="198" t="s">
        <v>778</v>
      </c>
      <c r="E281" s="198" t="s">
        <v>778</v>
      </c>
      <c r="F281" s="665" t="s">
        <v>378</v>
      </c>
      <c r="G281" s="197" t="s">
        <v>237</v>
      </c>
      <c r="H281" s="219" t="s">
        <v>1671</v>
      </c>
      <c r="I281" s="183"/>
      <c r="J281" s="541"/>
      <c r="K281" s="541"/>
      <c r="L281" s="541"/>
      <c r="M281" s="541"/>
      <c r="N281" s="541">
        <v>101</v>
      </c>
      <c r="O281" s="541"/>
      <c r="P281" s="541">
        <v>101</v>
      </c>
      <c r="Q281" s="541"/>
      <c r="R281" s="541"/>
      <c r="S281" s="541"/>
      <c r="T281" s="541">
        <v>101</v>
      </c>
      <c r="U281" s="541"/>
      <c r="V281" s="541"/>
      <c r="W281" s="541"/>
      <c r="X281" s="541"/>
      <c r="Y281" s="541"/>
      <c r="Z281" s="541"/>
      <c r="AA281" s="541"/>
      <c r="AB281" s="541"/>
      <c r="AC281" s="542" t="e">
        <f>IF(NFI_Expiration=1,IF(#REF!&lt;VLOOKUP(L$5,NFI,5,0),1,0)*Table_NFI[[#This Row],[NFI Core Kit]],Table_NFI[NFI Core Kit])</f>
        <v>#REF!</v>
      </c>
      <c r="AD281" s="542" t="e">
        <f>IF(NFI_Expiration=1,IF(#REF!&lt;VLOOKUP(M$5,NFI,5,0),1,0)*Table_NFI[[#This Row],[Sanitary Kit]],Table_NFI[Sanitary Kit])</f>
        <v>#REF!</v>
      </c>
      <c r="AE281" s="542" t="e">
        <f>IF(NFI_Expiration=1,IF(#REF!&lt;VLOOKUP(N$5,NFI,5,0),1,0)*Table_NFI[[#This Row],[Mosquito net]],Table_NFI[Mosquito net])</f>
        <v>#REF!</v>
      </c>
      <c r="AF281" s="542" t="e">
        <f>IF(NFI_Expiration=1,IF(#REF!&lt;VLOOKUP(O$5,NFI,5,0),1,0)*Table_NFI[[#This Row],[Tarpaulin]],Table_NFI[[#This Row],[Tarpaulin]])</f>
        <v>#REF!</v>
      </c>
      <c r="AG281" s="542" t="e">
        <f>IF(NFI_Expiration=1,IF(#REF!&lt;VLOOKUP(P$5,NFI,5,0),1,0)*Table_NFI[[#This Row],[Blanket]],Table_NFI[[#This Row],[Blanket]])</f>
        <v>#REF!</v>
      </c>
      <c r="AH281" s="542" t="e">
        <f>IF(NFI_Expiration=1,IF(#REF!&lt;VLOOKUP(Q$5,NFI,5,0),1,0)*Table_NFI[[#This Row],[Kitchen Set]],Table_NFI[Kitchen Set])</f>
        <v>#REF!</v>
      </c>
      <c r="AI281" s="542" t="e">
        <f>IF(NFI_Expiration=1,IF(#REF!&lt;VLOOKUP(R$5,NFI,5,0),1,0)*Table_NFI[[#This Row],[Clothes Kit]],Table_NFI[Clothes Kit])</f>
        <v>#REF!</v>
      </c>
      <c r="AJ281" s="542" t="e">
        <f>IF(NFI_Expiration=1,IF(#REF!&lt;VLOOKUP(S$5,NFI,5,0),1,0)*Table_NFI[[#This Row],[Plastic Bucket]],Table_NFI[Plastic Bucket])</f>
        <v>#REF!</v>
      </c>
      <c r="AK281" s="542" t="e">
        <f>IF(NFI_Expiration=1,IF(#REF!&lt;VLOOKUP(T$5,NFI,5,0),1,0)*Table_NFI[[#This Row],[Plastic Mat]],Table_NFI[Plastic Mat])*IF(Table_NFI[[#This Row],[Distribution Date]]&gt;"2014-04-01",1,2.5)</f>
        <v>#REF!</v>
      </c>
      <c r="AL281" s="542" t="e">
        <f>IF(NFI_Expiration=1,IF(#REF!&lt;VLOOKUP(U$5,NFI,5,0),1,0)*Table_NFI[[#This Row],[Winter Clothes Adult]],Table_NFI[Winter Clothes Adult])</f>
        <v>#REF!</v>
      </c>
      <c r="AM281" s="542"/>
      <c r="AN281" s="542"/>
      <c r="AO281" s="542"/>
      <c r="AP281" s="542">
        <f>IF(Table_NFI[[#This Row],[Winter Clothes Adult]]+Table_NFI[[#This Row],[Winter Clothes Children]]+Table_NFI[[#This Row],[Winter Items Other]]+Table_NFI[[#This Row],[Winter Blanket]]&gt;0,1,0)</f>
        <v>0</v>
      </c>
      <c r="AQ281" s="542"/>
      <c r="AR281" s="542"/>
      <c r="AS281" s="542"/>
      <c r="AT281" s="205" t="str">
        <f>IFERROR(VLOOKUP(Table_NFI[[#This Row],[Location]],CL,2,0),"")</f>
        <v>MMR001CMP264</v>
      </c>
      <c r="AU281" s="183"/>
    </row>
    <row r="282" spans="2:47" x14ac:dyDescent="0.25">
      <c r="B282" s="540">
        <v>43225</v>
      </c>
      <c r="C282" s="540" t="str">
        <f>MONTH(Table_NFI[[#This Row],[Distribution Date]]) &amp; "/" &amp; YEAR(Table_NFI[[#This Row],[Distribution Date]])</f>
        <v>5/2018</v>
      </c>
      <c r="D282" s="198" t="s">
        <v>778</v>
      </c>
      <c r="E282" s="198" t="s">
        <v>778</v>
      </c>
      <c r="F282" s="198" t="s">
        <v>378</v>
      </c>
      <c r="G282" s="197" t="s">
        <v>237</v>
      </c>
      <c r="H282" s="219" t="s">
        <v>1729</v>
      </c>
      <c r="I282" s="183"/>
      <c r="J282" s="541"/>
      <c r="K282" s="541"/>
      <c r="L282" s="541"/>
      <c r="M282" s="541"/>
      <c r="N282" s="541">
        <v>49</v>
      </c>
      <c r="O282" s="541"/>
      <c r="P282" s="541">
        <v>49</v>
      </c>
      <c r="Q282" s="541"/>
      <c r="R282" s="541"/>
      <c r="S282" s="541"/>
      <c r="T282" s="541">
        <v>49</v>
      </c>
      <c r="U282" s="541"/>
      <c r="V282" s="541"/>
      <c r="W282" s="541"/>
      <c r="X282" s="541"/>
      <c r="Y282" s="541"/>
      <c r="Z282" s="541"/>
      <c r="AA282" s="541"/>
      <c r="AB282" s="541"/>
      <c r="AC282" s="542" t="e">
        <f>IF(NFI_Expiration=1,IF(#REF!&lt;VLOOKUP(L$5,NFI,5,0),1,0)*Table_NFI[[#This Row],[NFI Core Kit]],Table_NFI[NFI Core Kit])</f>
        <v>#REF!</v>
      </c>
      <c r="AD282" s="542" t="e">
        <f>IF(NFI_Expiration=1,IF(#REF!&lt;VLOOKUP(M$5,NFI,5,0),1,0)*Table_NFI[[#This Row],[Sanitary Kit]],Table_NFI[Sanitary Kit])</f>
        <v>#REF!</v>
      </c>
      <c r="AE282" s="542" t="e">
        <f>IF(NFI_Expiration=1,IF(#REF!&lt;VLOOKUP(N$5,NFI,5,0),1,0)*Table_NFI[[#This Row],[Mosquito net]],Table_NFI[Mosquito net])</f>
        <v>#REF!</v>
      </c>
      <c r="AF282" s="542" t="e">
        <f>IF(NFI_Expiration=1,IF(#REF!&lt;VLOOKUP(O$5,NFI,5,0),1,0)*Table_NFI[[#This Row],[Tarpaulin]],Table_NFI[[#This Row],[Tarpaulin]])</f>
        <v>#REF!</v>
      </c>
      <c r="AG282" s="542" t="e">
        <f>IF(NFI_Expiration=1,IF(#REF!&lt;VLOOKUP(P$5,NFI,5,0),1,0)*Table_NFI[[#This Row],[Blanket]],Table_NFI[[#This Row],[Blanket]])</f>
        <v>#REF!</v>
      </c>
      <c r="AH282" s="542" t="e">
        <f>IF(NFI_Expiration=1,IF(#REF!&lt;VLOOKUP(Q$5,NFI,5,0),1,0)*Table_NFI[[#This Row],[Kitchen Set]],Table_NFI[Kitchen Set])</f>
        <v>#REF!</v>
      </c>
      <c r="AI282" s="542" t="e">
        <f>IF(NFI_Expiration=1,IF(#REF!&lt;VLOOKUP(R$5,NFI,5,0),1,0)*Table_NFI[[#This Row],[Clothes Kit]],Table_NFI[Clothes Kit])</f>
        <v>#REF!</v>
      </c>
      <c r="AJ282" s="542" t="e">
        <f>IF(NFI_Expiration=1,IF(#REF!&lt;VLOOKUP(S$5,NFI,5,0),1,0)*Table_NFI[[#This Row],[Plastic Bucket]],Table_NFI[Plastic Bucket])</f>
        <v>#REF!</v>
      </c>
      <c r="AK282" s="542" t="e">
        <f>IF(NFI_Expiration=1,IF(#REF!&lt;VLOOKUP(T$5,NFI,5,0),1,0)*Table_NFI[[#This Row],[Plastic Mat]],Table_NFI[Plastic Mat])*IF(Table_NFI[[#This Row],[Distribution Date]]&gt;"2014-04-01",1,2.5)</f>
        <v>#REF!</v>
      </c>
      <c r="AL282" s="542" t="e">
        <f>IF(NFI_Expiration=1,IF(#REF!&lt;VLOOKUP(U$5,NFI,5,0),1,0)*Table_NFI[[#This Row],[Winter Clothes Adult]],Table_NFI[Winter Clothes Adult])</f>
        <v>#REF!</v>
      </c>
      <c r="AM282" s="542"/>
      <c r="AN282" s="542"/>
      <c r="AO282" s="542"/>
      <c r="AP282" s="542">
        <f>IF(Table_NFI[[#This Row],[Winter Clothes Adult]]+Table_NFI[[#This Row],[Winter Clothes Children]]+Table_NFI[[#This Row],[Winter Items Other]]+Table_NFI[[#This Row],[Winter Blanket]]&gt;0,1,0)</f>
        <v>0</v>
      </c>
      <c r="AQ282" s="542"/>
      <c r="AR282" s="542"/>
      <c r="AS282" s="542"/>
      <c r="AT282" s="205" t="str">
        <f>IFERROR(VLOOKUP(Table_NFI[[#This Row],[Location]],CL,2,0),"")</f>
        <v>MMR001CMP263</v>
      </c>
      <c r="AU282" s="183"/>
    </row>
    <row r="283" spans="2:47" x14ac:dyDescent="0.25">
      <c r="B283" s="540">
        <v>43229</v>
      </c>
      <c r="C283" s="540" t="str">
        <f>MONTH(Table_NFI[[#This Row],[Distribution Date]]) &amp; "/" &amp; YEAR(Table_NFI[[#This Row],[Distribution Date]])</f>
        <v>5/2018</v>
      </c>
      <c r="D283" s="198" t="s">
        <v>778</v>
      </c>
      <c r="E283" s="198" t="s">
        <v>778</v>
      </c>
      <c r="F283" s="198" t="s">
        <v>378</v>
      </c>
      <c r="G283" s="197" t="s">
        <v>237</v>
      </c>
      <c r="H283" s="219" t="s">
        <v>1730</v>
      </c>
      <c r="I283" s="183"/>
      <c r="J283" s="541"/>
      <c r="K283" s="541"/>
      <c r="L283" s="541"/>
      <c r="M283" s="541"/>
      <c r="N283" s="541">
        <v>92</v>
      </c>
      <c r="O283" s="541"/>
      <c r="P283" s="541">
        <v>92</v>
      </c>
      <c r="Q283" s="541"/>
      <c r="R283" s="541"/>
      <c r="S283" s="541"/>
      <c r="T283" s="541">
        <v>92</v>
      </c>
      <c r="U283" s="541"/>
      <c r="V283" s="541"/>
      <c r="W283" s="541"/>
      <c r="X283" s="541"/>
      <c r="Y283" s="541"/>
      <c r="Z283" s="541"/>
      <c r="AA283" s="541"/>
      <c r="AB283" s="541"/>
      <c r="AC283" s="542" t="e">
        <f>IF(NFI_Expiration=1,IF(#REF!&lt;VLOOKUP(L$5,NFI,5,0),1,0)*Table_NFI[[#This Row],[NFI Core Kit]],Table_NFI[NFI Core Kit])</f>
        <v>#REF!</v>
      </c>
      <c r="AD283" s="542" t="e">
        <f>IF(NFI_Expiration=1,IF(#REF!&lt;VLOOKUP(M$5,NFI,5,0),1,0)*Table_NFI[[#This Row],[Sanitary Kit]],Table_NFI[Sanitary Kit])</f>
        <v>#REF!</v>
      </c>
      <c r="AE283" s="542" t="e">
        <f>IF(NFI_Expiration=1,IF(#REF!&lt;VLOOKUP(N$5,NFI,5,0),1,0)*Table_NFI[[#This Row],[Mosquito net]],Table_NFI[Mosquito net])</f>
        <v>#REF!</v>
      </c>
      <c r="AF283" s="542" t="e">
        <f>IF(NFI_Expiration=1,IF(#REF!&lt;VLOOKUP(O$5,NFI,5,0),1,0)*Table_NFI[[#This Row],[Tarpaulin]],Table_NFI[[#This Row],[Tarpaulin]])</f>
        <v>#REF!</v>
      </c>
      <c r="AG283" s="542" t="e">
        <f>IF(NFI_Expiration=1,IF(#REF!&lt;VLOOKUP(P$5,NFI,5,0),1,0)*Table_NFI[[#This Row],[Blanket]],Table_NFI[[#This Row],[Blanket]])</f>
        <v>#REF!</v>
      </c>
      <c r="AH283" s="542" t="e">
        <f>IF(NFI_Expiration=1,IF(#REF!&lt;VLOOKUP(Q$5,NFI,5,0),1,0)*Table_NFI[[#This Row],[Kitchen Set]],Table_NFI[Kitchen Set])</f>
        <v>#REF!</v>
      </c>
      <c r="AI283" s="542" t="e">
        <f>IF(NFI_Expiration=1,IF(#REF!&lt;VLOOKUP(R$5,NFI,5,0),1,0)*Table_NFI[[#This Row],[Clothes Kit]],Table_NFI[Clothes Kit])</f>
        <v>#REF!</v>
      </c>
      <c r="AJ283" s="542" t="e">
        <f>IF(NFI_Expiration=1,IF(#REF!&lt;VLOOKUP(S$5,NFI,5,0),1,0)*Table_NFI[[#This Row],[Plastic Bucket]],Table_NFI[Plastic Bucket])</f>
        <v>#REF!</v>
      </c>
      <c r="AK283" s="542" t="e">
        <f>IF(NFI_Expiration=1,IF(#REF!&lt;VLOOKUP(T$5,NFI,5,0),1,0)*Table_NFI[[#This Row],[Plastic Mat]],Table_NFI[Plastic Mat])*IF(Table_NFI[[#This Row],[Distribution Date]]&gt;"2014-04-01",1,2.5)</f>
        <v>#REF!</v>
      </c>
      <c r="AL283" s="542" t="e">
        <f>IF(NFI_Expiration=1,IF(#REF!&lt;VLOOKUP(U$5,NFI,5,0),1,0)*Table_NFI[[#This Row],[Winter Clothes Adult]],Table_NFI[Winter Clothes Adult])</f>
        <v>#REF!</v>
      </c>
      <c r="AM283" s="542"/>
      <c r="AN283" s="542"/>
      <c r="AO283" s="542"/>
      <c r="AP283" s="542">
        <f>IF(Table_NFI[[#This Row],[Winter Clothes Adult]]+Table_NFI[[#This Row],[Winter Clothes Children]]+Table_NFI[[#This Row],[Winter Items Other]]+Table_NFI[[#This Row],[Winter Blanket]]&gt;0,1,0)</f>
        <v>0</v>
      </c>
      <c r="AQ283" s="542"/>
      <c r="AR283" s="542"/>
      <c r="AS283" s="542"/>
      <c r="AT283" s="205" t="str">
        <f>IFERROR(VLOOKUP(Table_NFI[[#This Row],[Location]],CL,2,0),"")</f>
        <v/>
      </c>
      <c r="AU283" s="183"/>
    </row>
    <row r="284" spans="2:47" x14ac:dyDescent="0.25">
      <c r="B284" s="540">
        <v>43229</v>
      </c>
      <c r="C284" s="540" t="str">
        <f>MONTH(Table_NFI[[#This Row],[Distribution Date]]) &amp; "/" &amp; YEAR(Table_NFI[[#This Row],[Distribution Date]])</f>
        <v>5/2018</v>
      </c>
      <c r="D284" s="198" t="s">
        <v>778</v>
      </c>
      <c r="E284" s="198" t="s">
        <v>778</v>
      </c>
      <c r="F284" s="198" t="s">
        <v>378</v>
      </c>
      <c r="G284" s="197" t="s">
        <v>173</v>
      </c>
      <c r="H284" s="219" t="s">
        <v>1728</v>
      </c>
      <c r="I284" s="183"/>
      <c r="J284" s="541"/>
      <c r="K284" s="541"/>
      <c r="L284" s="541"/>
      <c r="M284" s="541"/>
      <c r="N284" s="541"/>
      <c r="O284" s="541"/>
      <c r="P284" s="541"/>
      <c r="Q284" s="541"/>
      <c r="R284" s="541"/>
      <c r="S284" s="541"/>
      <c r="T284" s="541"/>
      <c r="U284" s="541"/>
      <c r="V284" s="541"/>
      <c r="W284" s="541"/>
      <c r="X284" s="541"/>
      <c r="Y284" s="541"/>
      <c r="Z284" s="541"/>
      <c r="AA284" s="541">
        <v>80</v>
      </c>
      <c r="AB284" s="541"/>
      <c r="AC284" s="542" t="e">
        <f>IF(NFI_Expiration=1,IF(#REF!&lt;VLOOKUP(L$5,NFI,5,0),1,0)*Table_NFI[[#This Row],[NFI Core Kit]],Table_NFI[NFI Core Kit])</f>
        <v>#REF!</v>
      </c>
      <c r="AD284" s="542" t="e">
        <f>IF(NFI_Expiration=1,IF(#REF!&lt;VLOOKUP(M$5,NFI,5,0),1,0)*Table_NFI[[#This Row],[Sanitary Kit]],Table_NFI[Sanitary Kit])</f>
        <v>#REF!</v>
      </c>
      <c r="AE284" s="542" t="e">
        <f>IF(NFI_Expiration=1,IF(#REF!&lt;VLOOKUP(N$5,NFI,5,0),1,0)*Table_NFI[[#This Row],[Mosquito net]],Table_NFI[Mosquito net])</f>
        <v>#REF!</v>
      </c>
      <c r="AF284" s="542" t="e">
        <f>IF(NFI_Expiration=1,IF(#REF!&lt;VLOOKUP(O$5,NFI,5,0),1,0)*Table_NFI[[#This Row],[Tarpaulin]],Table_NFI[[#This Row],[Tarpaulin]])</f>
        <v>#REF!</v>
      </c>
      <c r="AG284" s="542" t="e">
        <f>IF(NFI_Expiration=1,IF(#REF!&lt;VLOOKUP(P$5,NFI,5,0),1,0)*Table_NFI[[#This Row],[Blanket]],Table_NFI[[#This Row],[Blanket]])</f>
        <v>#REF!</v>
      </c>
      <c r="AH284" s="542" t="e">
        <f>IF(NFI_Expiration=1,IF(#REF!&lt;VLOOKUP(Q$5,NFI,5,0),1,0)*Table_NFI[[#This Row],[Kitchen Set]],Table_NFI[Kitchen Set])</f>
        <v>#REF!</v>
      </c>
      <c r="AI284" s="542" t="e">
        <f>IF(NFI_Expiration=1,IF(#REF!&lt;VLOOKUP(R$5,NFI,5,0),1,0)*Table_NFI[[#This Row],[Clothes Kit]],Table_NFI[Clothes Kit])</f>
        <v>#REF!</v>
      </c>
      <c r="AJ284" s="542" t="e">
        <f>IF(NFI_Expiration=1,IF(#REF!&lt;VLOOKUP(S$5,NFI,5,0),1,0)*Table_NFI[[#This Row],[Plastic Bucket]],Table_NFI[Plastic Bucket])</f>
        <v>#REF!</v>
      </c>
      <c r="AK284" s="542" t="e">
        <f>IF(NFI_Expiration=1,IF(#REF!&lt;VLOOKUP(T$5,NFI,5,0),1,0)*Table_NFI[[#This Row],[Plastic Mat]],Table_NFI[Plastic Mat])*IF(Table_NFI[[#This Row],[Distribution Date]]&gt;"2014-04-01",1,2.5)</f>
        <v>#REF!</v>
      </c>
      <c r="AL284" s="542" t="e">
        <f>IF(NFI_Expiration=1,IF(#REF!&lt;VLOOKUP(U$5,NFI,5,0),1,0)*Table_NFI[[#This Row],[Winter Clothes Adult]],Table_NFI[Winter Clothes Adult])</f>
        <v>#REF!</v>
      </c>
      <c r="AM284" s="542"/>
      <c r="AN284" s="542"/>
      <c r="AO284" s="542"/>
      <c r="AP284" s="542">
        <f>IF(Table_NFI[[#This Row],[Winter Clothes Adult]]+Table_NFI[[#This Row],[Winter Clothes Children]]+Table_NFI[[#This Row],[Winter Items Other]]+Table_NFI[[#This Row],[Winter Blanket]]&gt;0,1,0)</f>
        <v>0</v>
      </c>
      <c r="AQ284" s="542"/>
      <c r="AR284" s="542"/>
      <c r="AS284" s="542"/>
      <c r="AT284" s="205" t="str">
        <f>IFERROR(VLOOKUP(Table_NFI[[#This Row],[Location]],CL,2,0),"")</f>
        <v>MMR001CMP261</v>
      </c>
      <c r="AU284" s="183"/>
    </row>
    <row r="285" spans="2:47" x14ac:dyDescent="0.25">
      <c r="B285" s="540">
        <v>43229</v>
      </c>
      <c r="C285" s="540" t="str">
        <f>MONTH(Table_NFI[[#This Row],[Distribution Date]]) &amp; "/" &amp; YEAR(Table_NFI[[#This Row],[Distribution Date]])</f>
        <v>5/2018</v>
      </c>
      <c r="D285" s="198" t="s">
        <v>778</v>
      </c>
      <c r="E285" s="198" t="s">
        <v>778</v>
      </c>
      <c r="F285" s="198" t="s">
        <v>378</v>
      </c>
      <c r="G285" s="197" t="s">
        <v>173</v>
      </c>
      <c r="H285" s="219" t="s">
        <v>1661</v>
      </c>
      <c r="I285" s="183"/>
      <c r="J285" s="541"/>
      <c r="K285" s="541"/>
      <c r="L285" s="541"/>
      <c r="M285" s="541"/>
      <c r="N285" s="541"/>
      <c r="O285" s="541"/>
      <c r="P285" s="541"/>
      <c r="Q285" s="541"/>
      <c r="R285" s="541"/>
      <c r="S285" s="541"/>
      <c r="T285" s="541"/>
      <c r="U285" s="541"/>
      <c r="V285" s="541"/>
      <c r="W285" s="541"/>
      <c r="X285" s="541"/>
      <c r="Y285" s="541"/>
      <c r="Z285" s="541"/>
      <c r="AA285" s="541">
        <v>52</v>
      </c>
      <c r="AB285" s="541"/>
      <c r="AC285" s="542" t="e">
        <f>IF(NFI_Expiration=1,IF(#REF!&lt;VLOOKUP(L$5,NFI,5,0),1,0)*Table_NFI[[#This Row],[NFI Core Kit]],Table_NFI[NFI Core Kit])</f>
        <v>#REF!</v>
      </c>
      <c r="AD285" s="542" t="e">
        <f>IF(NFI_Expiration=1,IF(#REF!&lt;VLOOKUP(M$5,NFI,5,0),1,0)*Table_NFI[[#This Row],[Sanitary Kit]],Table_NFI[Sanitary Kit])</f>
        <v>#REF!</v>
      </c>
      <c r="AE285" s="542" t="e">
        <f>IF(NFI_Expiration=1,IF(#REF!&lt;VLOOKUP(N$5,NFI,5,0),1,0)*Table_NFI[[#This Row],[Mosquito net]],Table_NFI[Mosquito net])</f>
        <v>#REF!</v>
      </c>
      <c r="AF285" s="542" t="e">
        <f>IF(NFI_Expiration=1,IF(#REF!&lt;VLOOKUP(O$5,NFI,5,0),1,0)*Table_NFI[[#This Row],[Tarpaulin]],Table_NFI[[#This Row],[Tarpaulin]])</f>
        <v>#REF!</v>
      </c>
      <c r="AG285" s="542" t="e">
        <f>IF(NFI_Expiration=1,IF(#REF!&lt;VLOOKUP(P$5,NFI,5,0),1,0)*Table_NFI[[#This Row],[Blanket]],Table_NFI[[#This Row],[Blanket]])</f>
        <v>#REF!</v>
      </c>
      <c r="AH285" s="542" t="e">
        <f>IF(NFI_Expiration=1,IF(#REF!&lt;VLOOKUP(Q$5,NFI,5,0),1,0)*Table_NFI[[#This Row],[Kitchen Set]],Table_NFI[Kitchen Set])</f>
        <v>#REF!</v>
      </c>
      <c r="AI285" s="542" t="e">
        <f>IF(NFI_Expiration=1,IF(#REF!&lt;VLOOKUP(R$5,NFI,5,0),1,0)*Table_NFI[[#This Row],[Clothes Kit]],Table_NFI[Clothes Kit])</f>
        <v>#REF!</v>
      </c>
      <c r="AJ285" s="542" t="e">
        <f>IF(NFI_Expiration=1,IF(#REF!&lt;VLOOKUP(S$5,NFI,5,0),1,0)*Table_NFI[[#This Row],[Plastic Bucket]],Table_NFI[Plastic Bucket])</f>
        <v>#REF!</v>
      </c>
      <c r="AK285" s="542" t="e">
        <f>IF(NFI_Expiration=1,IF(#REF!&lt;VLOOKUP(T$5,NFI,5,0),1,0)*Table_NFI[[#This Row],[Plastic Mat]],Table_NFI[Plastic Mat])*IF(Table_NFI[[#This Row],[Distribution Date]]&gt;"2014-04-01",1,2.5)</f>
        <v>#REF!</v>
      </c>
      <c r="AL285" s="542" t="e">
        <f>IF(NFI_Expiration=1,IF(#REF!&lt;VLOOKUP(U$5,NFI,5,0),1,0)*Table_NFI[[#This Row],[Winter Clothes Adult]],Table_NFI[Winter Clothes Adult])</f>
        <v>#REF!</v>
      </c>
      <c r="AM285" s="542"/>
      <c r="AN285" s="542"/>
      <c r="AO285" s="542"/>
      <c r="AP285" s="542">
        <f>IF(Table_NFI[[#This Row],[Winter Clothes Adult]]+Table_NFI[[#This Row],[Winter Clothes Children]]+Table_NFI[[#This Row],[Winter Items Other]]+Table_NFI[[#This Row],[Winter Blanket]]&gt;0,1,0)</f>
        <v>0</v>
      </c>
      <c r="AQ285" s="542"/>
      <c r="AR285" s="542"/>
      <c r="AS285" s="542"/>
      <c r="AT285" s="205" t="str">
        <f>IFERROR(VLOOKUP(Table_NFI[[#This Row],[Location]],CL,2,0),"")</f>
        <v>MMR001CMP259</v>
      </c>
      <c r="AU285" s="183"/>
    </row>
    <row r="286" spans="2:47" x14ac:dyDescent="0.25">
      <c r="B286" s="540">
        <v>43229</v>
      </c>
      <c r="C286" s="540" t="str">
        <f>MONTH(Table_NFI[[#This Row],[Distribution Date]]) &amp; "/" &amp; YEAR(Table_NFI[[#This Row],[Distribution Date]])</f>
        <v>5/2018</v>
      </c>
      <c r="D286" s="198" t="s">
        <v>778</v>
      </c>
      <c r="E286" s="198" t="s">
        <v>778</v>
      </c>
      <c r="F286" s="198" t="s">
        <v>378</v>
      </c>
      <c r="G286" s="197" t="s">
        <v>173</v>
      </c>
      <c r="H286" s="219" t="s">
        <v>1662</v>
      </c>
      <c r="I286" s="183"/>
      <c r="J286" s="541"/>
      <c r="K286" s="541"/>
      <c r="L286" s="541"/>
      <c r="M286" s="541"/>
      <c r="N286" s="541"/>
      <c r="O286" s="541"/>
      <c r="P286" s="541"/>
      <c r="Q286" s="541"/>
      <c r="R286" s="541"/>
      <c r="S286" s="541"/>
      <c r="T286" s="541"/>
      <c r="U286" s="541"/>
      <c r="V286" s="541"/>
      <c r="W286" s="541"/>
      <c r="X286" s="541"/>
      <c r="Y286" s="541"/>
      <c r="Z286" s="541"/>
      <c r="AA286" s="541">
        <v>22</v>
      </c>
      <c r="AB286" s="541"/>
      <c r="AC286" s="542" t="e">
        <f>IF(NFI_Expiration=1,IF(#REF!&lt;VLOOKUP(L$5,NFI,5,0),1,0)*Table_NFI[[#This Row],[NFI Core Kit]],Table_NFI[NFI Core Kit])</f>
        <v>#REF!</v>
      </c>
      <c r="AD286" s="542" t="e">
        <f>IF(NFI_Expiration=1,IF(#REF!&lt;VLOOKUP(M$5,NFI,5,0),1,0)*Table_NFI[[#This Row],[Sanitary Kit]],Table_NFI[Sanitary Kit])</f>
        <v>#REF!</v>
      </c>
      <c r="AE286" s="542" t="e">
        <f>IF(NFI_Expiration=1,IF(#REF!&lt;VLOOKUP(N$5,NFI,5,0),1,0)*Table_NFI[[#This Row],[Mosquito net]],Table_NFI[Mosquito net])</f>
        <v>#REF!</v>
      </c>
      <c r="AF286" s="542" t="e">
        <f>IF(NFI_Expiration=1,IF(#REF!&lt;VLOOKUP(O$5,NFI,5,0),1,0)*Table_NFI[[#This Row],[Tarpaulin]],Table_NFI[[#This Row],[Tarpaulin]])</f>
        <v>#REF!</v>
      </c>
      <c r="AG286" s="542" t="e">
        <f>IF(NFI_Expiration=1,IF(#REF!&lt;VLOOKUP(P$5,NFI,5,0),1,0)*Table_NFI[[#This Row],[Blanket]],Table_NFI[[#This Row],[Blanket]])</f>
        <v>#REF!</v>
      </c>
      <c r="AH286" s="542" t="e">
        <f>IF(NFI_Expiration=1,IF(#REF!&lt;VLOOKUP(Q$5,NFI,5,0),1,0)*Table_NFI[[#This Row],[Kitchen Set]],Table_NFI[Kitchen Set])</f>
        <v>#REF!</v>
      </c>
      <c r="AI286" s="542" t="e">
        <f>IF(NFI_Expiration=1,IF(#REF!&lt;VLOOKUP(R$5,NFI,5,0),1,0)*Table_NFI[[#This Row],[Clothes Kit]],Table_NFI[Clothes Kit])</f>
        <v>#REF!</v>
      </c>
      <c r="AJ286" s="542" t="e">
        <f>IF(NFI_Expiration=1,IF(#REF!&lt;VLOOKUP(S$5,NFI,5,0),1,0)*Table_NFI[[#This Row],[Plastic Bucket]],Table_NFI[Plastic Bucket])</f>
        <v>#REF!</v>
      </c>
      <c r="AK286" s="542" t="e">
        <f>IF(NFI_Expiration=1,IF(#REF!&lt;VLOOKUP(T$5,NFI,5,0),1,0)*Table_NFI[[#This Row],[Plastic Mat]],Table_NFI[Plastic Mat])*IF(Table_NFI[[#This Row],[Distribution Date]]&gt;"2014-04-01",1,2.5)</f>
        <v>#REF!</v>
      </c>
      <c r="AL286" s="542" t="e">
        <f>IF(NFI_Expiration=1,IF(#REF!&lt;VLOOKUP(U$5,NFI,5,0),1,0)*Table_NFI[[#This Row],[Winter Clothes Adult]],Table_NFI[Winter Clothes Adult])</f>
        <v>#REF!</v>
      </c>
      <c r="AM286" s="542"/>
      <c r="AN286" s="542"/>
      <c r="AO286" s="542"/>
      <c r="AP286" s="542">
        <f>IF(Table_NFI[[#This Row],[Winter Clothes Adult]]+Table_NFI[[#This Row],[Winter Clothes Children]]+Table_NFI[[#This Row],[Winter Items Other]]+Table_NFI[[#This Row],[Winter Blanket]]&gt;0,1,0)</f>
        <v>0</v>
      </c>
      <c r="AQ286" s="542"/>
      <c r="AR286" s="542"/>
      <c r="AS286" s="542"/>
      <c r="AT286" s="205" t="str">
        <f>IFERROR(VLOOKUP(Table_NFI[[#This Row],[Location]],CL,2,0),"")</f>
        <v>MMR001CMP260</v>
      </c>
      <c r="AU286" s="183"/>
    </row>
    <row r="287" spans="2:47" x14ac:dyDescent="0.25">
      <c r="B287" s="540">
        <v>43229</v>
      </c>
      <c r="C287" s="540" t="str">
        <f>MONTH(Table_NFI[[#This Row],[Distribution Date]]) &amp; "/" &amp; YEAR(Table_NFI[[#This Row],[Distribution Date]])</f>
        <v>5/2018</v>
      </c>
      <c r="D287" s="198" t="s">
        <v>778</v>
      </c>
      <c r="E287" s="198" t="s">
        <v>778</v>
      </c>
      <c r="F287" s="198" t="s">
        <v>378</v>
      </c>
      <c r="G287" s="197" t="s">
        <v>173</v>
      </c>
      <c r="H287" s="219" t="s">
        <v>1662</v>
      </c>
      <c r="I287" s="183"/>
      <c r="J287" s="541"/>
      <c r="K287" s="541"/>
      <c r="L287" s="541"/>
      <c r="M287" s="541"/>
      <c r="N287" s="541"/>
      <c r="O287" s="541"/>
      <c r="P287" s="541">
        <v>47</v>
      </c>
      <c r="Q287" s="541"/>
      <c r="R287" s="541"/>
      <c r="S287" s="541"/>
      <c r="T287" s="541">
        <v>59</v>
      </c>
      <c r="U287" s="541"/>
      <c r="V287" s="541"/>
      <c r="W287" s="541"/>
      <c r="X287" s="541"/>
      <c r="Y287" s="541"/>
      <c r="Z287" s="541"/>
      <c r="AA287" s="541"/>
      <c r="AB287" s="541"/>
      <c r="AC287" s="542" t="e">
        <f>IF(NFI_Expiration=1,IF(#REF!&lt;VLOOKUP(L$5,NFI,5,0),1,0)*Table_NFI[[#This Row],[NFI Core Kit]],Table_NFI[NFI Core Kit])</f>
        <v>#REF!</v>
      </c>
      <c r="AD287" s="542" t="e">
        <f>IF(NFI_Expiration=1,IF(#REF!&lt;VLOOKUP(M$5,NFI,5,0),1,0)*Table_NFI[[#This Row],[Sanitary Kit]],Table_NFI[Sanitary Kit])</f>
        <v>#REF!</v>
      </c>
      <c r="AE287" s="542" t="e">
        <f>IF(NFI_Expiration=1,IF(#REF!&lt;VLOOKUP(N$5,NFI,5,0),1,0)*Table_NFI[[#This Row],[Mosquito net]],Table_NFI[Mosquito net])</f>
        <v>#REF!</v>
      </c>
      <c r="AF287" s="542" t="e">
        <f>IF(NFI_Expiration=1,IF(#REF!&lt;VLOOKUP(O$5,NFI,5,0),1,0)*Table_NFI[[#This Row],[Tarpaulin]],Table_NFI[[#This Row],[Tarpaulin]])</f>
        <v>#REF!</v>
      </c>
      <c r="AG287" s="542" t="e">
        <f>IF(NFI_Expiration=1,IF(#REF!&lt;VLOOKUP(P$5,NFI,5,0),1,0)*Table_NFI[[#This Row],[Blanket]],Table_NFI[[#This Row],[Blanket]])</f>
        <v>#REF!</v>
      </c>
      <c r="AH287" s="542" t="e">
        <f>IF(NFI_Expiration=1,IF(#REF!&lt;VLOOKUP(Q$5,NFI,5,0),1,0)*Table_NFI[[#This Row],[Kitchen Set]],Table_NFI[Kitchen Set])</f>
        <v>#REF!</v>
      </c>
      <c r="AI287" s="542" t="e">
        <f>IF(NFI_Expiration=1,IF(#REF!&lt;VLOOKUP(R$5,NFI,5,0),1,0)*Table_NFI[[#This Row],[Clothes Kit]],Table_NFI[Clothes Kit])</f>
        <v>#REF!</v>
      </c>
      <c r="AJ287" s="542" t="e">
        <f>IF(NFI_Expiration=1,IF(#REF!&lt;VLOOKUP(S$5,NFI,5,0),1,0)*Table_NFI[[#This Row],[Plastic Bucket]],Table_NFI[Plastic Bucket])</f>
        <v>#REF!</v>
      </c>
      <c r="AK287" s="542" t="e">
        <f>IF(NFI_Expiration=1,IF(#REF!&lt;VLOOKUP(T$5,NFI,5,0),1,0)*Table_NFI[[#This Row],[Plastic Mat]],Table_NFI[Plastic Mat])*IF(Table_NFI[[#This Row],[Distribution Date]]&gt;"2014-04-01",1,2.5)</f>
        <v>#REF!</v>
      </c>
      <c r="AL287" s="542" t="e">
        <f>IF(NFI_Expiration=1,IF(#REF!&lt;VLOOKUP(U$5,NFI,5,0),1,0)*Table_NFI[[#This Row],[Winter Clothes Adult]],Table_NFI[Winter Clothes Adult])</f>
        <v>#REF!</v>
      </c>
      <c r="AM287" s="542"/>
      <c r="AN287" s="542"/>
      <c r="AO287" s="542"/>
      <c r="AP287" s="542">
        <f>IF(Table_NFI[[#This Row],[Winter Clothes Adult]]+Table_NFI[[#This Row],[Winter Clothes Children]]+Table_NFI[[#This Row],[Winter Items Other]]+Table_NFI[[#This Row],[Winter Blanket]]&gt;0,1,0)</f>
        <v>0</v>
      </c>
      <c r="AQ287" s="542"/>
      <c r="AR287" s="542"/>
      <c r="AS287" s="542"/>
      <c r="AT287" s="205" t="str">
        <f>IFERROR(VLOOKUP(Table_NFI[[#This Row],[Location]],CL,2,0),"")</f>
        <v>MMR001CMP260</v>
      </c>
      <c r="AU287" s="183"/>
    </row>
    <row r="288" spans="2:47" x14ac:dyDescent="0.25">
      <c r="B288" s="540">
        <v>43235</v>
      </c>
      <c r="C288" s="540" t="str">
        <f>MONTH(Table_NFI[[#This Row],[Distribution Date]]) &amp; "/" &amp; YEAR(Table_NFI[[#This Row],[Distribution Date]])</f>
        <v>5/2018</v>
      </c>
      <c r="D288" s="198" t="s">
        <v>1635</v>
      </c>
      <c r="E288" s="198" t="s">
        <v>424</v>
      </c>
      <c r="F288" s="198" t="s">
        <v>378</v>
      </c>
      <c r="G288" s="197" t="s">
        <v>237</v>
      </c>
      <c r="H288" s="219" t="s">
        <v>1730</v>
      </c>
      <c r="I288" s="183"/>
      <c r="J288" s="541"/>
      <c r="K288" s="541"/>
      <c r="L288" s="541">
        <v>21</v>
      </c>
      <c r="M288" s="541"/>
      <c r="N288" s="541">
        <v>42</v>
      </c>
      <c r="O288" s="541">
        <v>42</v>
      </c>
      <c r="P288" s="541">
        <v>42</v>
      </c>
      <c r="Q288" s="541">
        <v>21</v>
      </c>
      <c r="R288" s="541"/>
      <c r="S288" s="541">
        <v>21</v>
      </c>
      <c r="T288" s="541"/>
      <c r="U288" s="541"/>
      <c r="V288" s="541"/>
      <c r="W288" s="541"/>
      <c r="X288" s="541"/>
      <c r="Y288" s="541"/>
      <c r="Z288" s="541"/>
      <c r="AA288" s="541"/>
      <c r="AB288" s="541"/>
      <c r="AC288" s="542" t="e">
        <f>IF(NFI_Expiration=1,IF(#REF!&lt;VLOOKUP(L$5,NFI,5,0),1,0)*Table_NFI[[#This Row],[NFI Core Kit]],Table_NFI[NFI Core Kit])</f>
        <v>#REF!</v>
      </c>
      <c r="AD288" s="542" t="e">
        <f>IF(NFI_Expiration=1,IF(#REF!&lt;VLOOKUP(M$5,NFI,5,0),1,0)*Table_NFI[[#This Row],[Sanitary Kit]],Table_NFI[Sanitary Kit])</f>
        <v>#REF!</v>
      </c>
      <c r="AE288" s="542" t="e">
        <f>IF(NFI_Expiration=1,IF(#REF!&lt;VLOOKUP(N$5,NFI,5,0),1,0)*Table_NFI[[#This Row],[Mosquito net]],Table_NFI[Mosquito net])</f>
        <v>#REF!</v>
      </c>
      <c r="AF288" s="542" t="e">
        <f>IF(NFI_Expiration=1,IF(#REF!&lt;VLOOKUP(O$5,NFI,5,0),1,0)*Table_NFI[[#This Row],[Tarpaulin]],Table_NFI[[#This Row],[Tarpaulin]])</f>
        <v>#REF!</v>
      </c>
      <c r="AG288" s="542" t="e">
        <f>IF(NFI_Expiration=1,IF(#REF!&lt;VLOOKUP(P$5,NFI,5,0),1,0)*Table_NFI[[#This Row],[Blanket]],Table_NFI[[#This Row],[Blanket]])</f>
        <v>#REF!</v>
      </c>
      <c r="AH288" s="542" t="e">
        <f>IF(NFI_Expiration=1,IF(#REF!&lt;VLOOKUP(Q$5,NFI,5,0),1,0)*Table_NFI[[#This Row],[Kitchen Set]],Table_NFI[Kitchen Set])</f>
        <v>#REF!</v>
      </c>
      <c r="AI288" s="542" t="e">
        <f>IF(NFI_Expiration=1,IF(#REF!&lt;VLOOKUP(R$5,NFI,5,0),1,0)*Table_NFI[[#This Row],[Clothes Kit]],Table_NFI[Clothes Kit])</f>
        <v>#REF!</v>
      </c>
      <c r="AJ288" s="542" t="e">
        <f>IF(NFI_Expiration=1,IF(#REF!&lt;VLOOKUP(S$5,NFI,5,0),1,0)*Table_NFI[[#This Row],[Plastic Bucket]],Table_NFI[Plastic Bucket])</f>
        <v>#REF!</v>
      </c>
      <c r="AK288" s="542" t="e">
        <f>IF(NFI_Expiration=1,IF(#REF!&lt;VLOOKUP(T$5,NFI,5,0),1,0)*Table_NFI[[#This Row],[Plastic Mat]],Table_NFI[Plastic Mat])*IF(Table_NFI[[#This Row],[Distribution Date]]&gt;"2014-04-01",1,2.5)</f>
        <v>#REF!</v>
      </c>
      <c r="AL288" s="542" t="e">
        <f>IF(NFI_Expiration=1,IF(#REF!&lt;VLOOKUP(U$5,NFI,5,0),1,0)*Table_NFI[[#This Row],[Winter Clothes Adult]],Table_NFI[Winter Clothes Adult])</f>
        <v>#REF!</v>
      </c>
      <c r="AM288" s="542"/>
      <c r="AN288" s="542"/>
      <c r="AO288" s="542"/>
      <c r="AP288" s="542">
        <f>IF(Table_NFI[[#This Row],[Winter Clothes Adult]]+Table_NFI[[#This Row],[Winter Clothes Children]]+Table_NFI[[#This Row],[Winter Items Other]]+Table_NFI[[#This Row],[Winter Blanket]]&gt;0,1,0)</f>
        <v>0</v>
      </c>
      <c r="AQ288" s="542"/>
      <c r="AR288" s="542"/>
      <c r="AS288" s="542"/>
      <c r="AT288" s="205" t="str">
        <f>IFERROR(VLOOKUP(Table_NFI[[#This Row],[Location]],CL,2,0),"")</f>
        <v/>
      </c>
      <c r="AU288" s="183"/>
    </row>
    <row r="289" spans="2:47" x14ac:dyDescent="0.25">
      <c r="B289" s="540">
        <v>43239</v>
      </c>
      <c r="C289" s="540" t="str">
        <f>MONTH(Table_NFI[[#This Row],[Distribution Date]]) &amp; "/" &amp; YEAR(Table_NFI[[#This Row],[Distribution Date]])</f>
        <v>5/2018</v>
      </c>
      <c r="D289" s="198" t="s">
        <v>1635</v>
      </c>
      <c r="E289" s="198" t="s">
        <v>424</v>
      </c>
      <c r="F289" s="198" t="s">
        <v>378</v>
      </c>
      <c r="G289" s="197" t="s">
        <v>309</v>
      </c>
      <c r="H289" s="219" t="s">
        <v>1745</v>
      </c>
      <c r="I289" s="183"/>
      <c r="J289" s="541"/>
      <c r="K289" s="541"/>
      <c r="L289" s="541">
        <v>57</v>
      </c>
      <c r="M289" s="541"/>
      <c r="N289" s="541"/>
      <c r="O289" s="541"/>
      <c r="P289" s="541"/>
      <c r="Q289" s="541"/>
      <c r="R289" s="541"/>
      <c r="S289" s="541"/>
      <c r="T289" s="541"/>
      <c r="U289" s="541"/>
      <c r="V289" s="541"/>
      <c r="W289" s="541"/>
      <c r="X289" s="541"/>
      <c r="Y289" s="541"/>
      <c r="Z289" s="541"/>
      <c r="AA289" s="541"/>
      <c r="AB289" s="541"/>
      <c r="AC289" s="542" t="e">
        <f>IF(NFI_Expiration=1,IF(#REF!&lt;VLOOKUP(L$5,NFI,5,0),1,0)*Table_NFI[[#This Row],[NFI Core Kit]],Table_NFI[NFI Core Kit])</f>
        <v>#REF!</v>
      </c>
      <c r="AD289" s="542" t="e">
        <f>IF(NFI_Expiration=1,IF(#REF!&lt;VLOOKUP(M$5,NFI,5,0),1,0)*Table_NFI[[#This Row],[Sanitary Kit]],Table_NFI[Sanitary Kit])</f>
        <v>#REF!</v>
      </c>
      <c r="AE289" s="542" t="e">
        <f>IF(NFI_Expiration=1,IF(#REF!&lt;VLOOKUP(N$5,NFI,5,0),1,0)*Table_NFI[[#This Row],[Mosquito net]],Table_NFI[Mosquito net])</f>
        <v>#REF!</v>
      </c>
      <c r="AF289" s="542" t="e">
        <f>IF(NFI_Expiration=1,IF(#REF!&lt;VLOOKUP(O$5,NFI,5,0),1,0)*Table_NFI[[#This Row],[Tarpaulin]],Table_NFI[[#This Row],[Tarpaulin]])</f>
        <v>#REF!</v>
      </c>
      <c r="AG289" s="542" t="e">
        <f>IF(NFI_Expiration=1,IF(#REF!&lt;VLOOKUP(P$5,NFI,5,0),1,0)*Table_NFI[[#This Row],[Blanket]],Table_NFI[[#This Row],[Blanket]])</f>
        <v>#REF!</v>
      </c>
      <c r="AH289" s="542" t="e">
        <f>IF(NFI_Expiration=1,IF(#REF!&lt;VLOOKUP(Q$5,NFI,5,0),1,0)*Table_NFI[[#This Row],[Kitchen Set]],Table_NFI[Kitchen Set])</f>
        <v>#REF!</v>
      </c>
      <c r="AI289" s="542" t="e">
        <f>IF(NFI_Expiration=1,IF(#REF!&lt;VLOOKUP(R$5,NFI,5,0),1,0)*Table_NFI[[#This Row],[Clothes Kit]],Table_NFI[Clothes Kit])</f>
        <v>#REF!</v>
      </c>
      <c r="AJ289" s="542" t="e">
        <f>IF(NFI_Expiration=1,IF(#REF!&lt;VLOOKUP(S$5,NFI,5,0),1,0)*Table_NFI[[#This Row],[Plastic Bucket]],Table_NFI[Plastic Bucket])</f>
        <v>#REF!</v>
      </c>
      <c r="AK289" s="542" t="e">
        <f>IF(NFI_Expiration=1,IF(#REF!&lt;VLOOKUP(T$5,NFI,5,0),1,0)*Table_NFI[[#This Row],[Plastic Mat]],Table_NFI[Plastic Mat])*IF(Table_NFI[[#This Row],[Distribution Date]]&gt;"2014-04-01",1,2.5)</f>
        <v>#REF!</v>
      </c>
      <c r="AL289" s="542" t="e">
        <f>IF(NFI_Expiration=1,IF(#REF!&lt;VLOOKUP(U$5,NFI,5,0),1,0)*Table_NFI[[#This Row],[Winter Clothes Adult]],Table_NFI[Winter Clothes Adult])</f>
        <v>#REF!</v>
      </c>
      <c r="AM289" s="542"/>
      <c r="AN289" s="542"/>
      <c r="AO289" s="542"/>
      <c r="AP289" s="542">
        <f>IF(Table_NFI[[#This Row],[Winter Clothes Adult]]+Table_NFI[[#This Row],[Winter Clothes Children]]+Table_NFI[[#This Row],[Winter Items Other]]+Table_NFI[[#This Row],[Winter Blanket]]&gt;0,1,0)</f>
        <v>0</v>
      </c>
      <c r="AQ289" s="542"/>
      <c r="AR289" s="542"/>
      <c r="AS289" s="542"/>
      <c r="AT289" s="205" t="str">
        <f>IFERROR(VLOOKUP(Table_NFI[[#This Row],[Location]],CL,2,0),"")</f>
        <v>MMR001CMP269</v>
      </c>
      <c r="AU289" s="183"/>
    </row>
    <row r="290" spans="2:47" x14ac:dyDescent="0.25">
      <c r="B290" s="540">
        <v>43231</v>
      </c>
      <c r="C290" s="540" t="str">
        <f>MONTH(Table_NFI[[#This Row],[Distribution Date]]) &amp; "/" &amp; YEAR(Table_NFI[[#This Row],[Distribution Date]])</f>
        <v>5/2018</v>
      </c>
      <c r="D290" s="198" t="s">
        <v>1635</v>
      </c>
      <c r="E290" s="198" t="s">
        <v>424</v>
      </c>
      <c r="F290" s="198" t="s">
        <v>378</v>
      </c>
      <c r="G290" s="197" t="s">
        <v>361</v>
      </c>
      <c r="H290" s="219" t="s">
        <v>1697</v>
      </c>
      <c r="I290" s="183"/>
      <c r="J290" s="541"/>
      <c r="K290" s="541"/>
      <c r="L290" s="541">
        <v>25</v>
      </c>
      <c r="M290" s="541"/>
      <c r="N290" s="541"/>
      <c r="O290" s="541"/>
      <c r="P290" s="541"/>
      <c r="Q290" s="541"/>
      <c r="R290" s="541"/>
      <c r="S290" s="541"/>
      <c r="T290" s="541"/>
      <c r="U290" s="541"/>
      <c r="V290" s="541"/>
      <c r="W290" s="541"/>
      <c r="X290" s="541"/>
      <c r="Y290" s="541"/>
      <c r="Z290" s="541"/>
      <c r="AA290" s="541"/>
      <c r="AB290" s="541"/>
      <c r="AC290" s="542" t="e">
        <f>IF(NFI_Expiration=1,IF(#REF!&lt;VLOOKUP(L$5,NFI,5,0),1,0)*Table_NFI[[#This Row],[NFI Core Kit]],Table_NFI[NFI Core Kit])</f>
        <v>#REF!</v>
      </c>
      <c r="AD290" s="542" t="e">
        <f>IF(NFI_Expiration=1,IF(#REF!&lt;VLOOKUP(M$5,NFI,5,0),1,0)*Table_NFI[[#This Row],[Sanitary Kit]],Table_NFI[Sanitary Kit])</f>
        <v>#REF!</v>
      </c>
      <c r="AE290" s="542" t="e">
        <f>IF(NFI_Expiration=1,IF(#REF!&lt;VLOOKUP(N$5,NFI,5,0),1,0)*Table_NFI[[#This Row],[Mosquito net]],Table_NFI[Mosquito net])</f>
        <v>#REF!</v>
      </c>
      <c r="AF290" s="542" t="e">
        <f>IF(NFI_Expiration=1,IF(#REF!&lt;VLOOKUP(O$5,NFI,5,0),1,0)*Table_NFI[[#This Row],[Tarpaulin]],Table_NFI[[#This Row],[Tarpaulin]])</f>
        <v>#REF!</v>
      </c>
      <c r="AG290" s="542" t="e">
        <f>IF(NFI_Expiration=1,IF(#REF!&lt;VLOOKUP(P$5,NFI,5,0),1,0)*Table_NFI[[#This Row],[Blanket]],Table_NFI[[#This Row],[Blanket]])</f>
        <v>#REF!</v>
      </c>
      <c r="AH290" s="542" t="e">
        <f>IF(NFI_Expiration=1,IF(#REF!&lt;VLOOKUP(Q$5,NFI,5,0),1,0)*Table_NFI[[#This Row],[Kitchen Set]],Table_NFI[Kitchen Set])</f>
        <v>#REF!</v>
      </c>
      <c r="AI290" s="542" t="e">
        <f>IF(NFI_Expiration=1,IF(#REF!&lt;VLOOKUP(R$5,NFI,5,0),1,0)*Table_NFI[[#This Row],[Clothes Kit]],Table_NFI[Clothes Kit])</f>
        <v>#REF!</v>
      </c>
      <c r="AJ290" s="542" t="e">
        <f>IF(NFI_Expiration=1,IF(#REF!&lt;VLOOKUP(S$5,NFI,5,0),1,0)*Table_NFI[[#This Row],[Plastic Bucket]],Table_NFI[Plastic Bucket])</f>
        <v>#REF!</v>
      </c>
      <c r="AK290" s="542" t="e">
        <f>IF(NFI_Expiration=1,IF(#REF!&lt;VLOOKUP(T$5,NFI,5,0),1,0)*Table_NFI[[#This Row],[Plastic Mat]],Table_NFI[Plastic Mat])*IF(Table_NFI[[#This Row],[Distribution Date]]&gt;"2014-04-01",1,2.5)</f>
        <v>#REF!</v>
      </c>
      <c r="AL290" s="542" t="e">
        <f>IF(NFI_Expiration=1,IF(#REF!&lt;VLOOKUP(U$5,NFI,5,0),1,0)*Table_NFI[[#This Row],[Winter Clothes Adult]],Table_NFI[Winter Clothes Adult])</f>
        <v>#REF!</v>
      </c>
      <c r="AM290" s="542"/>
      <c r="AN290" s="542"/>
      <c r="AO290" s="542"/>
      <c r="AP290" s="542">
        <f>IF(Table_NFI[[#This Row],[Winter Clothes Adult]]+Table_NFI[[#This Row],[Winter Clothes Children]]+Table_NFI[[#This Row],[Winter Items Other]]+Table_NFI[[#This Row],[Winter Blanket]]&gt;0,1,0)</f>
        <v>0</v>
      </c>
      <c r="AQ290" s="542"/>
      <c r="AR290" s="542"/>
      <c r="AS290" s="542"/>
      <c r="AT290" s="205" t="str">
        <f>IFERROR(VLOOKUP(Table_NFI[[#This Row],[Location]],CL,2,0),"")</f>
        <v>MMR001CMP267</v>
      </c>
      <c r="AU290" s="183"/>
    </row>
    <row r="291" spans="2:47" x14ac:dyDescent="0.25">
      <c r="B291" s="540">
        <v>43232</v>
      </c>
      <c r="C291" s="540" t="str">
        <f>MONTH(Table_NFI[[#This Row],[Distribution Date]]) &amp; "/" &amp; YEAR(Table_NFI[[#This Row],[Distribution Date]])</f>
        <v>5/2018</v>
      </c>
      <c r="D291" s="198" t="s">
        <v>1635</v>
      </c>
      <c r="E291" s="198" t="s">
        <v>424</v>
      </c>
      <c r="F291" s="198" t="s">
        <v>378</v>
      </c>
      <c r="G291" s="197" t="s">
        <v>480</v>
      </c>
      <c r="H291" s="219" t="s">
        <v>88</v>
      </c>
      <c r="I291" s="183"/>
      <c r="J291" s="541"/>
      <c r="K291" s="541"/>
      <c r="L291" s="541">
        <v>31</v>
      </c>
      <c r="M291" s="541"/>
      <c r="N291" s="541"/>
      <c r="O291" s="541"/>
      <c r="P291" s="541"/>
      <c r="Q291" s="541"/>
      <c r="R291" s="541"/>
      <c r="S291" s="541"/>
      <c r="T291" s="541"/>
      <c r="U291" s="541"/>
      <c r="V291" s="541"/>
      <c r="W291" s="541"/>
      <c r="X291" s="541"/>
      <c r="Y291" s="541"/>
      <c r="Z291" s="541"/>
      <c r="AA291" s="541"/>
      <c r="AB291" s="541"/>
      <c r="AC291" s="542" t="e">
        <f>IF(NFI_Expiration=1,IF(#REF!&lt;VLOOKUP(L$5,NFI,5,0),1,0)*Table_NFI[[#This Row],[NFI Core Kit]],Table_NFI[NFI Core Kit])</f>
        <v>#REF!</v>
      </c>
      <c r="AD291" s="542" t="e">
        <f>IF(NFI_Expiration=1,IF(#REF!&lt;VLOOKUP(M$5,NFI,5,0),1,0)*Table_NFI[[#This Row],[Sanitary Kit]],Table_NFI[Sanitary Kit])</f>
        <v>#REF!</v>
      </c>
      <c r="AE291" s="542" t="e">
        <f>IF(NFI_Expiration=1,IF(#REF!&lt;VLOOKUP(N$5,NFI,5,0),1,0)*Table_NFI[[#This Row],[Mosquito net]],Table_NFI[Mosquito net])</f>
        <v>#REF!</v>
      </c>
      <c r="AF291" s="542" t="e">
        <f>IF(NFI_Expiration=1,IF(#REF!&lt;VLOOKUP(O$5,NFI,5,0),1,0)*Table_NFI[[#This Row],[Tarpaulin]],Table_NFI[[#This Row],[Tarpaulin]])</f>
        <v>#REF!</v>
      </c>
      <c r="AG291" s="542" t="e">
        <f>IF(NFI_Expiration=1,IF(#REF!&lt;VLOOKUP(P$5,NFI,5,0),1,0)*Table_NFI[[#This Row],[Blanket]],Table_NFI[[#This Row],[Blanket]])</f>
        <v>#REF!</v>
      </c>
      <c r="AH291" s="542" t="e">
        <f>IF(NFI_Expiration=1,IF(#REF!&lt;VLOOKUP(Q$5,NFI,5,0),1,0)*Table_NFI[[#This Row],[Kitchen Set]],Table_NFI[Kitchen Set])</f>
        <v>#REF!</v>
      </c>
      <c r="AI291" s="542" t="e">
        <f>IF(NFI_Expiration=1,IF(#REF!&lt;VLOOKUP(R$5,NFI,5,0),1,0)*Table_NFI[[#This Row],[Clothes Kit]],Table_NFI[Clothes Kit])</f>
        <v>#REF!</v>
      </c>
      <c r="AJ291" s="542" t="e">
        <f>IF(NFI_Expiration=1,IF(#REF!&lt;VLOOKUP(S$5,NFI,5,0),1,0)*Table_NFI[[#This Row],[Plastic Bucket]],Table_NFI[Plastic Bucket])</f>
        <v>#REF!</v>
      </c>
      <c r="AK291" s="542" t="e">
        <f>IF(NFI_Expiration=1,IF(#REF!&lt;VLOOKUP(T$5,NFI,5,0),1,0)*Table_NFI[[#This Row],[Plastic Mat]],Table_NFI[Plastic Mat])*IF(Table_NFI[[#This Row],[Distribution Date]]&gt;"2014-04-01",1,2.5)</f>
        <v>#REF!</v>
      </c>
      <c r="AL291" s="542" t="e">
        <f>IF(NFI_Expiration=1,IF(#REF!&lt;VLOOKUP(U$5,NFI,5,0),1,0)*Table_NFI[[#This Row],[Winter Clothes Adult]],Table_NFI[Winter Clothes Adult])</f>
        <v>#REF!</v>
      </c>
      <c r="AM291" s="542"/>
      <c r="AN291" s="542"/>
      <c r="AO291" s="542"/>
      <c r="AP291" s="542">
        <f>IF(Table_NFI[[#This Row],[Winter Clothes Adult]]+Table_NFI[[#This Row],[Winter Clothes Children]]+Table_NFI[[#This Row],[Winter Items Other]]+Table_NFI[[#This Row],[Winter Blanket]]&gt;0,1,0)</f>
        <v>0</v>
      </c>
      <c r="AQ291" s="542"/>
      <c r="AR291" s="542"/>
      <c r="AS291" s="542"/>
      <c r="AT291" s="205" t="str">
        <f>IFERROR(VLOOKUP(Table_NFI[[#This Row],[Location]],CL,2,0),"")</f>
        <v>MMR001CMP148</v>
      </c>
      <c r="AU291" s="183"/>
    </row>
    <row r="292" spans="2:47" x14ac:dyDescent="0.25">
      <c r="B292" s="540">
        <v>43243</v>
      </c>
      <c r="C292" s="540" t="str">
        <f>MONTH(Table_NFI[[#This Row],[Distribution Date]]) &amp; "/" &amp; YEAR(Table_NFI[[#This Row],[Distribution Date]])</f>
        <v>5/2018</v>
      </c>
      <c r="D292" s="198" t="s">
        <v>1635</v>
      </c>
      <c r="E292" s="198" t="s">
        <v>424</v>
      </c>
      <c r="F292" s="198" t="s">
        <v>378</v>
      </c>
      <c r="G292" s="197" t="s">
        <v>237</v>
      </c>
      <c r="H292" s="219" t="s">
        <v>240</v>
      </c>
      <c r="I292" s="183"/>
      <c r="J292" s="541"/>
      <c r="K292" s="541"/>
      <c r="L292" s="541">
        <v>3</v>
      </c>
      <c r="M292" s="541"/>
      <c r="N292" s="541"/>
      <c r="O292" s="541"/>
      <c r="P292" s="541"/>
      <c r="Q292" s="541"/>
      <c r="R292" s="541"/>
      <c r="S292" s="541"/>
      <c r="T292" s="541"/>
      <c r="U292" s="541"/>
      <c r="V292" s="541"/>
      <c r="W292" s="541"/>
      <c r="X292" s="541"/>
      <c r="Y292" s="541"/>
      <c r="Z292" s="541"/>
      <c r="AA292" s="541"/>
      <c r="AB292" s="541"/>
      <c r="AC292" s="542" t="e">
        <f>IF(NFI_Expiration=1,IF(#REF!&lt;VLOOKUP(L$5,NFI,5,0),1,0)*Table_NFI[[#This Row],[NFI Core Kit]],Table_NFI[NFI Core Kit])</f>
        <v>#REF!</v>
      </c>
      <c r="AD292" s="542" t="e">
        <f>IF(NFI_Expiration=1,IF(#REF!&lt;VLOOKUP(M$5,NFI,5,0),1,0)*Table_NFI[[#This Row],[Sanitary Kit]],Table_NFI[Sanitary Kit])</f>
        <v>#REF!</v>
      </c>
      <c r="AE292" s="542" t="e">
        <f>IF(NFI_Expiration=1,IF(#REF!&lt;VLOOKUP(N$5,NFI,5,0),1,0)*Table_NFI[[#This Row],[Mosquito net]],Table_NFI[Mosquito net])</f>
        <v>#REF!</v>
      </c>
      <c r="AF292" s="542" t="e">
        <f>IF(NFI_Expiration=1,IF(#REF!&lt;VLOOKUP(O$5,NFI,5,0),1,0)*Table_NFI[[#This Row],[Tarpaulin]],Table_NFI[[#This Row],[Tarpaulin]])</f>
        <v>#REF!</v>
      </c>
      <c r="AG292" s="542" t="e">
        <f>IF(NFI_Expiration=1,IF(#REF!&lt;VLOOKUP(P$5,NFI,5,0),1,0)*Table_NFI[[#This Row],[Blanket]],Table_NFI[[#This Row],[Blanket]])</f>
        <v>#REF!</v>
      </c>
      <c r="AH292" s="542" t="e">
        <f>IF(NFI_Expiration=1,IF(#REF!&lt;VLOOKUP(Q$5,NFI,5,0),1,0)*Table_NFI[[#This Row],[Kitchen Set]],Table_NFI[Kitchen Set])</f>
        <v>#REF!</v>
      </c>
      <c r="AI292" s="542" t="e">
        <f>IF(NFI_Expiration=1,IF(#REF!&lt;VLOOKUP(R$5,NFI,5,0),1,0)*Table_NFI[[#This Row],[Clothes Kit]],Table_NFI[Clothes Kit])</f>
        <v>#REF!</v>
      </c>
      <c r="AJ292" s="542" t="e">
        <f>IF(NFI_Expiration=1,IF(#REF!&lt;VLOOKUP(S$5,NFI,5,0),1,0)*Table_NFI[[#This Row],[Plastic Bucket]],Table_NFI[Plastic Bucket])</f>
        <v>#REF!</v>
      </c>
      <c r="AK292" s="542" t="e">
        <f>IF(NFI_Expiration=1,IF(#REF!&lt;VLOOKUP(T$5,NFI,5,0),1,0)*Table_NFI[[#This Row],[Plastic Mat]],Table_NFI[Plastic Mat])*IF(Table_NFI[[#This Row],[Distribution Date]]&gt;"2014-04-01",1,2.5)</f>
        <v>#REF!</v>
      </c>
      <c r="AL292" s="542" t="e">
        <f>IF(NFI_Expiration=1,IF(#REF!&lt;VLOOKUP(U$5,NFI,5,0),1,0)*Table_NFI[[#This Row],[Winter Clothes Adult]],Table_NFI[Winter Clothes Adult])</f>
        <v>#REF!</v>
      </c>
      <c r="AM292" s="542"/>
      <c r="AN292" s="542"/>
      <c r="AO292" s="542"/>
      <c r="AP292" s="542">
        <f>IF(Table_NFI[[#This Row],[Winter Clothes Adult]]+Table_NFI[[#This Row],[Winter Clothes Children]]+Table_NFI[[#This Row],[Winter Items Other]]+Table_NFI[[#This Row],[Winter Blanket]]&gt;0,1,0)</f>
        <v>0</v>
      </c>
      <c r="AQ292" s="542"/>
      <c r="AR292" s="542"/>
      <c r="AS292" s="542"/>
      <c r="AT292" s="205" t="str">
        <f>IFERROR(VLOOKUP(Table_NFI[[#This Row],[Location]],CL,2,0),"")</f>
        <v>MMR001CMP015</v>
      </c>
      <c r="AU292" s="183"/>
    </row>
    <row r="293" spans="2:47" x14ac:dyDescent="0.25">
      <c r="B293" s="540">
        <v>43244</v>
      </c>
      <c r="C293" s="540" t="str">
        <f>MONTH(Table_NFI[[#This Row],[Distribution Date]]) &amp; "/" &amp; YEAR(Table_NFI[[#This Row],[Distribution Date]])</f>
        <v>5/2018</v>
      </c>
      <c r="D293" s="198" t="s">
        <v>1635</v>
      </c>
      <c r="E293" s="198" t="s">
        <v>424</v>
      </c>
      <c r="F293" s="198" t="s">
        <v>378</v>
      </c>
      <c r="G293" s="197" t="s">
        <v>237</v>
      </c>
      <c r="H293" s="219" t="s">
        <v>256</v>
      </c>
      <c r="I293" s="183"/>
      <c r="J293" s="541"/>
      <c r="K293" s="541"/>
      <c r="L293" s="541">
        <v>1</v>
      </c>
      <c r="M293" s="541"/>
      <c r="N293" s="541"/>
      <c r="O293" s="541"/>
      <c r="P293" s="541"/>
      <c r="Q293" s="541"/>
      <c r="R293" s="541"/>
      <c r="S293" s="541"/>
      <c r="T293" s="541"/>
      <c r="U293" s="541"/>
      <c r="V293" s="541"/>
      <c r="W293" s="541"/>
      <c r="X293" s="541"/>
      <c r="Y293" s="541"/>
      <c r="Z293" s="541"/>
      <c r="AA293" s="541"/>
      <c r="AB293" s="541"/>
      <c r="AC293" s="542" t="e">
        <f>IF(NFI_Expiration=1,IF(#REF!&lt;VLOOKUP(L$5,NFI,5,0),1,0)*Table_NFI[[#This Row],[NFI Core Kit]],Table_NFI[NFI Core Kit])</f>
        <v>#REF!</v>
      </c>
      <c r="AD293" s="542" t="e">
        <f>IF(NFI_Expiration=1,IF(#REF!&lt;VLOOKUP(M$5,NFI,5,0),1,0)*Table_NFI[[#This Row],[Sanitary Kit]],Table_NFI[Sanitary Kit])</f>
        <v>#REF!</v>
      </c>
      <c r="AE293" s="542" t="e">
        <f>IF(NFI_Expiration=1,IF(#REF!&lt;VLOOKUP(N$5,NFI,5,0),1,0)*Table_NFI[[#This Row],[Mosquito net]],Table_NFI[Mosquito net])</f>
        <v>#REF!</v>
      </c>
      <c r="AF293" s="542" t="e">
        <f>IF(NFI_Expiration=1,IF(#REF!&lt;VLOOKUP(O$5,NFI,5,0),1,0)*Table_NFI[[#This Row],[Tarpaulin]],Table_NFI[[#This Row],[Tarpaulin]])</f>
        <v>#REF!</v>
      </c>
      <c r="AG293" s="542" t="e">
        <f>IF(NFI_Expiration=1,IF(#REF!&lt;VLOOKUP(P$5,NFI,5,0),1,0)*Table_NFI[[#This Row],[Blanket]],Table_NFI[[#This Row],[Blanket]])</f>
        <v>#REF!</v>
      </c>
      <c r="AH293" s="542" t="e">
        <f>IF(NFI_Expiration=1,IF(#REF!&lt;VLOOKUP(Q$5,NFI,5,0),1,0)*Table_NFI[[#This Row],[Kitchen Set]],Table_NFI[Kitchen Set])</f>
        <v>#REF!</v>
      </c>
      <c r="AI293" s="542" t="e">
        <f>IF(NFI_Expiration=1,IF(#REF!&lt;VLOOKUP(R$5,NFI,5,0),1,0)*Table_NFI[[#This Row],[Clothes Kit]],Table_NFI[Clothes Kit])</f>
        <v>#REF!</v>
      </c>
      <c r="AJ293" s="542" t="e">
        <f>IF(NFI_Expiration=1,IF(#REF!&lt;VLOOKUP(S$5,NFI,5,0),1,0)*Table_NFI[[#This Row],[Plastic Bucket]],Table_NFI[Plastic Bucket])</f>
        <v>#REF!</v>
      </c>
      <c r="AK293" s="542" t="e">
        <f>IF(NFI_Expiration=1,IF(#REF!&lt;VLOOKUP(T$5,NFI,5,0),1,0)*Table_NFI[[#This Row],[Plastic Mat]],Table_NFI[Plastic Mat])*IF(Table_NFI[[#This Row],[Distribution Date]]&gt;"2014-04-01",1,2.5)</f>
        <v>#REF!</v>
      </c>
      <c r="AL293" s="542" t="e">
        <f>IF(NFI_Expiration=1,IF(#REF!&lt;VLOOKUP(U$5,NFI,5,0),1,0)*Table_NFI[[#This Row],[Winter Clothes Adult]],Table_NFI[Winter Clothes Adult])</f>
        <v>#REF!</v>
      </c>
      <c r="AM293" s="542"/>
      <c r="AN293" s="542"/>
      <c r="AO293" s="542"/>
      <c r="AP293" s="542">
        <f>IF(Table_NFI[[#This Row],[Winter Clothes Adult]]+Table_NFI[[#This Row],[Winter Clothes Children]]+Table_NFI[[#This Row],[Winter Items Other]]+Table_NFI[[#This Row],[Winter Blanket]]&gt;0,1,0)</f>
        <v>0</v>
      </c>
      <c r="AQ293" s="542"/>
      <c r="AR293" s="542"/>
      <c r="AS293" s="542"/>
      <c r="AT293" s="205" t="str">
        <f>IFERROR(VLOOKUP(Table_NFI[[#This Row],[Location]],CL,2,0),"")</f>
        <v>MMR001CMP013</v>
      </c>
      <c r="AU293" s="183"/>
    </row>
    <row r="294" spans="2:47" x14ac:dyDescent="0.25">
      <c r="B294" s="540">
        <v>43245</v>
      </c>
      <c r="C294" s="540" t="str">
        <f>MONTH(Table_NFI[[#This Row],[Distribution Date]]) &amp; "/" &amp; YEAR(Table_NFI[[#This Row],[Distribution Date]])</f>
        <v>5/2018</v>
      </c>
      <c r="D294" s="198" t="s">
        <v>1635</v>
      </c>
      <c r="E294" s="198" t="s">
        <v>424</v>
      </c>
      <c r="F294" s="198" t="s">
        <v>378</v>
      </c>
      <c r="G294" s="197" t="s">
        <v>309</v>
      </c>
      <c r="H294" s="219" t="s">
        <v>325</v>
      </c>
      <c r="I294" s="183"/>
      <c r="J294" s="541"/>
      <c r="K294" s="541"/>
      <c r="L294" s="541">
        <v>2</v>
      </c>
      <c r="M294" s="541"/>
      <c r="N294" s="541"/>
      <c r="O294" s="541"/>
      <c r="P294" s="541"/>
      <c r="Q294" s="541"/>
      <c r="R294" s="541"/>
      <c r="S294" s="541"/>
      <c r="T294" s="541"/>
      <c r="U294" s="541"/>
      <c r="V294" s="541"/>
      <c r="W294" s="541"/>
      <c r="X294" s="541"/>
      <c r="Y294" s="541"/>
      <c r="Z294" s="541"/>
      <c r="AA294" s="541"/>
      <c r="AB294" s="541"/>
      <c r="AC294" s="542" t="e">
        <f>IF(NFI_Expiration=1,IF(#REF!&lt;VLOOKUP(L$5,NFI,5,0),1,0)*Table_NFI[[#This Row],[NFI Core Kit]],Table_NFI[NFI Core Kit])</f>
        <v>#REF!</v>
      </c>
      <c r="AD294" s="542" t="e">
        <f>IF(NFI_Expiration=1,IF(#REF!&lt;VLOOKUP(M$5,NFI,5,0),1,0)*Table_NFI[[#This Row],[Sanitary Kit]],Table_NFI[Sanitary Kit])</f>
        <v>#REF!</v>
      </c>
      <c r="AE294" s="542" t="e">
        <f>IF(NFI_Expiration=1,IF(#REF!&lt;VLOOKUP(N$5,NFI,5,0),1,0)*Table_NFI[[#This Row],[Mosquito net]],Table_NFI[Mosquito net])</f>
        <v>#REF!</v>
      </c>
      <c r="AF294" s="542" t="e">
        <f>IF(NFI_Expiration=1,IF(#REF!&lt;VLOOKUP(O$5,NFI,5,0),1,0)*Table_NFI[[#This Row],[Tarpaulin]],Table_NFI[[#This Row],[Tarpaulin]])</f>
        <v>#REF!</v>
      </c>
      <c r="AG294" s="542" t="e">
        <f>IF(NFI_Expiration=1,IF(#REF!&lt;VLOOKUP(P$5,NFI,5,0),1,0)*Table_NFI[[#This Row],[Blanket]],Table_NFI[[#This Row],[Blanket]])</f>
        <v>#REF!</v>
      </c>
      <c r="AH294" s="542" t="e">
        <f>IF(NFI_Expiration=1,IF(#REF!&lt;VLOOKUP(Q$5,NFI,5,0),1,0)*Table_NFI[[#This Row],[Kitchen Set]],Table_NFI[Kitchen Set])</f>
        <v>#REF!</v>
      </c>
      <c r="AI294" s="542" t="e">
        <f>IF(NFI_Expiration=1,IF(#REF!&lt;VLOOKUP(R$5,NFI,5,0),1,0)*Table_NFI[[#This Row],[Clothes Kit]],Table_NFI[Clothes Kit])</f>
        <v>#REF!</v>
      </c>
      <c r="AJ294" s="542" t="e">
        <f>IF(NFI_Expiration=1,IF(#REF!&lt;VLOOKUP(S$5,NFI,5,0),1,0)*Table_NFI[[#This Row],[Plastic Bucket]],Table_NFI[Plastic Bucket])</f>
        <v>#REF!</v>
      </c>
      <c r="AK294" s="542" t="e">
        <f>IF(NFI_Expiration=1,IF(#REF!&lt;VLOOKUP(T$5,NFI,5,0),1,0)*Table_NFI[[#This Row],[Plastic Mat]],Table_NFI[Plastic Mat])*IF(Table_NFI[[#This Row],[Distribution Date]]&gt;"2014-04-01",1,2.5)</f>
        <v>#REF!</v>
      </c>
      <c r="AL294" s="542" t="e">
        <f>IF(NFI_Expiration=1,IF(#REF!&lt;VLOOKUP(U$5,NFI,5,0),1,0)*Table_NFI[[#This Row],[Winter Clothes Adult]],Table_NFI[Winter Clothes Adult])</f>
        <v>#REF!</v>
      </c>
      <c r="AM294" s="542"/>
      <c r="AN294" s="542"/>
      <c r="AO294" s="542"/>
      <c r="AP294" s="542">
        <f>IF(Table_NFI[[#This Row],[Winter Clothes Adult]]+Table_NFI[[#This Row],[Winter Clothes Children]]+Table_NFI[[#This Row],[Winter Items Other]]+Table_NFI[[#This Row],[Winter Blanket]]&gt;0,1,0)</f>
        <v>0</v>
      </c>
      <c r="AQ294" s="542"/>
      <c r="AR294" s="542"/>
      <c r="AS294" s="542"/>
      <c r="AT294" s="205" t="str">
        <f>IFERROR(VLOOKUP(Table_NFI[[#This Row],[Location]],CL,2,0),"")</f>
        <v>MMR001CMP039</v>
      </c>
      <c r="AU294" s="183"/>
    </row>
    <row r="295" spans="2:47" x14ac:dyDescent="0.25">
      <c r="B295" s="540">
        <v>43246</v>
      </c>
      <c r="C295" s="540" t="str">
        <f>MONTH(Table_NFI[[#This Row],[Distribution Date]]) &amp; "/" &amp; YEAR(Table_NFI[[#This Row],[Distribution Date]])</f>
        <v>5/2018</v>
      </c>
      <c r="D295" s="198" t="s">
        <v>1635</v>
      </c>
      <c r="E295" s="198" t="s">
        <v>424</v>
      </c>
      <c r="F295" s="198" t="s">
        <v>378</v>
      </c>
      <c r="G295" s="197" t="s">
        <v>309</v>
      </c>
      <c r="H295" s="219" t="s">
        <v>340</v>
      </c>
      <c r="I295" s="183"/>
      <c r="J295" s="541"/>
      <c r="K295" s="541"/>
      <c r="L295" s="541">
        <v>3</v>
      </c>
      <c r="M295" s="541"/>
      <c r="N295" s="541"/>
      <c r="O295" s="541"/>
      <c r="P295" s="541"/>
      <c r="Q295" s="541"/>
      <c r="R295" s="541"/>
      <c r="S295" s="541"/>
      <c r="T295" s="541"/>
      <c r="U295" s="541"/>
      <c r="V295" s="541"/>
      <c r="W295" s="541"/>
      <c r="X295" s="541"/>
      <c r="Y295" s="541"/>
      <c r="Z295" s="541"/>
      <c r="AA295" s="541"/>
      <c r="AB295" s="541"/>
      <c r="AC295" s="542" t="e">
        <f>IF(NFI_Expiration=1,IF(#REF!&lt;VLOOKUP(L$5,NFI,5,0),1,0)*Table_NFI[[#This Row],[NFI Core Kit]],Table_NFI[NFI Core Kit])</f>
        <v>#REF!</v>
      </c>
      <c r="AD295" s="542" t="e">
        <f>IF(NFI_Expiration=1,IF(#REF!&lt;VLOOKUP(M$5,NFI,5,0),1,0)*Table_NFI[[#This Row],[Sanitary Kit]],Table_NFI[Sanitary Kit])</f>
        <v>#REF!</v>
      </c>
      <c r="AE295" s="542" t="e">
        <f>IF(NFI_Expiration=1,IF(#REF!&lt;VLOOKUP(N$5,NFI,5,0),1,0)*Table_NFI[[#This Row],[Mosquito net]],Table_NFI[Mosquito net])</f>
        <v>#REF!</v>
      </c>
      <c r="AF295" s="542" t="e">
        <f>IF(NFI_Expiration=1,IF(#REF!&lt;VLOOKUP(O$5,NFI,5,0),1,0)*Table_NFI[[#This Row],[Tarpaulin]],Table_NFI[[#This Row],[Tarpaulin]])</f>
        <v>#REF!</v>
      </c>
      <c r="AG295" s="542" t="e">
        <f>IF(NFI_Expiration=1,IF(#REF!&lt;VLOOKUP(P$5,NFI,5,0),1,0)*Table_NFI[[#This Row],[Blanket]],Table_NFI[[#This Row],[Blanket]])</f>
        <v>#REF!</v>
      </c>
      <c r="AH295" s="542" t="e">
        <f>IF(NFI_Expiration=1,IF(#REF!&lt;VLOOKUP(Q$5,NFI,5,0),1,0)*Table_NFI[[#This Row],[Kitchen Set]],Table_NFI[Kitchen Set])</f>
        <v>#REF!</v>
      </c>
      <c r="AI295" s="542" t="e">
        <f>IF(NFI_Expiration=1,IF(#REF!&lt;VLOOKUP(R$5,NFI,5,0),1,0)*Table_NFI[[#This Row],[Clothes Kit]],Table_NFI[Clothes Kit])</f>
        <v>#REF!</v>
      </c>
      <c r="AJ295" s="542" t="e">
        <f>IF(NFI_Expiration=1,IF(#REF!&lt;VLOOKUP(S$5,NFI,5,0),1,0)*Table_NFI[[#This Row],[Plastic Bucket]],Table_NFI[Plastic Bucket])</f>
        <v>#REF!</v>
      </c>
      <c r="AK295" s="542" t="e">
        <f>IF(NFI_Expiration=1,IF(#REF!&lt;VLOOKUP(T$5,NFI,5,0),1,0)*Table_NFI[[#This Row],[Plastic Mat]],Table_NFI[Plastic Mat])*IF(Table_NFI[[#This Row],[Distribution Date]]&gt;"2014-04-01",1,2.5)</f>
        <v>#REF!</v>
      </c>
      <c r="AL295" s="542" t="e">
        <f>IF(NFI_Expiration=1,IF(#REF!&lt;VLOOKUP(U$5,NFI,5,0),1,0)*Table_NFI[[#This Row],[Winter Clothes Adult]],Table_NFI[Winter Clothes Adult])</f>
        <v>#REF!</v>
      </c>
      <c r="AM295" s="542"/>
      <c r="AN295" s="542"/>
      <c r="AO295" s="542"/>
      <c r="AP295" s="542">
        <f>IF(Table_NFI[[#This Row],[Winter Clothes Adult]]+Table_NFI[[#This Row],[Winter Clothes Children]]+Table_NFI[[#This Row],[Winter Items Other]]+Table_NFI[[#This Row],[Winter Blanket]]&gt;0,1,0)</f>
        <v>0</v>
      </c>
      <c r="AQ295" s="542"/>
      <c r="AR295" s="542"/>
      <c r="AS295" s="542"/>
      <c r="AT295" s="205" t="str">
        <f>IFERROR(VLOOKUP(Table_NFI[[#This Row],[Location]],CL,2,0),"")</f>
        <v>MMR001CMP025</v>
      </c>
      <c r="AU295" s="183"/>
    </row>
    <row r="296" spans="2:47" x14ac:dyDescent="0.25">
      <c r="B296" s="540">
        <v>43247</v>
      </c>
      <c r="C296" s="540" t="str">
        <f>MONTH(Table_NFI[[#This Row],[Distribution Date]]) &amp; "/" &amp; YEAR(Table_NFI[[#This Row],[Distribution Date]])</f>
        <v>5/2018</v>
      </c>
      <c r="D296" s="198" t="s">
        <v>1635</v>
      </c>
      <c r="E296" s="198" t="s">
        <v>424</v>
      </c>
      <c r="F296" s="198" t="s">
        <v>378</v>
      </c>
      <c r="G296" s="197" t="s">
        <v>237</v>
      </c>
      <c r="H296" s="219" t="s">
        <v>276</v>
      </c>
      <c r="I296" s="183"/>
      <c r="J296" s="541"/>
      <c r="K296" s="541"/>
      <c r="L296" s="541">
        <v>2</v>
      </c>
      <c r="M296" s="541"/>
      <c r="N296" s="541"/>
      <c r="O296" s="541"/>
      <c r="P296" s="541"/>
      <c r="Q296" s="541"/>
      <c r="R296" s="541"/>
      <c r="S296" s="541"/>
      <c r="T296" s="541"/>
      <c r="U296" s="541"/>
      <c r="V296" s="541"/>
      <c r="W296" s="541"/>
      <c r="X296" s="541"/>
      <c r="Y296" s="541"/>
      <c r="Z296" s="541"/>
      <c r="AA296" s="541"/>
      <c r="AB296" s="541"/>
      <c r="AC296" s="542" t="e">
        <f>IF(NFI_Expiration=1,IF(#REF!&lt;VLOOKUP(L$5,NFI,5,0),1,0)*Table_NFI[[#This Row],[NFI Core Kit]],Table_NFI[NFI Core Kit])</f>
        <v>#REF!</v>
      </c>
      <c r="AD296" s="542" t="e">
        <f>IF(NFI_Expiration=1,IF(#REF!&lt;VLOOKUP(M$5,NFI,5,0),1,0)*Table_NFI[[#This Row],[Sanitary Kit]],Table_NFI[Sanitary Kit])</f>
        <v>#REF!</v>
      </c>
      <c r="AE296" s="542" t="e">
        <f>IF(NFI_Expiration=1,IF(#REF!&lt;VLOOKUP(N$5,NFI,5,0),1,0)*Table_NFI[[#This Row],[Mosquito net]],Table_NFI[Mosquito net])</f>
        <v>#REF!</v>
      </c>
      <c r="AF296" s="542" t="e">
        <f>IF(NFI_Expiration=1,IF(#REF!&lt;VLOOKUP(O$5,NFI,5,0),1,0)*Table_NFI[[#This Row],[Tarpaulin]],Table_NFI[[#This Row],[Tarpaulin]])</f>
        <v>#REF!</v>
      </c>
      <c r="AG296" s="542" t="e">
        <f>IF(NFI_Expiration=1,IF(#REF!&lt;VLOOKUP(P$5,NFI,5,0),1,0)*Table_NFI[[#This Row],[Blanket]],Table_NFI[[#This Row],[Blanket]])</f>
        <v>#REF!</v>
      </c>
      <c r="AH296" s="542" t="e">
        <f>IF(NFI_Expiration=1,IF(#REF!&lt;VLOOKUP(Q$5,NFI,5,0),1,0)*Table_NFI[[#This Row],[Kitchen Set]],Table_NFI[Kitchen Set])</f>
        <v>#REF!</v>
      </c>
      <c r="AI296" s="542" t="e">
        <f>IF(NFI_Expiration=1,IF(#REF!&lt;VLOOKUP(R$5,NFI,5,0),1,0)*Table_NFI[[#This Row],[Clothes Kit]],Table_NFI[Clothes Kit])</f>
        <v>#REF!</v>
      </c>
      <c r="AJ296" s="542" t="e">
        <f>IF(NFI_Expiration=1,IF(#REF!&lt;VLOOKUP(S$5,NFI,5,0),1,0)*Table_NFI[[#This Row],[Plastic Bucket]],Table_NFI[Plastic Bucket])</f>
        <v>#REF!</v>
      </c>
      <c r="AK296" s="542" t="e">
        <f>IF(NFI_Expiration=1,IF(#REF!&lt;VLOOKUP(T$5,NFI,5,0),1,0)*Table_NFI[[#This Row],[Plastic Mat]],Table_NFI[Plastic Mat])*IF(Table_NFI[[#This Row],[Distribution Date]]&gt;"2014-04-01",1,2.5)</f>
        <v>#REF!</v>
      </c>
      <c r="AL296" s="542" t="e">
        <f>IF(NFI_Expiration=1,IF(#REF!&lt;VLOOKUP(U$5,NFI,5,0),1,0)*Table_NFI[[#This Row],[Winter Clothes Adult]],Table_NFI[Winter Clothes Adult])</f>
        <v>#REF!</v>
      </c>
      <c r="AM296" s="542"/>
      <c r="AN296" s="542"/>
      <c r="AO296" s="542"/>
      <c r="AP296" s="542">
        <f>IF(Table_NFI[[#This Row],[Winter Clothes Adult]]+Table_NFI[[#This Row],[Winter Clothes Children]]+Table_NFI[[#This Row],[Winter Items Other]]+Table_NFI[[#This Row],[Winter Blanket]]&gt;0,1,0)</f>
        <v>0</v>
      </c>
      <c r="AQ296" s="542"/>
      <c r="AR296" s="542"/>
      <c r="AS296" s="542"/>
      <c r="AT296" s="205" t="str">
        <f>IFERROR(VLOOKUP(Table_NFI[[#This Row],[Location]],CL,2,0),"")</f>
        <v>MMR001CMP006</v>
      </c>
      <c r="AU296" s="183"/>
    </row>
    <row r="297" spans="2:47" x14ac:dyDescent="0.25">
      <c r="B297" s="540">
        <v>43248</v>
      </c>
      <c r="C297" s="540" t="str">
        <f>MONTH(Table_NFI[[#This Row],[Distribution Date]]) &amp; "/" &amp; YEAR(Table_NFI[[#This Row],[Distribution Date]])</f>
        <v>5/2018</v>
      </c>
      <c r="D297" s="198" t="s">
        <v>1635</v>
      </c>
      <c r="E297" s="198" t="s">
        <v>424</v>
      </c>
      <c r="F297" s="198" t="s">
        <v>378</v>
      </c>
      <c r="G297" s="197" t="s">
        <v>237</v>
      </c>
      <c r="H297" s="219" t="s">
        <v>268</v>
      </c>
      <c r="I297" s="183"/>
      <c r="J297" s="541"/>
      <c r="K297" s="541"/>
      <c r="L297" s="541">
        <v>1</v>
      </c>
      <c r="M297" s="541"/>
      <c r="N297" s="541"/>
      <c r="O297" s="541"/>
      <c r="P297" s="541"/>
      <c r="Q297" s="541"/>
      <c r="R297" s="541"/>
      <c r="S297" s="541"/>
      <c r="T297" s="541"/>
      <c r="U297" s="541"/>
      <c r="V297" s="541"/>
      <c r="W297" s="541"/>
      <c r="X297" s="541"/>
      <c r="Y297" s="541"/>
      <c r="Z297" s="541"/>
      <c r="AA297" s="541"/>
      <c r="AB297" s="541"/>
      <c r="AC297" s="542" t="e">
        <f>IF(NFI_Expiration=1,IF(#REF!&lt;VLOOKUP(L$5,NFI,5,0),1,0)*Table_NFI[[#This Row],[NFI Core Kit]],Table_NFI[NFI Core Kit])</f>
        <v>#REF!</v>
      </c>
      <c r="AD297" s="542" t="e">
        <f>IF(NFI_Expiration=1,IF(#REF!&lt;VLOOKUP(M$5,NFI,5,0),1,0)*Table_NFI[[#This Row],[Sanitary Kit]],Table_NFI[Sanitary Kit])</f>
        <v>#REF!</v>
      </c>
      <c r="AE297" s="542" t="e">
        <f>IF(NFI_Expiration=1,IF(#REF!&lt;VLOOKUP(N$5,NFI,5,0),1,0)*Table_NFI[[#This Row],[Mosquito net]],Table_NFI[Mosquito net])</f>
        <v>#REF!</v>
      </c>
      <c r="AF297" s="542" t="e">
        <f>IF(NFI_Expiration=1,IF(#REF!&lt;VLOOKUP(O$5,NFI,5,0),1,0)*Table_NFI[[#This Row],[Tarpaulin]],Table_NFI[[#This Row],[Tarpaulin]])</f>
        <v>#REF!</v>
      </c>
      <c r="AG297" s="542" t="e">
        <f>IF(NFI_Expiration=1,IF(#REF!&lt;VLOOKUP(P$5,NFI,5,0),1,0)*Table_NFI[[#This Row],[Blanket]],Table_NFI[[#This Row],[Blanket]])</f>
        <v>#REF!</v>
      </c>
      <c r="AH297" s="542" t="e">
        <f>IF(NFI_Expiration=1,IF(#REF!&lt;VLOOKUP(Q$5,NFI,5,0),1,0)*Table_NFI[[#This Row],[Kitchen Set]],Table_NFI[Kitchen Set])</f>
        <v>#REF!</v>
      </c>
      <c r="AI297" s="542" t="e">
        <f>IF(NFI_Expiration=1,IF(#REF!&lt;VLOOKUP(R$5,NFI,5,0),1,0)*Table_NFI[[#This Row],[Clothes Kit]],Table_NFI[Clothes Kit])</f>
        <v>#REF!</v>
      </c>
      <c r="AJ297" s="542" t="e">
        <f>IF(NFI_Expiration=1,IF(#REF!&lt;VLOOKUP(S$5,NFI,5,0),1,0)*Table_NFI[[#This Row],[Plastic Bucket]],Table_NFI[Plastic Bucket])</f>
        <v>#REF!</v>
      </c>
      <c r="AK297" s="542" t="e">
        <f>IF(NFI_Expiration=1,IF(#REF!&lt;VLOOKUP(T$5,NFI,5,0),1,0)*Table_NFI[[#This Row],[Plastic Mat]],Table_NFI[Plastic Mat])*IF(Table_NFI[[#This Row],[Distribution Date]]&gt;"2014-04-01",1,2.5)</f>
        <v>#REF!</v>
      </c>
      <c r="AL297" s="542" t="e">
        <f>IF(NFI_Expiration=1,IF(#REF!&lt;VLOOKUP(U$5,NFI,5,0),1,0)*Table_NFI[[#This Row],[Winter Clothes Adult]],Table_NFI[Winter Clothes Adult])</f>
        <v>#REF!</v>
      </c>
      <c r="AM297" s="542"/>
      <c r="AN297" s="542"/>
      <c r="AO297" s="542"/>
      <c r="AP297" s="542">
        <f>IF(Table_NFI[[#This Row],[Winter Clothes Adult]]+Table_NFI[[#This Row],[Winter Clothes Children]]+Table_NFI[[#This Row],[Winter Items Other]]+Table_NFI[[#This Row],[Winter Blanket]]&gt;0,1,0)</f>
        <v>0</v>
      </c>
      <c r="AQ297" s="542"/>
      <c r="AR297" s="542"/>
      <c r="AS297" s="542"/>
      <c r="AT297" s="205" t="str">
        <f>IFERROR(VLOOKUP(Table_NFI[[#This Row],[Location]],CL,2,0),"")</f>
        <v>MMR001CMP002</v>
      </c>
      <c r="AU297" s="183"/>
    </row>
    <row r="298" spans="2:47" x14ac:dyDescent="0.25">
      <c r="B298" s="540">
        <v>43249</v>
      </c>
      <c r="C298" s="540" t="str">
        <f>MONTH(Table_NFI[[#This Row],[Distribution Date]]) &amp; "/" &amp; YEAR(Table_NFI[[#This Row],[Distribution Date]])</f>
        <v>5/2018</v>
      </c>
      <c r="D298" s="198" t="s">
        <v>1635</v>
      </c>
      <c r="E298" s="198" t="s">
        <v>424</v>
      </c>
      <c r="F298" s="198" t="s">
        <v>378</v>
      </c>
      <c r="G298" s="197" t="s">
        <v>480</v>
      </c>
      <c r="H298" s="219" t="s">
        <v>1157</v>
      </c>
      <c r="I298" s="183"/>
      <c r="J298" s="541"/>
      <c r="K298" s="541"/>
      <c r="L298" s="541">
        <v>2</v>
      </c>
      <c r="M298" s="541"/>
      <c r="N298" s="541"/>
      <c r="O298" s="541"/>
      <c r="P298" s="541"/>
      <c r="Q298" s="541"/>
      <c r="R298" s="541"/>
      <c r="S298" s="541"/>
      <c r="T298" s="541"/>
      <c r="U298" s="541"/>
      <c r="V298" s="541"/>
      <c r="W298" s="541"/>
      <c r="X298" s="541"/>
      <c r="Y298" s="541"/>
      <c r="Z298" s="541"/>
      <c r="AA298" s="541"/>
      <c r="AB298" s="541"/>
      <c r="AC298" s="542" t="e">
        <f>IF(NFI_Expiration=1,IF(#REF!&lt;VLOOKUP(L$5,NFI,5,0),1,0)*Table_NFI[[#This Row],[NFI Core Kit]],Table_NFI[NFI Core Kit])</f>
        <v>#REF!</v>
      </c>
      <c r="AD298" s="542" t="e">
        <f>IF(NFI_Expiration=1,IF(#REF!&lt;VLOOKUP(M$5,NFI,5,0),1,0)*Table_NFI[[#This Row],[Sanitary Kit]],Table_NFI[Sanitary Kit])</f>
        <v>#REF!</v>
      </c>
      <c r="AE298" s="542" t="e">
        <f>IF(NFI_Expiration=1,IF(#REF!&lt;VLOOKUP(N$5,NFI,5,0),1,0)*Table_NFI[[#This Row],[Mosquito net]],Table_NFI[Mosquito net])</f>
        <v>#REF!</v>
      </c>
      <c r="AF298" s="542" t="e">
        <f>IF(NFI_Expiration=1,IF(#REF!&lt;VLOOKUP(O$5,NFI,5,0),1,0)*Table_NFI[[#This Row],[Tarpaulin]],Table_NFI[[#This Row],[Tarpaulin]])</f>
        <v>#REF!</v>
      </c>
      <c r="AG298" s="542" t="e">
        <f>IF(NFI_Expiration=1,IF(#REF!&lt;VLOOKUP(P$5,NFI,5,0),1,0)*Table_NFI[[#This Row],[Blanket]],Table_NFI[[#This Row],[Blanket]])</f>
        <v>#REF!</v>
      </c>
      <c r="AH298" s="542" t="e">
        <f>IF(NFI_Expiration=1,IF(#REF!&lt;VLOOKUP(Q$5,NFI,5,0),1,0)*Table_NFI[[#This Row],[Kitchen Set]],Table_NFI[Kitchen Set])</f>
        <v>#REF!</v>
      </c>
      <c r="AI298" s="542" t="e">
        <f>IF(NFI_Expiration=1,IF(#REF!&lt;VLOOKUP(R$5,NFI,5,0),1,0)*Table_NFI[[#This Row],[Clothes Kit]],Table_NFI[Clothes Kit])</f>
        <v>#REF!</v>
      </c>
      <c r="AJ298" s="542" t="e">
        <f>IF(NFI_Expiration=1,IF(#REF!&lt;VLOOKUP(S$5,NFI,5,0),1,0)*Table_NFI[[#This Row],[Plastic Bucket]],Table_NFI[Plastic Bucket])</f>
        <v>#REF!</v>
      </c>
      <c r="AK298" s="542" t="e">
        <f>IF(NFI_Expiration=1,IF(#REF!&lt;VLOOKUP(T$5,NFI,5,0),1,0)*Table_NFI[[#This Row],[Plastic Mat]],Table_NFI[Plastic Mat])*IF(Table_NFI[[#This Row],[Distribution Date]]&gt;"2014-04-01",1,2.5)</f>
        <v>#REF!</v>
      </c>
      <c r="AL298" s="542" t="e">
        <f>IF(NFI_Expiration=1,IF(#REF!&lt;VLOOKUP(U$5,NFI,5,0),1,0)*Table_NFI[[#This Row],[Winter Clothes Adult]],Table_NFI[Winter Clothes Adult])</f>
        <v>#REF!</v>
      </c>
      <c r="AM298" s="542"/>
      <c r="AN298" s="542"/>
      <c r="AO298" s="542"/>
      <c r="AP298" s="542">
        <f>IF(Table_NFI[[#This Row],[Winter Clothes Adult]]+Table_NFI[[#This Row],[Winter Clothes Children]]+Table_NFI[[#This Row],[Winter Items Other]]+Table_NFI[[#This Row],[Winter Blanket]]&gt;0,1,0)</f>
        <v>0</v>
      </c>
      <c r="AQ298" s="542"/>
      <c r="AR298" s="542"/>
      <c r="AS298" s="542"/>
      <c r="AT298" s="205" t="str">
        <f>IFERROR(VLOOKUP(Table_NFI[[#This Row],[Location]],CL,2,0),"")</f>
        <v>MMR001CMP244</v>
      </c>
      <c r="AU298" s="183"/>
    </row>
    <row r="299" spans="2:47" x14ac:dyDescent="0.25">
      <c r="B299" s="540">
        <v>43256</v>
      </c>
      <c r="C299" s="540" t="str">
        <f>MONTH(Table_NFI[[#This Row],[Distribution Date]]) &amp; "/" &amp; YEAR(Table_NFI[[#This Row],[Distribution Date]])</f>
        <v>6/2018</v>
      </c>
      <c r="D299" s="198" t="s">
        <v>420</v>
      </c>
      <c r="E299" s="198" t="s">
        <v>462</v>
      </c>
      <c r="F299" s="198" t="s">
        <v>378</v>
      </c>
      <c r="G299" s="197" t="s">
        <v>237</v>
      </c>
      <c r="H299" s="219" t="s">
        <v>264</v>
      </c>
      <c r="I299" s="183"/>
      <c r="J299" s="541"/>
      <c r="K299" s="541"/>
      <c r="L299" s="541">
        <v>5</v>
      </c>
      <c r="M299" s="541"/>
      <c r="N299" s="541">
        <v>15</v>
      </c>
      <c r="O299" s="541">
        <v>5</v>
      </c>
      <c r="P299" s="541">
        <v>15</v>
      </c>
      <c r="Q299" s="541">
        <v>5</v>
      </c>
      <c r="R299" s="541"/>
      <c r="S299" s="541">
        <v>4</v>
      </c>
      <c r="T299" s="541">
        <v>27</v>
      </c>
      <c r="U299" s="541"/>
      <c r="V299" s="541"/>
      <c r="W299" s="541"/>
      <c r="X299" s="541"/>
      <c r="Y299" s="541"/>
      <c r="Z299" s="541"/>
      <c r="AA299" s="541"/>
      <c r="AB299" s="541"/>
      <c r="AC299" s="542" t="e">
        <f>IF(NFI_Expiration=1,IF(#REF!&lt;VLOOKUP(L$5,NFI,5,0),1,0)*Table_NFI[[#This Row],[NFI Core Kit]],Table_NFI[NFI Core Kit])</f>
        <v>#REF!</v>
      </c>
      <c r="AD299" s="542" t="e">
        <f>IF(NFI_Expiration=1,IF(#REF!&lt;VLOOKUP(M$5,NFI,5,0),1,0)*Table_NFI[[#This Row],[Sanitary Kit]],Table_NFI[Sanitary Kit])</f>
        <v>#REF!</v>
      </c>
      <c r="AE299" s="542" t="e">
        <f>IF(NFI_Expiration=1,IF(#REF!&lt;VLOOKUP(N$5,NFI,5,0),1,0)*Table_NFI[[#This Row],[Mosquito net]],Table_NFI[Mosquito net])</f>
        <v>#REF!</v>
      </c>
      <c r="AF299" s="542" t="e">
        <f>IF(NFI_Expiration=1,IF(#REF!&lt;VLOOKUP(O$5,NFI,5,0),1,0)*Table_NFI[[#This Row],[Tarpaulin]],Table_NFI[[#This Row],[Tarpaulin]])</f>
        <v>#REF!</v>
      </c>
      <c r="AG299" s="542" t="e">
        <f>IF(NFI_Expiration=1,IF(#REF!&lt;VLOOKUP(P$5,NFI,5,0),1,0)*Table_NFI[[#This Row],[Blanket]],Table_NFI[[#This Row],[Blanket]])</f>
        <v>#REF!</v>
      </c>
      <c r="AH299" s="542" t="e">
        <f>IF(NFI_Expiration=1,IF(#REF!&lt;VLOOKUP(Q$5,NFI,5,0),1,0)*Table_NFI[[#This Row],[Kitchen Set]],Table_NFI[Kitchen Set])</f>
        <v>#REF!</v>
      </c>
      <c r="AI299" s="542" t="e">
        <f>IF(NFI_Expiration=1,IF(#REF!&lt;VLOOKUP(R$5,NFI,5,0),1,0)*Table_NFI[[#This Row],[Clothes Kit]],Table_NFI[Clothes Kit])</f>
        <v>#REF!</v>
      </c>
      <c r="AJ299" s="542" t="e">
        <f>IF(NFI_Expiration=1,IF(#REF!&lt;VLOOKUP(S$5,NFI,5,0),1,0)*Table_NFI[[#This Row],[Plastic Bucket]],Table_NFI[Plastic Bucket])</f>
        <v>#REF!</v>
      </c>
      <c r="AK299" s="542" t="e">
        <f>IF(NFI_Expiration=1,IF(#REF!&lt;VLOOKUP(T$5,NFI,5,0),1,0)*Table_NFI[[#This Row],[Plastic Mat]],Table_NFI[Plastic Mat])*IF(Table_NFI[[#This Row],[Distribution Date]]&gt;"2014-04-01",1,2.5)</f>
        <v>#REF!</v>
      </c>
      <c r="AL299" s="542" t="e">
        <f>IF(NFI_Expiration=1,IF(#REF!&lt;VLOOKUP(U$5,NFI,5,0),1,0)*Table_NFI[[#This Row],[Winter Clothes Adult]],Table_NFI[Winter Clothes Adult])</f>
        <v>#REF!</v>
      </c>
      <c r="AM299" s="542"/>
      <c r="AN299" s="542"/>
      <c r="AO299" s="542"/>
      <c r="AP299" s="542">
        <f>IF(Table_NFI[[#This Row],[Winter Clothes Adult]]+Table_NFI[[#This Row],[Winter Clothes Children]]+Table_NFI[[#This Row],[Winter Items Other]]+Table_NFI[[#This Row],[Winter Blanket]]&gt;0,1,0)</f>
        <v>0</v>
      </c>
      <c r="AQ299" s="542"/>
      <c r="AR299" s="542"/>
      <c r="AS299" s="542"/>
      <c r="AT299" s="205" t="str">
        <f>IFERROR(VLOOKUP(Table_NFI[[#This Row],[Location]],CL,2,0),"")</f>
        <v>MMR001CMP021</v>
      </c>
      <c r="AU299" s="183"/>
    </row>
    <row r="300" spans="2:47" x14ac:dyDescent="0.25">
      <c r="B300" s="540">
        <v>43256</v>
      </c>
      <c r="C300" s="540" t="str">
        <f>MONTH(Table_NFI[[#This Row],[Distribution Date]]) &amp; "/" &amp; YEAR(Table_NFI[[#This Row],[Distribution Date]])</f>
        <v>6/2018</v>
      </c>
      <c r="D300" s="198" t="s">
        <v>420</v>
      </c>
      <c r="E300" s="198" t="s">
        <v>462</v>
      </c>
      <c r="F300" s="198" t="s">
        <v>378</v>
      </c>
      <c r="G300" s="197" t="s">
        <v>309</v>
      </c>
      <c r="H300" s="219" t="s">
        <v>317</v>
      </c>
      <c r="I300" s="183"/>
      <c r="J300" s="541"/>
      <c r="K300" s="541"/>
      <c r="L300" s="541">
        <v>4</v>
      </c>
      <c r="M300" s="541"/>
      <c r="N300" s="541">
        <v>13</v>
      </c>
      <c r="O300" s="541">
        <v>4</v>
      </c>
      <c r="P300" s="541">
        <v>13</v>
      </c>
      <c r="Q300" s="541">
        <v>4</v>
      </c>
      <c r="R300" s="541"/>
      <c r="S300" s="541">
        <v>6</v>
      </c>
      <c r="T300" s="541">
        <v>21</v>
      </c>
      <c r="U300" s="541"/>
      <c r="V300" s="541"/>
      <c r="W300" s="541"/>
      <c r="X300" s="541"/>
      <c r="Y300" s="541"/>
      <c r="Z300" s="541"/>
      <c r="AA300" s="541"/>
      <c r="AB300" s="541"/>
      <c r="AC300" s="542" t="e">
        <f>IF(NFI_Expiration=1,IF(#REF!&lt;VLOOKUP(L$5,NFI,5,0),1,0)*Table_NFI[[#This Row],[NFI Core Kit]],Table_NFI[NFI Core Kit])</f>
        <v>#REF!</v>
      </c>
      <c r="AD300" s="542" t="e">
        <f>IF(NFI_Expiration=1,IF(#REF!&lt;VLOOKUP(M$5,NFI,5,0),1,0)*Table_NFI[[#This Row],[Sanitary Kit]],Table_NFI[Sanitary Kit])</f>
        <v>#REF!</v>
      </c>
      <c r="AE300" s="542" t="e">
        <f>IF(NFI_Expiration=1,IF(#REF!&lt;VLOOKUP(N$5,NFI,5,0),1,0)*Table_NFI[[#This Row],[Mosquito net]],Table_NFI[Mosquito net])</f>
        <v>#REF!</v>
      </c>
      <c r="AF300" s="542" t="e">
        <f>IF(NFI_Expiration=1,IF(#REF!&lt;VLOOKUP(O$5,NFI,5,0),1,0)*Table_NFI[[#This Row],[Tarpaulin]],Table_NFI[[#This Row],[Tarpaulin]])</f>
        <v>#REF!</v>
      </c>
      <c r="AG300" s="542" t="e">
        <f>IF(NFI_Expiration=1,IF(#REF!&lt;VLOOKUP(P$5,NFI,5,0),1,0)*Table_NFI[[#This Row],[Blanket]],Table_NFI[[#This Row],[Blanket]])</f>
        <v>#REF!</v>
      </c>
      <c r="AH300" s="542" t="e">
        <f>IF(NFI_Expiration=1,IF(#REF!&lt;VLOOKUP(Q$5,NFI,5,0),1,0)*Table_NFI[[#This Row],[Kitchen Set]],Table_NFI[Kitchen Set])</f>
        <v>#REF!</v>
      </c>
      <c r="AI300" s="542" t="e">
        <f>IF(NFI_Expiration=1,IF(#REF!&lt;VLOOKUP(R$5,NFI,5,0),1,0)*Table_NFI[[#This Row],[Clothes Kit]],Table_NFI[Clothes Kit])</f>
        <v>#REF!</v>
      </c>
      <c r="AJ300" s="542" t="e">
        <f>IF(NFI_Expiration=1,IF(#REF!&lt;VLOOKUP(S$5,NFI,5,0),1,0)*Table_NFI[[#This Row],[Plastic Bucket]],Table_NFI[Plastic Bucket])</f>
        <v>#REF!</v>
      </c>
      <c r="AK300" s="542" t="e">
        <f>IF(NFI_Expiration=1,IF(#REF!&lt;VLOOKUP(T$5,NFI,5,0),1,0)*Table_NFI[[#This Row],[Plastic Mat]],Table_NFI[Plastic Mat])*IF(Table_NFI[[#This Row],[Distribution Date]]&gt;"2014-04-01",1,2.5)</f>
        <v>#REF!</v>
      </c>
      <c r="AL300" s="542" t="e">
        <f>IF(NFI_Expiration=1,IF(#REF!&lt;VLOOKUP(U$5,NFI,5,0),1,0)*Table_NFI[[#This Row],[Winter Clothes Adult]],Table_NFI[Winter Clothes Adult])</f>
        <v>#REF!</v>
      </c>
      <c r="AM300" s="542"/>
      <c r="AN300" s="542"/>
      <c r="AO300" s="542"/>
      <c r="AP300" s="542">
        <f>IF(Table_NFI[[#This Row],[Winter Clothes Adult]]+Table_NFI[[#This Row],[Winter Clothes Children]]+Table_NFI[[#This Row],[Winter Items Other]]+Table_NFI[[#This Row],[Winter Blanket]]&gt;0,1,0)</f>
        <v>0</v>
      </c>
      <c r="AQ300" s="542"/>
      <c r="AR300" s="542"/>
      <c r="AS300" s="542"/>
      <c r="AT300" s="205" t="str">
        <f>IFERROR(VLOOKUP(Table_NFI[[#This Row],[Location]],CL,2,0),"")</f>
        <v>MMR001CMP032</v>
      </c>
      <c r="AU300" s="183"/>
    </row>
    <row r="301" spans="2:47" x14ac:dyDescent="0.25">
      <c r="B301" s="540">
        <v>43256</v>
      </c>
      <c r="C301" s="540" t="str">
        <f>MONTH(Table_NFI[[#This Row],[Distribution Date]]) &amp; "/" &amp; YEAR(Table_NFI[[#This Row],[Distribution Date]])</f>
        <v>6/2018</v>
      </c>
      <c r="D301" s="198" t="s">
        <v>420</v>
      </c>
      <c r="E301" s="198" t="s">
        <v>462</v>
      </c>
      <c r="F301" s="198" t="s">
        <v>378</v>
      </c>
      <c r="G301" s="197" t="s">
        <v>309</v>
      </c>
      <c r="H301" s="219" t="s">
        <v>327</v>
      </c>
      <c r="I301" s="183"/>
      <c r="J301" s="541"/>
      <c r="K301" s="541"/>
      <c r="L301" s="541">
        <v>5</v>
      </c>
      <c r="M301" s="541"/>
      <c r="N301" s="541">
        <v>15</v>
      </c>
      <c r="O301" s="541">
        <v>5</v>
      </c>
      <c r="P301" s="541">
        <v>15</v>
      </c>
      <c r="Q301" s="541">
        <v>5</v>
      </c>
      <c r="R301" s="541"/>
      <c r="S301" s="541">
        <v>5</v>
      </c>
      <c r="T301" s="541">
        <v>28</v>
      </c>
      <c r="U301" s="541"/>
      <c r="V301" s="541"/>
      <c r="W301" s="541"/>
      <c r="X301" s="541"/>
      <c r="Y301" s="541"/>
      <c r="Z301" s="541"/>
      <c r="AA301" s="541"/>
      <c r="AB301" s="541"/>
      <c r="AC301" s="542" t="e">
        <f>IF(NFI_Expiration=1,IF(#REF!&lt;VLOOKUP(L$5,NFI,5,0),1,0)*Table_NFI[[#This Row],[NFI Core Kit]],Table_NFI[NFI Core Kit])</f>
        <v>#REF!</v>
      </c>
      <c r="AD301" s="542" t="e">
        <f>IF(NFI_Expiration=1,IF(#REF!&lt;VLOOKUP(M$5,NFI,5,0),1,0)*Table_NFI[[#This Row],[Sanitary Kit]],Table_NFI[Sanitary Kit])</f>
        <v>#REF!</v>
      </c>
      <c r="AE301" s="542" t="e">
        <f>IF(NFI_Expiration=1,IF(#REF!&lt;VLOOKUP(N$5,NFI,5,0),1,0)*Table_NFI[[#This Row],[Mosquito net]],Table_NFI[Mosquito net])</f>
        <v>#REF!</v>
      </c>
      <c r="AF301" s="542" t="e">
        <f>IF(NFI_Expiration=1,IF(#REF!&lt;VLOOKUP(O$5,NFI,5,0),1,0)*Table_NFI[[#This Row],[Tarpaulin]],Table_NFI[[#This Row],[Tarpaulin]])</f>
        <v>#REF!</v>
      </c>
      <c r="AG301" s="542" t="e">
        <f>IF(NFI_Expiration=1,IF(#REF!&lt;VLOOKUP(P$5,NFI,5,0),1,0)*Table_NFI[[#This Row],[Blanket]],Table_NFI[[#This Row],[Blanket]])</f>
        <v>#REF!</v>
      </c>
      <c r="AH301" s="542" t="e">
        <f>IF(NFI_Expiration=1,IF(#REF!&lt;VLOOKUP(Q$5,NFI,5,0),1,0)*Table_NFI[[#This Row],[Kitchen Set]],Table_NFI[Kitchen Set])</f>
        <v>#REF!</v>
      </c>
      <c r="AI301" s="542" t="e">
        <f>IF(NFI_Expiration=1,IF(#REF!&lt;VLOOKUP(R$5,NFI,5,0),1,0)*Table_NFI[[#This Row],[Clothes Kit]],Table_NFI[Clothes Kit])</f>
        <v>#REF!</v>
      </c>
      <c r="AJ301" s="542" t="e">
        <f>IF(NFI_Expiration=1,IF(#REF!&lt;VLOOKUP(S$5,NFI,5,0),1,0)*Table_NFI[[#This Row],[Plastic Bucket]],Table_NFI[Plastic Bucket])</f>
        <v>#REF!</v>
      </c>
      <c r="AK301" s="542" t="e">
        <f>IF(NFI_Expiration=1,IF(#REF!&lt;VLOOKUP(T$5,NFI,5,0),1,0)*Table_NFI[[#This Row],[Plastic Mat]],Table_NFI[Plastic Mat])*IF(Table_NFI[[#This Row],[Distribution Date]]&gt;"2014-04-01",1,2.5)</f>
        <v>#REF!</v>
      </c>
      <c r="AL301" s="542" t="e">
        <f>IF(NFI_Expiration=1,IF(#REF!&lt;VLOOKUP(U$5,NFI,5,0),1,0)*Table_NFI[[#This Row],[Winter Clothes Adult]],Table_NFI[Winter Clothes Adult])</f>
        <v>#REF!</v>
      </c>
      <c r="AM301" s="542"/>
      <c r="AN301" s="542"/>
      <c r="AO301" s="542"/>
      <c r="AP301" s="542">
        <f>IF(Table_NFI[[#This Row],[Winter Clothes Adult]]+Table_NFI[[#This Row],[Winter Clothes Children]]+Table_NFI[[#This Row],[Winter Items Other]]+Table_NFI[[#This Row],[Winter Blanket]]&gt;0,1,0)</f>
        <v>0</v>
      </c>
      <c r="AQ301" s="542"/>
      <c r="AR301" s="542"/>
      <c r="AS301" s="542"/>
      <c r="AT301" s="205" t="str">
        <f>IFERROR(VLOOKUP(Table_NFI[[#This Row],[Location]],CL,2,0),"")</f>
        <v>MMR001CMP031</v>
      </c>
      <c r="AU301" s="183"/>
    </row>
    <row r="302" spans="2:47" x14ac:dyDescent="0.25">
      <c r="B302" s="540">
        <v>43256</v>
      </c>
      <c r="C302" s="540" t="str">
        <f>MONTH(Table_NFI[[#This Row],[Distribution Date]]) &amp; "/" &amp; YEAR(Table_NFI[[#This Row],[Distribution Date]])</f>
        <v>6/2018</v>
      </c>
      <c r="D302" s="198" t="s">
        <v>420</v>
      </c>
      <c r="E302" s="198" t="s">
        <v>462</v>
      </c>
      <c r="F302" s="198" t="s">
        <v>378</v>
      </c>
      <c r="G302" s="197" t="s">
        <v>309</v>
      </c>
      <c r="H302" s="219" t="s">
        <v>315</v>
      </c>
      <c r="I302" s="183"/>
      <c r="J302" s="541"/>
      <c r="K302" s="541"/>
      <c r="L302" s="541">
        <v>1</v>
      </c>
      <c r="M302" s="541"/>
      <c r="N302" s="541">
        <v>4</v>
      </c>
      <c r="O302" s="541">
        <v>1</v>
      </c>
      <c r="P302" s="541">
        <v>4</v>
      </c>
      <c r="Q302" s="541">
        <v>1</v>
      </c>
      <c r="R302" s="541"/>
      <c r="S302" s="541">
        <v>1</v>
      </c>
      <c r="T302" s="541">
        <v>8</v>
      </c>
      <c r="U302" s="541"/>
      <c r="V302" s="541"/>
      <c r="W302" s="541"/>
      <c r="X302" s="541"/>
      <c r="Y302" s="541"/>
      <c r="Z302" s="541"/>
      <c r="AA302" s="541"/>
      <c r="AB302" s="541"/>
      <c r="AC302" s="542" t="e">
        <f>IF(NFI_Expiration=1,IF(#REF!&lt;VLOOKUP(L$5,NFI,5,0),1,0)*Table_NFI[[#This Row],[NFI Core Kit]],Table_NFI[NFI Core Kit])</f>
        <v>#REF!</v>
      </c>
      <c r="AD302" s="542" t="e">
        <f>IF(NFI_Expiration=1,IF(#REF!&lt;VLOOKUP(M$5,NFI,5,0),1,0)*Table_NFI[[#This Row],[Sanitary Kit]],Table_NFI[Sanitary Kit])</f>
        <v>#REF!</v>
      </c>
      <c r="AE302" s="542" t="e">
        <f>IF(NFI_Expiration=1,IF(#REF!&lt;VLOOKUP(N$5,NFI,5,0),1,0)*Table_NFI[[#This Row],[Mosquito net]],Table_NFI[Mosquito net])</f>
        <v>#REF!</v>
      </c>
      <c r="AF302" s="542" t="e">
        <f>IF(NFI_Expiration=1,IF(#REF!&lt;VLOOKUP(O$5,NFI,5,0),1,0)*Table_NFI[[#This Row],[Tarpaulin]],Table_NFI[[#This Row],[Tarpaulin]])</f>
        <v>#REF!</v>
      </c>
      <c r="AG302" s="542" t="e">
        <f>IF(NFI_Expiration=1,IF(#REF!&lt;VLOOKUP(P$5,NFI,5,0),1,0)*Table_NFI[[#This Row],[Blanket]],Table_NFI[[#This Row],[Blanket]])</f>
        <v>#REF!</v>
      </c>
      <c r="AH302" s="542" t="e">
        <f>IF(NFI_Expiration=1,IF(#REF!&lt;VLOOKUP(Q$5,NFI,5,0),1,0)*Table_NFI[[#This Row],[Kitchen Set]],Table_NFI[Kitchen Set])</f>
        <v>#REF!</v>
      </c>
      <c r="AI302" s="542" t="e">
        <f>IF(NFI_Expiration=1,IF(#REF!&lt;VLOOKUP(R$5,NFI,5,0),1,0)*Table_NFI[[#This Row],[Clothes Kit]],Table_NFI[Clothes Kit])</f>
        <v>#REF!</v>
      </c>
      <c r="AJ302" s="542" t="e">
        <f>IF(NFI_Expiration=1,IF(#REF!&lt;VLOOKUP(S$5,NFI,5,0),1,0)*Table_NFI[[#This Row],[Plastic Bucket]],Table_NFI[Plastic Bucket])</f>
        <v>#REF!</v>
      </c>
      <c r="AK302" s="542" t="e">
        <f>IF(NFI_Expiration=1,IF(#REF!&lt;VLOOKUP(T$5,NFI,5,0),1,0)*Table_NFI[[#This Row],[Plastic Mat]],Table_NFI[Plastic Mat])*IF(Table_NFI[[#This Row],[Distribution Date]]&gt;"2014-04-01",1,2.5)</f>
        <v>#REF!</v>
      </c>
      <c r="AL302" s="542" t="e">
        <f>IF(NFI_Expiration=1,IF(#REF!&lt;VLOOKUP(U$5,NFI,5,0),1,0)*Table_NFI[[#This Row],[Winter Clothes Adult]],Table_NFI[Winter Clothes Adult])</f>
        <v>#REF!</v>
      </c>
      <c r="AM302" s="542"/>
      <c r="AN302" s="542"/>
      <c r="AO302" s="542"/>
      <c r="AP302" s="542">
        <f>IF(Table_NFI[[#This Row],[Winter Clothes Adult]]+Table_NFI[[#This Row],[Winter Clothes Children]]+Table_NFI[[#This Row],[Winter Items Other]]+Table_NFI[[#This Row],[Winter Blanket]]&gt;0,1,0)</f>
        <v>0</v>
      </c>
      <c r="AQ302" s="542"/>
      <c r="AR302" s="542"/>
      <c r="AS302" s="542"/>
      <c r="AT302" s="205" t="str">
        <f>IFERROR(VLOOKUP(Table_NFI[[#This Row],[Location]],CL,2,0),"")</f>
        <v>MMR001CMP038</v>
      </c>
      <c r="AU302" s="183"/>
    </row>
    <row r="303" spans="2:47" x14ac:dyDescent="0.25">
      <c r="B303" s="540">
        <v>43270</v>
      </c>
      <c r="C303" s="540" t="str">
        <f>MONTH(Table_NFI[[#This Row],[Distribution Date]]) &amp; "/" &amp; YEAR(Table_NFI[[#This Row],[Distribution Date]])</f>
        <v>6/2018</v>
      </c>
      <c r="D303" s="198" t="s">
        <v>420</v>
      </c>
      <c r="E303" s="198" t="s">
        <v>462</v>
      </c>
      <c r="F303" s="198" t="s">
        <v>378</v>
      </c>
      <c r="G303" s="197" t="s">
        <v>480</v>
      </c>
      <c r="H303" s="219" t="s">
        <v>41</v>
      </c>
      <c r="I303" s="183"/>
      <c r="J303" s="541"/>
      <c r="K303" s="541"/>
      <c r="L303" s="541"/>
      <c r="M303" s="541"/>
      <c r="N303" s="541"/>
      <c r="O303" s="541"/>
      <c r="P303" s="541"/>
      <c r="Q303" s="541"/>
      <c r="R303" s="541"/>
      <c r="S303" s="541"/>
      <c r="T303" s="541"/>
      <c r="U303" s="541"/>
      <c r="V303" s="541"/>
      <c r="W303" s="541"/>
      <c r="X303" s="541"/>
      <c r="Y303" s="541"/>
      <c r="Z303" s="541">
        <v>19</v>
      </c>
      <c r="AA303" s="541"/>
      <c r="AB303" s="541"/>
      <c r="AC303" s="542" t="e">
        <f>IF(NFI_Expiration=1,IF(#REF!&lt;VLOOKUP(L$5,NFI,5,0),1,0)*Table_NFI[[#This Row],[NFI Core Kit]],Table_NFI[NFI Core Kit])</f>
        <v>#REF!</v>
      </c>
      <c r="AD303" s="542" t="e">
        <f>IF(NFI_Expiration=1,IF(#REF!&lt;VLOOKUP(M$5,NFI,5,0),1,0)*Table_NFI[[#This Row],[Sanitary Kit]],Table_NFI[Sanitary Kit])</f>
        <v>#REF!</v>
      </c>
      <c r="AE303" s="542" t="e">
        <f>IF(NFI_Expiration=1,IF(#REF!&lt;VLOOKUP(N$5,NFI,5,0),1,0)*Table_NFI[[#This Row],[Mosquito net]],Table_NFI[Mosquito net])</f>
        <v>#REF!</v>
      </c>
      <c r="AF303" s="542" t="e">
        <f>IF(NFI_Expiration=1,IF(#REF!&lt;VLOOKUP(O$5,NFI,5,0),1,0)*Table_NFI[[#This Row],[Tarpaulin]],Table_NFI[[#This Row],[Tarpaulin]])</f>
        <v>#REF!</v>
      </c>
      <c r="AG303" s="542" t="e">
        <f>IF(NFI_Expiration=1,IF(#REF!&lt;VLOOKUP(P$5,NFI,5,0),1,0)*Table_NFI[[#This Row],[Blanket]],Table_NFI[[#This Row],[Blanket]])</f>
        <v>#REF!</v>
      </c>
      <c r="AH303" s="542" t="e">
        <f>IF(NFI_Expiration=1,IF(#REF!&lt;VLOOKUP(Q$5,NFI,5,0),1,0)*Table_NFI[[#This Row],[Kitchen Set]],Table_NFI[Kitchen Set])</f>
        <v>#REF!</v>
      </c>
      <c r="AI303" s="542" t="e">
        <f>IF(NFI_Expiration=1,IF(#REF!&lt;VLOOKUP(R$5,NFI,5,0),1,0)*Table_NFI[[#This Row],[Clothes Kit]],Table_NFI[Clothes Kit])</f>
        <v>#REF!</v>
      </c>
      <c r="AJ303" s="542" t="e">
        <f>IF(NFI_Expiration=1,IF(#REF!&lt;VLOOKUP(S$5,NFI,5,0),1,0)*Table_NFI[[#This Row],[Plastic Bucket]],Table_NFI[Plastic Bucket])</f>
        <v>#REF!</v>
      </c>
      <c r="AK303" s="542" t="e">
        <f>IF(NFI_Expiration=1,IF(#REF!&lt;VLOOKUP(T$5,NFI,5,0),1,0)*Table_NFI[[#This Row],[Plastic Mat]],Table_NFI[Plastic Mat])*IF(Table_NFI[[#This Row],[Distribution Date]]&gt;"2014-04-01",1,2.5)</f>
        <v>#REF!</v>
      </c>
      <c r="AL303" s="542" t="e">
        <f>IF(NFI_Expiration=1,IF(#REF!&lt;VLOOKUP(U$5,NFI,5,0),1,0)*Table_NFI[[#This Row],[Winter Clothes Adult]],Table_NFI[Winter Clothes Adult])</f>
        <v>#REF!</v>
      </c>
      <c r="AM303" s="542"/>
      <c r="AN303" s="542"/>
      <c r="AO303" s="542"/>
      <c r="AP303" s="542">
        <f>IF(Table_NFI[[#This Row],[Winter Clothes Adult]]+Table_NFI[[#This Row],[Winter Clothes Children]]+Table_NFI[[#This Row],[Winter Items Other]]+Table_NFI[[#This Row],[Winter Blanket]]&gt;0,1,0)</f>
        <v>0</v>
      </c>
      <c r="AQ303" s="542"/>
      <c r="AR303" s="542"/>
      <c r="AS303" s="542"/>
      <c r="AT303" s="205" t="str">
        <f>IFERROR(VLOOKUP(Table_NFI[[#This Row],[Location]],CL,2,0),"")</f>
        <v>MMR001CMP176</v>
      </c>
      <c r="AU303" s="183"/>
    </row>
    <row r="304" spans="2:47" x14ac:dyDescent="0.25">
      <c r="B304" s="540">
        <v>43270</v>
      </c>
      <c r="C304" s="540" t="str">
        <f>MONTH(Table_NFI[[#This Row],[Distribution Date]]) &amp; "/" &amp; YEAR(Table_NFI[[#This Row],[Distribution Date]])</f>
        <v>6/2018</v>
      </c>
      <c r="D304" s="198" t="s">
        <v>420</v>
      </c>
      <c r="E304" s="198" t="s">
        <v>462</v>
      </c>
      <c r="F304" s="198" t="s">
        <v>378</v>
      </c>
      <c r="G304" s="197" t="s">
        <v>480</v>
      </c>
      <c r="H304" s="219" t="s">
        <v>92</v>
      </c>
      <c r="I304" s="183"/>
      <c r="J304" s="541"/>
      <c r="K304" s="541"/>
      <c r="L304" s="541"/>
      <c r="M304" s="541"/>
      <c r="N304" s="541"/>
      <c r="O304" s="541"/>
      <c r="P304" s="541"/>
      <c r="Q304" s="541"/>
      <c r="R304" s="541"/>
      <c r="S304" s="541"/>
      <c r="T304" s="541"/>
      <c r="U304" s="541"/>
      <c r="V304" s="541"/>
      <c r="W304" s="541"/>
      <c r="X304" s="541"/>
      <c r="Y304" s="541"/>
      <c r="Z304" s="541">
        <v>12</v>
      </c>
      <c r="AA304" s="541"/>
      <c r="AB304" s="541"/>
      <c r="AC304" s="542" t="e">
        <f>IF(NFI_Expiration=1,IF(#REF!&lt;VLOOKUP(L$5,NFI,5,0),1,0)*Table_NFI[[#This Row],[NFI Core Kit]],Table_NFI[NFI Core Kit])</f>
        <v>#REF!</v>
      </c>
      <c r="AD304" s="542" t="e">
        <f>IF(NFI_Expiration=1,IF(#REF!&lt;VLOOKUP(M$5,NFI,5,0),1,0)*Table_NFI[[#This Row],[Sanitary Kit]],Table_NFI[Sanitary Kit])</f>
        <v>#REF!</v>
      </c>
      <c r="AE304" s="542" t="e">
        <f>IF(NFI_Expiration=1,IF(#REF!&lt;VLOOKUP(N$5,NFI,5,0),1,0)*Table_NFI[[#This Row],[Mosquito net]],Table_NFI[Mosquito net])</f>
        <v>#REF!</v>
      </c>
      <c r="AF304" s="542" t="e">
        <f>IF(NFI_Expiration=1,IF(#REF!&lt;VLOOKUP(O$5,NFI,5,0),1,0)*Table_NFI[[#This Row],[Tarpaulin]],Table_NFI[[#This Row],[Tarpaulin]])</f>
        <v>#REF!</v>
      </c>
      <c r="AG304" s="542" t="e">
        <f>IF(NFI_Expiration=1,IF(#REF!&lt;VLOOKUP(P$5,NFI,5,0),1,0)*Table_NFI[[#This Row],[Blanket]],Table_NFI[[#This Row],[Blanket]])</f>
        <v>#REF!</v>
      </c>
      <c r="AH304" s="542" t="e">
        <f>IF(NFI_Expiration=1,IF(#REF!&lt;VLOOKUP(Q$5,NFI,5,0),1,0)*Table_NFI[[#This Row],[Kitchen Set]],Table_NFI[Kitchen Set])</f>
        <v>#REF!</v>
      </c>
      <c r="AI304" s="542" t="e">
        <f>IF(NFI_Expiration=1,IF(#REF!&lt;VLOOKUP(R$5,NFI,5,0),1,0)*Table_NFI[[#This Row],[Clothes Kit]],Table_NFI[Clothes Kit])</f>
        <v>#REF!</v>
      </c>
      <c r="AJ304" s="542" t="e">
        <f>IF(NFI_Expiration=1,IF(#REF!&lt;VLOOKUP(S$5,NFI,5,0),1,0)*Table_NFI[[#This Row],[Plastic Bucket]],Table_NFI[Plastic Bucket])</f>
        <v>#REF!</v>
      </c>
      <c r="AK304" s="542" t="e">
        <f>IF(NFI_Expiration=1,IF(#REF!&lt;VLOOKUP(T$5,NFI,5,0),1,0)*Table_NFI[[#This Row],[Plastic Mat]],Table_NFI[Plastic Mat])*IF(Table_NFI[[#This Row],[Distribution Date]]&gt;"2014-04-01",1,2.5)</f>
        <v>#REF!</v>
      </c>
      <c r="AL304" s="542" t="e">
        <f>IF(NFI_Expiration=1,IF(#REF!&lt;VLOOKUP(U$5,NFI,5,0),1,0)*Table_NFI[[#This Row],[Winter Clothes Adult]],Table_NFI[Winter Clothes Adult])</f>
        <v>#REF!</v>
      </c>
      <c r="AM304" s="542"/>
      <c r="AN304" s="542"/>
      <c r="AO304" s="542"/>
      <c r="AP304" s="542">
        <f>IF(Table_NFI[[#This Row],[Winter Clothes Adult]]+Table_NFI[[#This Row],[Winter Clothes Children]]+Table_NFI[[#This Row],[Winter Items Other]]+Table_NFI[[#This Row],[Winter Blanket]]&gt;0,1,0)</f>
        <v>0</v>
      </c>
      <c r="AQ304" s="542"/>
      <c r="AR304" s="542"/>
      <c r="AS304" s="542"/>
      <c r="AT304" s="205" t="str">
        <f>IFERROR(VLOOKUP(Table_NFI[[#This Row],[Location]],CL,2,0),"")</f>
        <v>MMR001CMP167</v>
      </c>
      <c r="AU304" s="183"/>
    </row>
    <row r="305" spans="2:47" x14ac:dyDescent="0.25">
      <c r="B305" s="540">
        <v>43270</v>
      </c>
      <c r="C305" s="540" t="str">
        <f>MONTH(Table_NFI[[#This Row],[Distribution Date]]) &amp; "/" &amp; YEAR(Table_NFI[[#This Row],[Distribution Date]])</f>
        <v>6/2018</v>
      </c>
      <c r="D305" s="198" t="s">
        <v>420</v>
      </c>
      <c r="E305" s="198" t="s">
        <v>462</v>
      </c>
      <c r="F305" s="198" t="s">
        <v>378</v>
      </c>
      <c r="G305" s="197" t="s">
        <v>480</v>
      </c>
      <c r="H305" s="219" t="s">
        <v>551</v>
      </c>
      <c r="I305" s="183"/>
      <c r="J305" s="541"/>
      <c r="K305" s="541"/>
      <c r="L305" s="541"/>
      <c r="M305" s="541"/>
      <c r="N305" s="541"/>
      <c r="O305" s="541"/>
      <c r="P305" s="541"/>
      <c r="Q305" s="541"/>
      <c r="R305" s="541"/>
      <c r="S305" s="541"/>
      <c r="T305" s="541"/>
      <c r="U305" s="541"/>
      <c r="V305" s="541"/>
      <c r="W305" s="541"/>
      <c r="X305" s="541"/>
      <c r="Y305" s="541"/>
      <c r="Z305" s="541">
        <v>9</v>
      </c>
      <c r="AA305" s="541"/>
      <c r="AB305" s="541"/>
      <c r="AC305" s="542" t="e">
        <f>IF(NFI_Expiration=1,IF(#REF!&lt;VLOOKUP(L$5,NFI,5,0),1,0)*Table_NFI[[#This Row],[NFI Core Kit]],Table_NFI[NFI Core Kit])</f>
        <v>#REF!</v>
      </c>
      <c r="AD305" s="542" t="e">
        <f>IF(NFI_Expiration=1,IF(#REF!&lt;VLOOKUP(M$5,NFI,5,0),1,0)*Table_NFI[[#This Row],[Sanitary Kit]],Table_NFI[Sanitary Kit])</f>
        <v>#REF!</v>
      </c>
      <c r="AE305" s="542" t="e">
        <f>IF(NFI_Expiration=1,IF(#REF!&lt;VLOOKUP(N$5,NFI,5,0),1,0)*Table_NFI[[#This Row],[Mosquito net]],Table_NFI[Mosquito net])</f>
        <v>#REF!</v>
      </c>
      <c r="AF305" s="542" t="e">
        <f>IF(NFI_Expiration=1,IF(#REF!&lt;VLOOKUP(O$5,NFI,5,0),1,0)*Table_NFI[[#This Row],[Tarpaulin]],Table_NFI[[#This Row],[Tarpaulin]])</f>
        <v>#REF!</v>
      </c>
      <c r="AG305" s="542" t="e">
        <f>IF(NFI_Expiration=1,IF(#REF!&lt;VLOOKUP(P$5,NFI,5,0),1,0)*Table_NFI[[#This Row],[Blanket]],Table_NFI[[#This Row],[Blanket]])</f>
        <v>#REF!</v>
      </c>
      <c r="AH305" s="542" t="e">
        <f>IF(NFI_Expiration=1,IF(#REF!&lt;VLOOKUP(Q$5,NFI,5,0),1,0)*Table_NFI[[#This Row],[Kitchen Set]],Table_NFI[Kitchen Set])</f>
        <v>#REF!</v>
      </c>
      <c r="AI305" s="542" t="e">
        <f>IF(NFI_Expiration=1,IF(#REF!&lt;VLOOKUP(R$5,NFI,5,0),1,0)*Table_NFI[[#This Row],[Clothes Kit]],Table_NFI[Clothes Kit])</f>
        <v>#REF!</v>
      </c>
      <c r="AJ305" s="542" t="e">
        <f>IF(NFI_Expiration=1,IF(#REF!&lt;VLOOKUP(S$5,NFI,5,0),1,0)*Table_NFI[[#This Row],[Plastic Bucket]],Table_NFI[Plastic Bucket])</f>
        <v>#REF!</v>
      </c>
      <c r="AK305" s="542" t="e">
        <f>IF(NFI_Expiration=1,IF(#REF!&lt;VLOOKUP(T$5,NFI,5,0),1,0)*Table_NFI[[#This Row],[Plastic Mat]],Table_NFI[Plastic Mat])*IF(Table_NFI[[#This Row],[Distribution Date]]&gt;"2014-04-01",1,2.5)</f>
        <v>#REF!</v>
      </c>
      <c r="AL305" s="542" t="e">
        <f>IF(NFI_Expiration=1,IF(#REF!&lt;VLOOKUP(U$5,NFI,5,0),1,0)*Table_NFI[[#This Row],[Winter Clothes Adult]],Table_NFI[Winter Clothes Adult])</f>
        <v>#REF!</v>
      </c>
      <c r="AM305" s="542"/>
      <c r="AN305" s="542"/>
      <c r="AO305" s="542"/>
      <c r="AP305" s="542">
        <f>IF(Table_NFI[[#This Row],[Winter Clothes Adult]]+Table_NFI[[#This Row],[Winter Clothes Children]]+Table_NFI[[#This Row],[Winter Items Other]]+Table_NFI[[#This Row],[Winter Blanket]]&gt;0,1,0)</f>
        <v>0</v>
      </c>
      <c r="AQ305" s="542"/>
      <c r="AR305" s="542"/>
      <c r="AS305" s="542"/>
      <c r="AT305" s="205" t="str">
        <f>IFERROR(VLOOKUP(Table_NFI[[#This Row],[Location]],CL,2,0),"")</f>
        <v>MMR001CMP192</v>
      </c>
      <c r="AU305" s="183"/>
    </row>
    <row r="306" spans="2:47" x14ac:dyDescent="0.25">
      <c r="B306" s="540">
        <v>43270</v>
      </c>
      <c r="C306" s="540" t="str">
        <f>MONTH(Table_NFI[[#This Row],[Distribution Date]]) &amp; "/" &amp; YEAR(Table_NFI[[#This Row],[Distribution Date]])</f>
        <v>6/2018</v>
      </c>
      <c r="D306" s="198" t="s">
        <v>420</v>
      </c>
      <c r="E306" s="198" t="s">
        <v>462</v>
      </c>
      <c r="F306" s="198" t="s">
        <v>378</v>
      </c>
      <c r="G306" s="197" t="s">
        <v>480</v>
      </c>
      <c r="H306" s="219" t="s">
        <v>43</v>
      </c>
      <c r="I306" s="183"/>
      <c r="J306" s="541"/>
      <c r="K306" s="541"/>
      <c r="L306" s="541"/>
      <c r="M306" s="541"/>
      <c r="N306" s="541"/>
      <c r="O306" s="541"/>
      <c r="P306" s="541"/>
      <c r="Q306" s="541"/>
      <c r="R306" s="541"/>
      <c r="S306" s="541"/>
      <c r="T306" s="541"/>
      <c r="U306" s="541"/>
      <c r="V306" s="541"/>
      <c r="W306" s="541"/>
      <c r="X306" s="541"/>
      <c r="Y306" s="541"/>
      <c r="Z306" s="541">
        <v>12</v>
      </c>
      <c r="AA306" s="541"/>
      <c r="AB306" s="541"/>
      <c r="AC306" s="542" t="e">
        <f>IF(NFI_Expiration=1,IF(#REF!&lt;VLOOKUP(L$5,NFI,5,0),1,0)*Table_NFI[[#This Row],[NFI Core Kit]],Table_NFI[NFI Core Kit])</f>
        <v>#REF!</v>
      </c>
      <c r="AD306" s="542" t="e">
        <f>IF(NFI_Expiration=1,IF(#REF!&lt;VLOOKUP(M$5,NFI,5,0),1,0)*Table_NFI[[#This Row],[Sanitary Kit]],Table_NFI[Sanitary Kit])</f>
        <v>#REF!</v>
      </c>
      <c r="AE306" s="542" t="e">
        <f>IF(NFI_Expiration=1,IF(#REF!&lt;VLOOKUP(N$5,NFI,5,0),1,0)*Table_NFI[[#This Row],[Mosquito net]],Table_NFI[Mosquito net])</f>
        <v>#REF!</v>
      </c>
      <c r="AF306" s="542" t="e">
        <f>IF(NFI_Expiration=1,IF(#REF!&lt;VLOOKUP(O$5,NFI,5,0),1,0)*Table_NFI[[#This Row],[Tarpaulin]],Table_NFI[[#This Row],[Tarpaulin]])</f>
        <v>#REF!</v>
      </c>
      <c r="AG306" s="542" t="e">
        <f>IF(NFI_Expiration=1,IF(#REF!&lt;VLOOKUP(P$5,NFI,5,0),1,0)*Table_NFI[[#This Row],[Blanket]],Table_NFI[[#This Row],[Blanket]])</f>
        <v>#REF!</v>
      </c>
      <c r="AH306" s="542" t="e">
        <f>IF(NFI_Expiration=1,IF(#REF!&lt;VLOOKUP(Q$5,NFI,5,0),1,0)*Table_NFI[[#This Row],[Kitchen Set]],Table_NFI[Kitchen Set])</f>
        <v>#REF!</v>
      </c>
      <c r="AI306" s="542" t="e">
        <f>IF(NFI_Expiration=1,IF(#REF!&lt;VLOOKUP(R$5,NFI,5,0),1,0)*Table_NFI[[#This Row],[Clothes Kit]],Table_NFI[Clothes Kit])</f>
        <v>#REF!</v>
      </c>
      <c r="AJ306" s="542" t="e">
        <f>IF(NFI_Expiration=1,IF(#REF!&lt;VLOOKUP(S$5,NFI,5,0),1,0)*Table_NFI[[#This Row],[Plastic Bucket]],Table_NFI[Plastic Bucket])</f>
        <v>#REF!</v>
      </c>
      <c r="AK306" s="542" t="e">
        <f>IF(NFI_Expiration=1,IF(#REF!&lt;VLOOKUP(T$5,NFI,5,0),1,0)*Table_NFI[[#This Row],[Plastic Mat]],Table_NFI[Plastic Mat])*IF(Table_NFI[[#This Row],[Distribution Date]]&gt;"2014-04-01",1,2.5)</f>
        <v>#REF!</v>
      </c>
      <c r="AL306" s="542" t="e">
        <f>IF(NFI_Expiration=1,IF(#REF!&lt;VLOOKUP(U$5,NFI,5,0),1,0)*Table_NFI[[#This Row],[Winter Clothes Adult]],Table_NFI[Winter Clothes Adult])</f>
        <v>#REF!</v>
      </c>
      <c r="AM306" s="542"/>
      <c r="AN306" s="542"/>
      <c r="AO306" s="542"/>
      <c r="AP306" s="542">
        <f>IF(Table_NFI[[#This Row],[Winter Clothes Adult]]+Table_NFI[[#This Row],[Winter Clothes Children]]+Table_NFI[[#This Row],[Winter Items Other]]+Table_NFI[[#This Row],[Winter Blanket]]&gt;0,1,0)</f>
        <v>0</v>
      </c>
      <c r="AQ306" s="542"/>
      <c r="AR306" s="542"/>
      <c r="AS306" s="542"/>
      <c r="AT306" s="205" t="str">
        <f>IFERROR(VLOOKUP(Table_NFI[[#This Row],[Location]],CL,2,0),"")</f>
        <v>MMR001CMP190</v>
      </c>
      <c r="AU306" s="183"/>
    </row>
    <row r="307" spans="2:47" x14ac:dyDescent="0.25">
      <c r="B307" s="540">
        <v>43270</v>
      </c>
      <c r="C307" s="540" t="str">
        <f>MONTH(Table_NFI[[#This Row],[Distribution Date]]) &amp; "/" &amp; YEAR(Table_NFI[[#This Row],[Distribution Date]])</f>
        <v>6/2018</v>
      </c>
      <c r="D307" s="198" t="s">
        <v>420</v>
      </c>
      <c r="E307" s="198" t="s">
        <v>462</v>
      </c>
      <c r="F307" s="198" t="s">
        <v>378</v>
      </c>
      <c r="G307" s="197" t="s">
        <v>309</v>
      </c>
      <c r="H307" s="219" t="s">
        <v>317</v>
      </c>
      <c r="I307" s="183"/>
      <c r="J307" s="541"/>
      <c r="K307" s="541"/>
      <c r="L307" s="541"/>
      <c r="M307" s="541"/>
      <c r="N307" s="541"/>
      <c r="O307" s="541"/>
      <c r="P307" s="541"/>
      <c r="Q307" s="541"/>
      <c r="R307" s="541"/>
      <c r="S307" s="541"/>
      <c r="T307" s="541"/>
      <c r="U307" s="541"/>
      <c r="V307" s="541"/>
      <c r="W307" s="541"/>
      <c r="X307" s="541"/>
      <c r="Y307" s="541"/>
      <c r="Z307" s="541">
        <v>20</v>
      </c>
      <c r="AA307" s="541"/>
      <c r="AB307" s="541"/>
      <c r="AC307" s="542" t="e">
        <f>IF(NFI_Expiration=1,IF(#REF!&lt;VLOOKUP(L$5,NFI,5,0),1,0)*Table_NFI[[#This Row],[NFI Core Kit]],Table_NFI[NFI Core Kit])</f>
        <v>#REF!</v>
      </c>
      <c r="AD307" s="542" t="e">
        <f>IF(NFI_Expiration=1,IF(#REF!&lt;VLOOKUP(M$5,NFI,5,0),1,0)*Table_NFI[[#This Row],[Sanitary Kit]],Table_NFI[Sanitary Kit])</f>
        <v>#REF!</v>
      </c>
      <c r="AE307" s="542" t="e">
        <f>IF(NFI_Expiration=1,IF(#REF!&lt;VLOOKUP(N$5,NFI,5,0),1,0)*Table_NFI[[#This Row],[Mosquito net]],Table_NFI[Mosquito net])</f>
        <v>#REF!</v>
      </c>
      <c r="AF307" s="542" t="e">
        <f>IF(NFI_Expiration=1,IF(#REF!&lt;VLOOKUP(O$5,NFI,5,0),1,0)*Table_NFI[[#This Row],[Tarpaulin]],Table_NFI[[#This Row],[Tarpaulin]])</f>
        <v>#REF!</v>
      </c>
      <c r="AG307" s="542" t="e">
        <f>IF(NFI_Expiration=1,IF(#REF!&lt;VLOOKUP(P$5,NFI,5,0),1,0)*Table_NFI[[#This Row],[Blanket]],Table_NFI[[#This Row],[Blanket]])</f>
        <v>#REF!</v>
      </c>
      <c r="AH307" s="542" t="e">
        <f>IF(NFI_Expiration=1,IF(#REF!&lt;VLOOKUP(Q$5,NFI,5,0),1,0)*Table_NFI[[#This Row],[Kitchen Set]],Table_NFI[Kitchen Set])</f>
        <v>#REF!</v>
      </c>
      <c r="AI307" s="542" t="e">
        <f>IF(NFI_Expiration=1,IF(#REF!&lt;VLOOKUP(R$5,NFI,5,0),1,0)*Table_NFI[[#This Row],[Clothes Kit]],Table_NFI[Clothes Kit])</f>
        <v>#REF!</v>
      </c>
      <c r="AJ307" s="542" t="e">
        <f>IF(NFI_Expiration=1,IF(#REF!&lt;VLOOKUP(S$5,NFI,5,0),1,0)*Table_NFI[[#This Row],[Plastic Bucket]],Table_NFI[Plastic Bucket])</f>
        <v>#REF!</v>
      </c>
      <c r="AK307" s="542" t="e">
        <f>IF(NFI_Expiration=1,IF(#REF!&lt;VLOOKUP(T$5,NFI,5,0),1,0)*Table_NFI[[#This Row],[Plastic Mat]],Table_NFI[Plastic Mat])*IF(Table_NFI[[#This Row],[Distribution Date]]&gt;"2014-04-01",1,2.5)</f>
        <v>#REF!</v>
      </c>
      <c r="AL307" s="542" t="e">
        <f>IF(NFI_Expiration=1,IF(#REF!&lt;VLOOKUP(U$5,NFI,5,0),1,0)*Table_NFI[[#This Row],[Winter Clothes Adult]],Table_NFI[Winter Clothes Adult])</f>
        <v>#REF!</v>
      </c>
      <c r="AM307" s="542"/>
      <c r="AN307" s="542"/>
      <c r="AO307" s="542"/>
      <c r="AP307" s="542">
        <f>IF(Table_NFI[[#This Row],[Winter Clothes Adult]]+Table_NFI[[#This Row],[Winter Clothes Children]]+Table_NFI[[#This Row],[Winter Items Other]]+Table_NFI[[#This Row],[Winter Blanket]]&gt;0,1,0)</f>
        <v>0</v>
      </c>
      <c r="AQ307" s="542"/>
      <c r="AR307" s="542"/>
      <c r="AS307" s="542"/>
      <c r="AT307" s="205" t="str">
        <f>IFERROR(VLOOKUP(Table_NFI[[#This Row],[Location]],CL,2,0),"")</f>
        <v>MMR001CMP032</v>
      </c>
      <c r="AU307" s="183"/>
    </row>
    <row r="308" spans="2:47" ht="30" x14ac:dyDescent="0.25">
      <c r="B308" s="540">
        <v>43270</v>
      </c>
      <c r="C308" s="540" t="str">
        <f>MONTH(Table_NFI[[#This Row],[Distribution Date]]) &amp; "/" &amp; YEAR(Table_NFI[[#This Row],[Distribution Date]])</f>
        <v>6/2018</v>
      </c>
      <c r="D308" s="198" t="s">
        <v>420</v>
      </c>
      <c r="E308" s="198" t="s">
        <v>462</v>
      </c>
      <c r="F308" s="198" t="s">
        <v>378</v>
      </c>
      <c r="G308" s="197" t="s">
        <v>480</v>
      </c>
      <c r="H308" s="219" t="s">
        <v>76</v>
      </c>
      <c r="I308" s="183"/>
      <c r="J308" s="541"/>
      <c r="K308" s="541"/>
      <c r="L308" s="541"/>
      <c r="M308" s="541"/>
      <c r="N308" s="541"/>
      <c r="O308" s="541"/>
      <c r="P308" s="541"/>
      <c r="Q308" s="541"/>
      <c r="R308" s="541"/>
      <c r="S308" s="541"/>
      <c r="T308" s="541"/>
      <c r="U308" s="541"/>
      <c r="V308" s="541"/>
      <c r="W308" s="541"/>
      <c r="X308" s="541"/>
      <c r="Y308" s="541"/>
      <c r="Z308" s="541">
        <v>43</v>
      </c>
      <c r="AA308" s="541"/>
      <c r="AB308" s="541"/>
      <c r="AC308" s="542" t="e">
        <f>IF(NFI_Expiration=1,IF(#REF!&lt;VLOOKUP(L$5,NFI,5,0),1,0)*Table_NFI[[#This Row],[NFI Core Kit]],Table_NFI[NFI Core Kit])</f>
        <v>#REF!</v>
      </c>
      <c r="AD308" s="542" t="e">
        <f>IF(NFI_Expiration=1,IF(#REF!&lt;VLOOKUP(M$5,NFI,5,0),1,0)*Table_NFI[[#This Row],[Sanitary Kit]],Table_NFI[Sanitary Kit])</f>
        <v>#REF!</v>
      </c>
      <c r="AE308" s="542" t="e">
        <f>IF(NFI_Expiration=1,IF(#REF!&lt;VLOOKUP(N$5,NFI,5,0),1,0)*Table_NFI[[#This Row],[Mosquito net]],Table_NFI[Mosquito net])</f>
        <v>#REF!</v>
      </c>
      <c r="AF308" s="542" t="e">
        <f>IF(NFI_Expiration=1,IF(#REF!&lt;VLOOKUP(O$5,NFI,5,0),1,0)*Table_NFI[[#This Row],[Tarpaulin]],Table_NFI[[#This Row],[Tarpaulin]])</f>
        <v>#REF!</v>
      </c>
      <c r="AG308" s="542" t="e">
        <f>IF(NFI_Expiration=1,IF(#REF!&lt;VLOOKUP(P$5,NFI,5,0),1,0)*Table_NFI[[#This Row],[Blanket]],Table_NFI[[#This Row],[Blanket]])</f>
        <v>#REF!</v>
      </c>
      <c r="AH308" s="542" t="e">
        <f>IF(NFI_Expiration=1,IF(#REF!&lt;VLOOKUP(Q$5,NFI,5,0),1,0)*Table_NFI[[#This Row],[Kitchen Set]],Table_NFI[Kitchen Set])</f>
        <v>#REF!</v>
      </c>
      <c r="AI308" s="542" t="e">
        <f>IF(NFI_Expiration=1,IF(#REF!&lt;VLOOKUP(R$5,NFI,5,0),1,0)*Table_NFI[[#This Row],[Clothes Kit]],Table_NFI[Clothes Kit])</f>
        <v>#REF!</v>
      </c>
      <c r="AJ308" s="542" t="e">
        <f>IF(NFI_Expiration=1,IF(#REF!&lt;VLOOKUP(S$5,NFI,5,0),1,0)*Table_NFI[[#This Row],[Plastic Bucket]],Table_NFI[Plastic Bucket])</f>
        <v>#REF!</v>
      </c>
      <c r="AK308" s="542" t="e">
        <f>IF(NFI_Expiration=1,IF(#REF!&lt;VLOOKUP(T$5,NFI,5,0),1,0)*Table_NFI[[#This Row],[Plastic Mat]],Table_NFI[Plastic Mat])*IF(Table_NFI[[#This Row],[Distribution Date]]&gt;"2014-04-01",1,2.5)</f>
        <v>#REF!</v>
      </c>
      <c r="AL308" s="542" t="e">
        <f>IF(NFI_Expiration=1,IF(#REF!&lt;VLOOKUP(U$5,NFI,5,0),1,0)*Table_NFI[[#This Row],[Winter Clothes Adult]],Table_NFI[Winter Clothes Adult])</f>
        <v>#REF!</v>
      </c>
      <c r="AM308" s="542"/>
      <c r="AN308" s="542"/>
      <c r="AO308" s="542"/>
      <c r="AP308" s="542">
        <f>IF(Table_NFI[[#This Row],[Winter Clothes Adult]]+Table_NFI[[#This Row],[Winter Clothes Children]]+Table_NFI[[#This Row],[Winter Items Other]]+Table_NFI[[#This Row],[Winter Blanket]]&gt;0,1,0)</f>
        <v>0</v>
      </c>
      <c r="AQ308" s="542"/>
      <c r="AR308" s="542"/>
      <c r="AS308" s="542"/>
      <c r="AT308" s="205" t="str">
        <f>IFERROR(VLOOKUP(Table_NFI[[#This Row],[Location]],CL,2,0),"")</f>
        <v>MMR001CMP174</v>
      </c>
      <c r="AU308" s="183"/>
    </row>
    <row r="309" spans="2:47" x14ac:dyDescent="0.25">
      <c r="B309" s="540">
        <v>43270</v>
      </c>
      <c r="C309" s="540" t="str">
        <f>MONTH(Table_NFI[[#This Row],[Distribution Date]]) &amp; "/" &amp; YEAR(Table_NFI[[#This Row],[Distribution Date]])</f>
        <v>6/2018</v>
      </c>
      <c r="D309" s="198" t="s">
        <v>420</v>
      </c>
      <c r="E309" s="198" t="s">
        <v>462</v>
      </c>
      <c r="F309" s="198" t="s">
        <v>378</v>
      </c>
      <c r="G309" s="197" t="s">
        <v>5</v>
      </c>
      <c r="H309" s="219" t="s">
        <v>26</v>
      </c>
      <c r="I309" s="183"/>
      <c r="J309" s="541"/>
      <c r="K309" s="541"/>
      <c r="L309" s="541"/>
      <c r="M309" s="541"/>
      <c r="N309" s="541"/>
      <c r="O309" s="541"/>
      <c r="P309" s="541"/>
      <c r="Q309" s="541"/>
      <c r="R309" s="541"/>
      <c r="S309" s="541"/>
      <c r="T309" s="541"/>
      <c r="U309" s="541"/>
      <c r="V309" s="541"/>
      <c r="W309" s="541"/>
      <c r="X309" s="541"/>
      <c r="Y309" s="541"/>
      <c r="Z309" s="541">
        <v>13</v>
      </c>
      <c r="AA309" s="541"/>
      <c r="AB309" s="541"/>
      <c r="AC309" s="542" t="e">
        <f>IF(NFI_Expiration=1,IF(#REF!&lt;VLOOKUP(L$5,NFI,5,0),1,0)*Table_NFI[[#This Row],[NFI Core Kit]],Table_NFI[NFI Core Kit])</f>
        <v>#REF!</v>
      </c>
      <c r="AD309" s="542" t="e">
        <f>IF(NFI_Expiration=1,IF(#REF!&lt;VLOOKUP(M$5,NFI,5,0),1,0)*Table_NFI[[#This Row],[Sanitary Kit]],Table_NFI[Sanitary Kit])</f>
        <v>#REF!</v>
      </c>
      <c r="AE309" s="542" t="e">
        <f>IF(NFI_Expiration=1,IF(#REF!&lt;VLOOKUP(N$5,NFI,5,0),1,0)*Table_NFI[[#This Row],[Mosquito net]],Table_NFI[Mosquito net])</f>
        <v>#REF!</v>
      </c>
      <c r="AF309" s="542" t="e">
        <f>IF(NFI_Expiration=1,IF(#REF!&lt;VLOOKUP(O$5,NFI,5,0),1,0)*Table_NFI[[#This Row],[Tarpaulin]],Table_NFI[[#This Row],[Tarpaulin]])</f>
        <v>#REF!</v>
      </c>
      <c r="AG309" s="542" t="e">
        <f>IF(NFI_Expiration=1,IF(#REF!&lt;VLOOKUP(P$5,NFI,5,0),1,0)*Table_NFI[[#This Row],[Blanket]],Table_NFI[[#This Row],[Blanket]])</f>
        <v>#REF!</v>
      </c>
      <c r="AH309" s="542" t="e">
        <f>IF(NFI_Expiration=1,IF(#REF!&lt;VLOOKUP(Q$5,NFI,5,0),1,0)*Table_NFI[[#This Row],[Kitchen Set]],Table_NFI[Kitchen Set])</f>
        <v>#REF!</v>
      </c>
      <c r="AI309" s="542" t="e">
        <f>IF(NFI_Expiration=1,IF(#REF!&lt;VLOOKUP(R$5,NFI,5,0),1,0)*Table_NFI[[#This Row],[Clothes Kit]],Table_NFI[Clothes Kit])</f>
        <v>#REF!</v>
      </c>
      <c r="AJ309" s="542" t="e">
        <f>IF(NFI_Expiration=1,IF(#REF!&lt;VLOOKUP(S$5,NFI,5,0),1,0)*Table_NFI[[#This Row],[Plastic Bucket]],Table_NFI[Plastic Bucket])</f>
        <v>#REF!</v>
      </c>
      <c r="AK309" s="542" t="e">
        <f>IF(NFI_Expiration=1,IF(#REF!&lt;VLOOKUP(T$5,NFI,5,0),1,0)*Table_NFI[[#This Row],[Plastic Mat]],Table_NFI[Plastic Mat])*IF(Table_NFI[[#This Row],[Distribution Date]]&gt;"2014-04-01",1,2.5)</f>
        <v>#REF!</v>
      </c>
      <c r="AL309" s="542" t="e">
        <f>IF(NFI_Expiration=1,IF(#REF!&lt;VLOOKUP(U$5,NFI,5,0),1,0)*Table_NFI[[#This Row],[Winter Clothes Adult]],Table_NFI[Winter Clothes Adult])</f>
        <v>#REF!</v>
      </c>
      <c r="AM309" s="542"/>
      <c r="AN309" s="542"/>
      <c r="AO309" s="542"/>
      <c r="AP309" s="542">
        <f>IF(Table_NFI[[#This Row],[Winter Clothes Adult]]+Table_NFI[[#This Row],[Winter Clothes Children]]+Table_NFI[[#This Row],[Winter Items Other]]+Table_NFI[[#This Row],[Winter Blanket]]&gt;0,1,0)</f>
        <v>0</v>
      </c>
      <c r="AQ309" s="542"/>
      <c r="AR309" s="542"/>
      <c r="AS309" s="542"/>
      <c r="AT309" s="205" t="str">
        <f>IFERROR(VLOOKUP(Table_NFI[[#This Row],[Location]],CL,2,0),"")</f>
        <v>MMR001CMP053</v>
      </c>
      <c r="AU309" s="183"/>
    </row>
    <row r="310" spans="2:47" x14ac:dyDescent="0.25">
      <c r="B310" s="540">
        <v>43252</v>
      </c>
      <c r="C310" s="540" t="str">
        <f>MONTH(Table_NFI[[#This Row],[Distribution Date]]) &amp; "/" &amp; YEAR(Table_NFI[[#This Row],[Distribution Date]])</f>
        <v>6/2018</v>
      </c>
      <c r="D310" s="198" t="s">
        <v>420</v>
      </c>
      <c r="E310" s="198" t="s">
        <v>462</v>
      </c>
      <c r="F310" s="198" t="s">
        <v>378</v>
      </c>
      <c r="G310" s="197" t="s">
        <v>5</v>
      </c>
      <c r="H310" s="219" t="s">
        <v>26</v>
      </c>
      <c r="I310" s="183"/>
      <c r="J310" s="541"/>
      <c r="K310" s="541"/>
      <c r="L310" s="541"/>
      <c r="M310" s="541"/>
      <c r="N310" s="541"/>
      <c r="O310" s="541">
        <v>9</v>
      </c>
      <c r="P310" s="541"/>
      <c r="Q310" s="541"/>
      <c r="R310" s="541"/>
      <c r="S310" s="541"/>
      <c r="T310" s="541"/>
      <c r="U310" s="541"/>
      <c r="V310" s="541"/>
      <c r="W310" s="541"/>
      <c r="X310" s="541"/>
      <c r="Y310" s="541"/>
      <c r="Z310" s="541"/>
      <c r="AA310" s="541"/>
      <c r="AB310" s="541"/>
      <c r="AC310" s="542" t="e">
        <f>IF(NFI_Expiration=1,IF(#REF!&lt;VLOOKUP(L$5,NFI,5,0),1,0)*Table_NFI[[#This Row],[NFI Core Kit]],Table_NFI[NFI Core Kit])</f>
        <v>#REF!</v>
      </c>
      <c r="AD310" s="542" t="e">
        <f>IF(NFI_Expiration=1,IF(#REF!&lt;VLOOKUP(M$5,NFI,5,0),1,0)*Table_NFI[[#This Row],[Sanitary Kit]],Table_NFI[Sanitary Kit])</f>
        <v>#REF!</v>
      </c>
      <c r="AE310" s="542" t="e">
        <f>IF(NFI_Expiration=1,IF(#REF!&lt;VLOOKUP(N$5,NFI,5,0),1,0)*Table_NFI[[#This Row],[Mosquito net]],Table_NFI[Mosquito net])</f>
        <v>#REF!</v>
      </c>
      <c r="AF310" s="542" t="e">
        <f>IF(NFI_Expiration=1,IF(#REF!&lt;VLOOKUP(O$5,NFI,5,0),1,0)*Table_NFI[[#This Row],[Tarpaulin]],Table_NFI[[#This Row],[Tarpaulin]])</f>
        <v>#REF!</v>
      </c>
      <c r="AG310" s="542" t="e">
        <f>IF(NFI_Expiration=1,IF(#REF!&lt;VLOOKUP(P$5,NFI,5,0),1,0)*Table_NFI[[#This Row],[Blanket]],Table_NFI[[#This Row],[Blanket]])</f>
        <v>#REF!</v>
      </c>
      <c r="AH310" s="542" t="e">
        <f>IF(NFI_Expiration=1,IF(#REF!&lt;VLOOKUP(Q$5,NFI,5,0),1,0)*Table_NFI[[#This Row],[Kitchen Set]],Table_NFI[Kitchen Set])</f>
        <v>#REF!</v>
      </c>
      <c r="AI310" s="542" t="e">
        <f>IF(NFI_Expiration=1,IF(#REF!&lt;VLOOKUP(R$5,NFI,5,0),1,0)*Table_NFI[[#This Row],[Clothes Kit]],Table_NFI[Clothes Kit])</f>
        <v>#REF!</v>
      </c>
      <c r="AJ310" s="542" t="e">
        <f>IF(NFI_Expiration=1,IF(#REF!&lt;VLOOKUP(S$5,NFI,5,0),1,0)*Table_NFI[[#This Row],[Plastic Bucket]],Table_NFI[Plastic Bucket])</f>
        <v>#REF!</v>
      </c>
      <c r="AK310" s="542" t="e">
        <f>IF(NFI_Expiration=1,IF(#REF!&lt;VLOOKUP(T$5,NFI,5,0),1,0)*Table_NFI[[#This Row],[Plastic Mat]],Table_NFI[Plastic Mat])*IF(Table_NFI[[#This Row],[Distribution Date]]&gt;"2014-04-01",1,2.5)</f>
        <v>#REF!</v>
      </c>
      <c r="AL310" s="542" t="e">
        <f>IF(NFI_Expiration=1,IF(#REF!&lt;VLOOKUP(U$5,NFI,5,0),1,0)*Table_NFI[[#This Row],[Winter Clothes Adult]],Table_NFI[Winter Clothes Adult])</f>
        <v>#REF!</v>
      </c>
      <c r="AM310" s="542"/>
      <c r="AN310" s="542"/>
      <c r="AO310" s="542"/>
      <c r="AP310" s="542">
        <f>IF(Table_NFI[[#This Row],[Winter Clothes Adult]]+Table_NFI[[#This Row],[Winter Clothes Children]]+Table_NFI[[#This Row],[Winter Items Other]]+Table_NFI[[#This Row],[Winter Blanket]]&gt;0,1,0)</f>
        <v>0</v>
      </c>
      <c r="AQ310" s="542"/>
      <c r="AR310" s="542"/>
      <c r="AS310" s="542"/>
      <c r="AT310" s="205" t="str">
        <f>IFERROR(VLOOKUP(Table_NFI[[#This Row],[Location]],CL,2,0),"")</f>
        <v>MMR001CMP053</v>
      </c>
      <c r="AU310" s="183"/>
    </row>
    <row r="311" spans="2:47" x14ac:dyDescent="0.25">
      <c r="B311" s="540">
        <v>43266</v>
      </c>
      <c r="C311" s="540" t="str">
        <f>MONTH(Table_NFI[[#This Row],[Distribution Date]]) &amp; "/" &amp; YEAR(Table_NFI[[#This Row],[Distribution Date]])</f>
        <v>6/2018</v>
      </c>
      <c r="D311" s="198" t="s">
        <v>420</v>
      </c>
      <c r="E311" s="198" t="s">
        <v>424</v>
      </c>
      <c r="F311" s="198" t="s">
        <v>378</v>
      </c>
      <c r="G311" s="197" t="s">
        <v>480</v>
      </c>
      <c r="H311" s="219" t="s">
        <v>1156</v>
      </c>
      <c r="I311" s="183"/>
      <c r="J311" s="541"/>
      <c r="K311" s="541"/>
      <c r="L311" s="541"/>
      <c r="M311" s="541"/>
      <c r="N311" s="541"/>
      <c r="O311" s="541"/>
      <c r="P311" s="541"/>
      <c r="Q311" s="541"/>
      <c r="R311" s="541"/>
      <c r="S311" s="541"/>
      <c r="T311" s="541"/>
      <c r="U311" s="541"/>
      <c r="V311" s="541"/>
      <c r="W311" s="541"/>
      <c r="X311" s="541"/>
      <c r="Y311" s="541"/>
      <c r="Z311" s="541">
        <v>15</v>
      </c>
      <c r="AA311" s="541"/>
      <c r="AB311" s="541"/>
      <c r="AC311" s="542" t="e">
        <f>IF(NFI_Expiration=1,IF(#REF!&lt;VLOOKUP(L$5,NFI,5,0),1,0)*Table_NFI[[#This Row],[NFI Core Kit]],Table_NFI[NFI Core Kit])</f>
        <v>#REF!</v>
      </c>
      <c r="AD311" s="542" t="e">
        <f>IF(NFI_Expiration=1,IF(#REF!&lt;VLOOKUP(M$5,NFI,5,0),1,0)*Table_NFI[[#This Row],[Sanitary Kit]],Table_NFI[Sanitary Kit])</f>
        <v>#REF!</v>
      </c>
      <c r="AE311" s="542" t="e">
        <f>IF(NFI_Expiration=1,IF(#REF!&lt;VLOOKUP(N$5,NFI,5,0),1,0)*Table_NFI[[#This Row],[Mosquito net]],Table_NFI[Mosquito net])</f>
        <v>#REF!</v>
      </c>
      <c r="AF311" s="542" t="e">
        <f>IF(NFI_Expiration=1,IF(#REF!&lt;VLOOKUP(O$5,NFI,5,0),1,0)*Table_NFI[[#This Row],[Tarpaulin]],Table_NFI[[#This Row],[Tarpaulin]])</f>
        <v>#REF!</v>
      </c>
      <c r="AG311" s="542" t="e">
        <f>IF(NFI_Expiration=1,IF(#REF!&lt;VLOOKUP(P$5,NFI,5,0),1,0)*Table_NFI[[#This Row],[Blanket]],Table_NFI[[#This Row],[Blanket]])</f>
        <v>#REF!</v>
      </c>
      <c r="AH311" s="542" t="e">
        <f>IF(NFI_Expiration=1,IF(#REF!&lt;VLOOKUP(Q$5,NFI,5,0),1,0)*Table_NFI[[#This Row],[Kitchen Set]],Table_NFI[Kitchen Set])</f>
        <v>#REF!</v>
      </c>
      <c r="AI311" s="542" t="e">
        <f>IF(NFI_Expiration=1,IF(#REF!&lt;VLOOKUP(R$5,NFI,5,0),1,0)*Table_NFI[[#This Row],[Clothes Kit]],Table_NFI[Clothes Kit])</f>
        <v>#REF!</v>
      </c>
      <c r="AJ311" s="542" t="e">
        <f>IF(NFI_Expiration=1,IF(#REF!&lt;VLOOKUP(S$5,NFI,5,0),1,0)*Table_NFI[[#This Row],[Plastic Bucket]],Table_NFI[Plastic Bucket])</f>
        <v>#REF!</v>
      </c>
      <c r="AK311" s="542" t="e">
        <f>IF(NFI_Expiration=1,IF(#REF!&lt;VLOOKUP(T$5,NFI,5,0),1,0)*Table_NFI[[#This Row],[Plastic Mat]],Table_NFI[Plastic Mat])*IF(Table_NFI[[#This Row],[Distribution Date]]&gt;"2014-04-01",1,2.5)</f>
        <v>#REF!</v>
      </c>
      <c r="AL311" s="542" t="e">
        <f>IF(NFI_Expiration=1,IF(#REF!&lt;VLOOKUP(U$5,NFI,5,0),1,0)*Table_NFI[[#This Row],[Winter Clothes Adult]],Table_NFI[Winter Clothes Adult])</f>
        <v>#REF!</v>
      </c>
      <c r="AM311" s="542"/>
      <c r="AN311" s="542"/>
      <c r="AO311" s="542"/>
      <c r="AP311" s="542">
        <f>IF(Table_NFI[[#This Row],[Winter Clothes Adult]]+Table_NFI[[#This Row],[Winter Clothes Children]]+Table_NFI[[#This Row],[Winter Items Other]]+Table_NFI[[#This Row],[Winter Blanket]]&gt;0,1,0)</f>
        <v>0</v>
      </c>
      <c r="AQ311" s="542"/>
      <c r="AR311" s="542"/>
      <c r="AS311" s="542"/>
      <c r="AT311" s="205" t="str">
        <f>IFERROR(VLOOKUP(Table_NFI[[#This Row],[Location]],CL,2,0),"")</f>
        <v>MMR001CMP246</v>
      </c>
      <c r="AU311" s="183"/>
    </row>
    <row r="312" spans="2:47" x14ac:dyDescent="0.25">
      <c r="B312" s="540">
        <v>43266</v>
      </c>
      <c r="C312" s="540" t="str">
        <f>MONTH(Table_NFI[[#This Row],[Distribution Date]]) &amp; "/" &amp; YEAR(Table_NFI[[#This Row],[Distribution Date]])</f>
        <v>6/2018</v>
      </c>
      <c r="D312" s="198" t="s">
        <v>420</v>
      </c>
      <c r="E312" s="198" t="s">
        <v>424</v>
      </c>
      <c r="F312" s="198" t="s">
        <v>378</v>
      </c>
      <c r="G312" s="197" t="s">
        <v>299</v>
      </c>
      <c r="H312" s="198" t="s">
        <v>1045</v>
      </c>
      <c r="I312" s="183"/>
      <c r="J312" s="541"/>
      <c r="K312" s="541"/>
      <c r="L312" s="541"/>
      <c r="M312" s="541"/>
      <c r="N312" s="541">
        <v>120</v>
      </c>
      <c r="O312" s="541"/>
      <c r="P312" s="541"/>
      <c r="Q312" s="541"/>
      <c r="R312" s="541"/>
      <c r="S312" s="541"/>
      <c r="T312" s="541"/>
      <c r="U312" s="541"/>
      <c r="V312" s="541"/>
      <c r="W312" s="541"/>
      <c r="X312" s="541"/>
      <c r="Y312" s="541"/>
      <c r="Z312" s="541">
        <v>60</v>
      </c>
      <c r="AA312" s="541"/>
      <c r="AB312" s="541"/>
      <c r="AC312" s="542" t="e">
        <f>IF(NFI_Expiration=1,IF(#REF!&lt;VLOOKUP(L$5,NFI,5,0),1,0)*Table_NFI[[#This Row],[NFI Core Kit]],Table_NFI[NFI Core Kit])</f>
        <v>#REF!</v>
      </c>
      <c r="AD312" s="542" t="e">
        <f>IF(NFI_Expiration=1,IF(#REF!&lt;VLOOKUP(M$5,NFI,5,0),1,0)*Table_NFI[[#This Row],[Sanitary Kit]],Table_NFI[Sanitary Kit])</f>
        <v>#REF!</v>
      </c>
      <c r="AE312" s="542" t="e">
        <f>IF(NFI_Expiration=1,IF(#REF!&lt;VLOOKUP(N$5,NFI,5,0),1,0)*Table_NFI[[#This Row],[Mosquito net]],Table_NFI[Mosquito net])</f>
        <v>#REF!</v>
      </c>
      <c r="AF312" s="542" t="e">
        <f>IF(NFI_Expiration=1,IF(#REF!&lt;VLOOKUP(O$5,NFI,5,0),1,0)*Table_NFI[[#This Row],[Tarpaulin]],Table_NFI[[#This Row],[Tarpaulin]])</f>
        <v>#REF!</v>
      </c>
      <c r="AG312" s="542" t="e">
        <f>IF(NFI_Expiration=1,IF(#REF!&lt;VLOOKUP(P$5,NFI,5,0),1,0)*Table_NFI[[#This Row],[Blanket]],Table_NFI[[#This Row],[Blanket]])</f>
        <v>#REF!</v>
      </c>
      <c r="AH312" s="542" t="e">
        <f>IF(NFI_Expiration=1,IF(#REF!&lt;VLOOKUP(Q$5,NFI,5,0),1,0)*Table_NFI[[#This Row],[Kitchen Set]],Table_NFI[Kitchen Set])</f>
        <v>#REF!</v>
      </c>
      <c r="AI312" s="542" t="e">
        <f>IF(NFI_Expiration=1,IF(#REF!&lt;VLOOKUP(R$5,NFI,5,0),1,0)*Table_NFI[[#This Row],[Clothes Kit]],Table_NFI[Clothes Kit])</f>
        <v>#REF!</v>
      </c>
      <c r="AJ312" s="542" t="e">
        <f>IF(NFI_Expiration=1,IF(#REF!&lt;VLOOKUP(S$5,NFI,5,0),1,0)*Table_NFI[[#This Row],[Plastic Bucket]],Table_NFI[Plastic Bucket])</f>
        <v>#REF!</v>
      </c>
      <c r="AK312" s="542" t="e">
        <f>IF(NFI_Expiration=1,IF(#REF!&lt;VLOOKUP(T$5,NFI,5,0),1,0)*Table_NFI[[#This Row],[Plastic Mat]],Table_NFI[Plastic Mat])*IF(Table_NFI[[#This Row],[Distribution Date]]&gt;"2014-04-01",1,2.5)</f>
        <v>#REF!</v>
      </c>
      <c r="AL312" s="542" t="e">
        <f>IF(NFI_Expiration=1,IF(#REF!&lt;VLOOKUP(U$5,NFI,5,0),1,0)*Table_NFI[[#This Row],[Winter Clothes Adult]],Table_NFI[Winter Clothes Adult])</f>
        <v>#REF!</v>
      </c>
      <c r="AM312" s="542"/>
      <c r="AN312" s="542"/>
      <c r="AO312" s="542"/>
      <c r="AP312" s="542">
        <f>IF(Table_NFI[[#This Row],[Winter Clothes Adult]]+Table_NFI[[#This Row],[Winter Clothes Children]]+Table_NFI[[#This Row],[Winter Items Other]]+Table_NFI[[#This Row],[Winter Blanket]]&gt;0,1,0)</f>
        <v>0</v>
      </c>
      <c r="AQ312" s="542"/>
      <c r="AR312" s="542"/>
      <c r="AS312" s="542"/>
      <c r="AT312" s="205" t="str">
        <f>IFERROR(VLOOKUP(Table_NFI[[#This Row],[Location]],CL,2,0),"")</f>
        <v>MMR001CMP234</v>
      </c>
      <c r="AU312" s="183"/>
    </row>
    <row r="313" spans="2:47" x14ac:dyDescent="0.25">
      <c r="B313" s="540">
        <v>43266</v>
      </c>
      <c r="C313" s="540" t="str">
        <f>MONTH(Table_NFI[[#This Row],[Distribution Date]]) &amp; "/" &amp; YEAR(Table_NFI[[#This Row],[Distribution Date]])</f>
        <v>6/2018</v>
      </c>
      <c r="D313" s="198" t="s">
        <v>420</v>
      </c>
      <c r="E313" s="198" t="s">
        <v>424</v>
      </c>
      <c r="F313" s="198" t="s">
        <v>378</v>
      </c>
      <c r="G313" s="197" t="s">
        <v>480</v>
      </c>
      <c r="H313" s="198" t="s">
        <v>140</v>
      </c>
      <c r="I313" s="183"/>
      <c r="J313" s="541"/>
      <c r="K313" s="541"/>
      <c r="L313" s="541"/>
      <c r="M313" s="541"/>
      <c r="N313" s="541"/>
      <c r="O313" s="541"/>
      <c r="P313" s="541"/>
      <c r="Q313" s="541"/>
      <c r="R313" s="541"/>
      <c r="S313" s="541"/>
      <c r="T313" s="541"/>
      <c r="U313" s="541"/>
      <c r="V313" s="541"/>
      <c r="W313" s="541"/>
      <c r="X313" s="541"/>
      <c r="Y313" s="541"/>
      <c r="Z313" s="541">
        <v>4</v>
      </c>
      <c r="AA313" s="541"/>
      <c r="AB313" s="541"/>
      <c r="AC313" s="542" t="e">
        <f>IF(NFI_Expiration=1,IF(#REF!&lt;VLOOKUP(L$5,NFI,5,0),1,0)*Table_NFI[[#This Row],[NFI Core Kit]],Table_NFI[NFI Core Kit])</f>
        <v>#REF!</v>
      </c>
      <c r="AD313" s="542" t="e">
        <f>IF(NFI_Expiration=1,IF(#REF!&lt;VLOOKUP(M$5,NFI,5,0),1,0)*Table_NFI[[#This Row],[Sanitary Kit]],Table_NFI[Sanitary Kit])</f>
        <v>#REF!</v>
      </c>
      <c r="AE313" s="542" t="e">
        <f>IF(NFI_Expiration=1,IF(#REF!&lt;VLOOKUP(N$5,NFI,5,0),1,0)*Table_NFI[[#This Row],[Mosquito net]],Table_NFI[Mosquito net])</f>
        <v>#REF!</v>
      </c>
      <c r="AF313" s="542" t="e">
        <f>IF(NFI_Expiration=1,IF(#REF!&lt;VLOOKUP(O$5,NFI,5,0),1,0)*Table_NFI[[#This Row],[Tarpaulin]],Table_NFI[[#This Row],[Tarpaulin]])</f>
        <v>#REF!</v>
      </c>
      <c r="AG313" s="542" t="e">
        <f>IF(NFI_Expiration=1,IF(#REF!&lt;VLOOKUP(P$5,NFI,5,0),1,0)*Table_NFI[[#This Row],[Blanket]],Table_NFI[[#This Row],[Blanket]])</f>
        <v>#REF!</v>
      </c>
      <c r="AH313" s="542" t="e">
        <f>IF(NFI_Expiration=1,IF(#REF!&lt;VLOOKUP(Q$5,NFI,5,0),1,0)*Table_NFI[[#This Row],[Kitchen Set]],Table_NFI[Kitchen Set])</f>
        <v>#REF!</v>
      </c>
      <c r="AI313" s="542" t="e">
        <f>IF(NFI_Expiration=1,IF(#REF!&lt;VLOOKUP(R$5,NFI,5,0),1,0)*Table_NFI[[#This Row],[Clothes Kit]],Table_NFI[Clothes Kit])</f>
        <v>#REF!</v>
      </c>
      <c r="AJ313" s="542" t="e">
        <f>IF(NFI_Expiration=1,IF(#REF!&lt;VLOOKUP(S$5,NFI,5,0),1,0)*Table_NFI[[#This Row],[Plastic Bucket]],Table_NFI[Plastic Bucket])</f>
        <v>#REF!</v>
      </c>
      <c r="AK313" s="542" t="e">
        <f>IF(NFI_Expiration=1,IF(#REF!&lt;VLOOKUP(T$5,NFI,5,0),1,0)*Table_NFI[[#This Row],[Plastic Mat]],Table_NFI[Plastic Mat])*IF(Table_NFI[[#This Row],[Distribution Date]]&gt;"2014-04-01",1,2.5)</f>
        <v>#REF!</v>
      </c>
      <c r="AL313" s="542" t="e">
        <f>IF(NFI_Expiration=1,IF(#REF!&lt;VLOOKUP(U$5,NFI,5,0),1,0)*Table_NFI[[#This Row],[Winter Clothes Adult]],Table_NFI[Winter Clothes Adult])</f>
        <v>#REF!</v>
      </c>
      <c r="AM313" s="542"/>
      <c r="AN313" s="542"/>
      <c r="AO313" s="542"/>
      <c r="AP313" s="542">
        <f>IF(Table_NFI[[#This Row],[Winter Clothes Adult]]+Table_NFI[[#This Row],[Winter Clothes Children]]+Table_NFI[[#This Row],[Winter Items Other]]+Table_NFI[[#This Row],[Winter Blanket]]&gt;0,1,0)</f>
        <v>0</v>
      </c>
      <c r="AQ313" s="542"/>
      <c r="AR313" s="542"/>
      <c r="AS313" s="542"/>
      <c r="AT313" s="205" t="str">
        <f>IFERROR(VLOOKUP(Table_NFI[[#This Row],[Location]],CL,2,0),"")</f>
        <v>MMR001CMP105</v>
      </c>
      <c r="AU313" s="183"/>
    </row>
    <row r="314" spans="2:47" x14ac:dyDescent="0.25">
      <c r="B314" s="540">
        <v>43266</v>
      </c>
      <c r="C314" s="540" t="str">
        <f>MONTH(Table_NFI[[#This Row],[Distribution Date]]) &amp; "/" &amp; YEAR(Table_NFI[[#This Row],[Distribution Date]])</f>
        <v>6/2018</v>
      </c>
      <c r="D314" s="198" t="s">
        <v>420</v>
      </c>
      <c r="E314" s="198" t="s">
        <v>424</v>
      </c>
      <c r="F314" s="198" t="s">
        <v>378</v>
      </c>
      <c r="G314" s="197" t="s">
        <v>480</v>
      </c>
      <c r="H314" s="198" t="s">
        <v>1276</v>
      </c>
      <c r="I314" s="183"/>
      <c r="J314" s="541"/>
      <c r="K314" s="541"/>
      <c r="L314" s="541"/>
      <c r="M314" s="541"/>
      <c r="N314" s="541"/>
      <c r="O314" s="541"/>
      <c r="P314" s="541"/>
      <c r="Q314" s="541"/>
      <c r="R314" s="541"/>
      <c r="S314" s="541"/>
      <c r="T314" s="541"/>
      <c r="U314" s="541"/>
      <c r="V314" s="541"/>
      <c r="W314" s="541"/>
      <c r="X314" s="541"/>
      <c r="Y314" s="541"/>
      <c r="Z314" s="541">
        <v>70</v>
      </c>
      <c r="AA314" s="541"/>
      <c r="AB314" s="541"/>
      <c r="AC314" s="542" t="e">
        <f>IF(NFI_Expiration=1,IF(#REF!&lt;VLOOKUP(L$5,NFI,5,0),1,0)*Table_NFI[[#This Row],[NFI Core Kit]],Table_NFI[NFI Core Kit])</f>
        <v>#REF!</v>
      </c>
      <c r="AD314" s="542" t="e">
        <f>IF(NFI_Expiration=1,IF(#REF!&lt;VLOOKUP(M$5,NFI,5,0),1,0)*Table_NFI[[#This Row],[Sanitary Kit]],Table_NFI[Sanitary Kit])</f>
        <v>#REF!</v>
      </c>
      <c r="AE314" s="542" t="e">
        <f>IF(NFI_Expiration=1,IF(#REF!&lt;VLOOKUP(N$5,NFI,5,0),1,0)*Table_NFI[[#This Row],[Mosquito net]],Table_NFI[Mosquito net])</f>
        <v>#REF!</v>
      </c>
      <c r="AF314" s="542" t="e">
        <f>IF(NFI_Expiration=1,IF(#REF!&lt;VLOOKUP(O$5,NFI,5,0),1,0)*Table_NFI[[#This Row],[Tarpaulin]],Table_NFI[[#This Row],[Tarpaulin]])</f>
        <v>#REF!</v>
      </c>
      <c r="AG314" s="542" t="e">
        <f>IF(NFI_Expiration=1,IF(#REF!&lt;VLOOKUP(P$5,NFI,5,0),1,0)*Table_NFI[[#This Row],[Blanket]],Table_NFI[[#This Row],[Blanket]])</f>
        <v>#REF!</v>
      </c>
      <c r="AH314" s="542" t="e">
        <f>IF(NFI_Expiration=1,IF(#REF!&lt;VLOOKUP(Q$5,NFI,5,0),1,0)*Table_NFI[[#This Row],[Kitchen Set]],Table_NFI[Kitchen Set])</f>
        <v>#REF!</v>
      </c>
      <c r="AI314" s="542" t="e">
        <f>IF(NFI_Expiration=1,IF(#REF!&lt;VLOOKUP(R$5,NFI,5,0),1,0)*Table_NFI[[#This Row],[Clothes Kit]],Table_NFI[Clothes Kit])</f>
        <v>#REF!</v>
      </c>
      <c r="AJ314" s="542" t="e">
        <f>IF(NFI_Expiration=1,IF(#REF!&lt;VLOOKUP(S$5,NFI,5,0),1,0)*Table_NFI[[#This Row],[Plastic Bucket]],Table_NFI[Plastic Bucket])</f>
        <v>#REF!</v>
      </c>
      <c r="AK314" s="542" t="e">
        <f>IF(NFI_Expiration=1,IF(#REF!&lt;VLOOKUP(T$5,NFI,5,0),1,0)*Table_NFI[[#This Row],[Plastic Mat]],Table_NFI[Plastic Mat])*IF(Table_NFI[[#This Row],[Distribution Date]]&gt;"2014-04-01",1,2.5)</f>
        <v>#REF!</v>
      </c>
      <c r="AL314" s="542" t="e">
        <f>IF(NFI_Expiration=1,IF(#REF!&lt;VLOOKUP(U$5,NFI,5,0),1,0)*Table_NFI[[#This Row],[Winter Clothes Adult]],Table_NFI[Winter Clothes Adult])</f>
        <v>#REF!</v>
      </c>
      <c r="AM314" s="542"/>
      <c r="AN314" s="542"/>
      <c r="AO314" s="542"/>
      <c r="AP314" s="542">
        <f>IF(Table_NFI[[#This Row],[Winter Clothes Adult]]+Table_NFI[[#This Row],[Winter Clothes Children]]+Table_NFI[[#This Row],[Winter Items Other]]+Table_NFI[[#This Row],[Winter Blanket]]&gt;0,1,0)</f>
        <v>0</v>
      </c>
      <c r="AQ314" s="542"/>
      <c r="AR314" s="542"/>
      <c r="AS314" s="542"/>
      <c r="AT314" s="205" t="str">
        <f>IFERROR(VLOOKUP(Table_NFI[[#This Row],[Location]],CL,2,0),"")</f>
        <v>MMR001CMP250</v>
      </c>
      <c r="AU314" s="183"/>
    </row>
    <row r="315" spans="2:47" x14ac:dyDescent="0.25">
      <c r="B315" s="540">
        <v>43266</v>
      </c>
      <c r="C315" s="540" t="str">
        <f>MONTH(Table_NFI[[#This Row],[Distribution Date]]) &amp; "/" &amp; YEAR(Table_NFI[[#This Row],[Distribution Date]])</f>
        <v>6/2018</v>
      </c>
      <c r="D315" s="198" t="s">
        <v>420</v>
      </c>
      <c r="E315" s="198" t="s">
        <v>424</v>
      </c>
      <c r="F315" s="198" t="s">
        <v>378</v>
      </c>
      <c r="G315" s="197" t="s">
        <v>480</v>
      </c>
      <c r="H315" s="198" t="s">
        <v>52</v>
      </c>
      <c r="I315" s="183"/>
      <c r="J315" s="541"/>
      <c r="K315" s="541"/>
      <c r="L315" s="541"/>
      <c r="M315" s="541"/>
      <c r="N315" s="541"/>
      <c r="O315" s="541"/>
      <c r="P315" s="541"/>
      <c r="Q315" s="541"/>
      <c r="R315" s="541"/>
      <c r="S315" s="541"/>
      <c r="T315" s="541"/>
      <c r="U315" s="541"/>
      <c r="V315" s="541"/>
      <c r="W315" s="541"/>
      <c r="X315" s="541"/>
      <c r="Y315" s="541"/>
      <c r="Z315" s="541">
        <v>25</v>
      </c>
      <c r="AA315" s="541"/>
      <c r="AB315" s="541"/>
      <c r="AC315" s="542" t="e">
        <f>IF(NFI_Expiration=1,IF(#REF!&lt;VLOOKUP(L$5,NFI,5,0),1,0)*Table_NFI[[#This Row],[NFI Core Kit]],Table_NFI[NFI Core Kit])</f>
        <v>#REF!</v>
      </c>
      <c r="AD315" s="542" t="e">
        <f>IF(NFI_Expiration=1,IF(#REF!&lt;VLOOKUP(M$5,NFI,5,0),1,0)*Table_NFI[[#This Row],[Sanitary Kit]],Table_NFI[Sanitary Kit])</f>
        <v>#REF!</v>
      </c>
      <c r="AE315" s="542" t="e">
        <f>IF(NFI_Expiration=1,IF(#REF!&lt;VLOOKUP(N$5,NFI,5,0),1,0)*Table_NFI[[#This Row],[Mosquito net]],Table_NFI[Mosquito net])</f>
        <v>#REF!</v>
      </c>
      <c r="AF315" s="542" t="e">
        <f>IF(NFI_Expiration=1,IF(#REF!&lt;VLOOKUP(O$5,NFI,5,0),1,0)*Table_NFI[[#This Row],[Tarpaulin]],Table_NFI[[#This Row],[Tarpaulin]])</f>
        <v>#REF!</v>
      </c>
      <c r="AG315" s="542" t="e">
        <f>IF(NFI_Expiration=1,IF(#REF!&lt;VLOOKUP(P$5,NFI,5,0),1,0)*Table_NFI[[#This Row],[Blanket]],Table_NFI[[#This Row],[Blanket]])</f>
        <v>#REF!</v>
      </c>
      <c r="AH315" s="542" t="e">
        <f>IF(NFI_Expiration=1,IF(#REF!&lt;VLOOKUP(Q$5,NFI,5,0),1,0)*Table_NFI[[#This Row],[Kitchen Set]],Table_NFI[Kitchen Set])</f>
        <v>#REF!</v>
      </c>
      <c r="AI315" s="542" t="e">
        <f>IF(NFI_Expiration=1,IF(#REF!&lt;VLOOKUP(R$5,NFI,5,0),1,0)*Table_NFI[[#This Row],[Clothes Kit]],Table_NFI[Clothes Kit])</f>
        <v>#REF!</v>
      </c>
      <c r="AJ315" s="542" t="e">
        <f>IF(NFI_Expiration=1,IF(#REF!&lt;VLOOKUP(S$5,NFI,5,0),1,0)*Table_NFI[[#This Row],[Plastic Bucket]],Table_NFI[Plastic Bucket])</f>
        <v>#REF!</v>
      </c>
      <c r="AK315" s="542" t="e">
        <f>IF(NFI_Expiration=1,IF(#REF!&lt;VLOOKUP(T$5,NFI,5,0),1,0)*Table_NFI[[#This Row],[Plastic Mat]],Table_NFI[Plastic Mat])*IF(Table_NFI[[#This Row],[Distribution Date]]&gt;"2014-04-01",1,2.5)</f>
        <v>#REF!</v>
      </c>
      <c r="AL315" s="542" t="e">
        <f>IF(NFI_Expiration=1,IF(#REF!&lt;VLOOKUP(U$5,NFI,5,0),1,0)*Table_NFI[[#This Row],[Winter Clothes Adult]],Table_NFI[Winter Clothes Adult])</f>
        <v>#REF!</v>
      </c>
      <c r="AM315" s="542"/>
      <c r="AN315" s="542"/>
      <c r="AO315" s="542"/>
      <c r="AP315" s="542">
        <f>IF(Table_NFI[[#This Row],[Winter Clothes Adult]]+Table_NFI[[#This Row],[Winter Clothes Children]]+Table_NFI[[#This Row],[Winter Items Other]]+Table_NFI[[#This Row],[Winter Blanket]]&gt;0,1,0)</f>
        <v>0</v>
      </c>
      <c r="AQ315" s="542"/>
      <c r="AR315" s="542"/>
      <c r="AS315" s="542"/>
      <c r="AT315" s="205" t="str">
        <f>IFERROR(VLOOKUP(Table_NFI[[#This Row],[Location]],CL,2,0),"")</f>
        <v>MMR001CMP169</v>
      </c>
      <c r="AU315" s="183"/>
    </row>
    <row r="316" spans="2:47" x14ac:dyDescent="0.25">
      <c r="B316" s="540">
        <v>43266</v>
      </c>
      <c r="C316" s="540" t="str">
        <f>MONTH(Table_NFI[[#This Row],[Distribution Date]]) &amp; "/" &amp; YEAR(Table_NFI[[#This Row],[Distribution Date]])</f>
        <v>6/2018</v>
      </c>
      <c r="D316" s="198" t="s">
        <v>420</v>
      </c>
      <c r="E316" s="198" t="s">
        <v>424</v>
      </c>
      <c r="F316" s="198" t="s">
        <v>378</v>
      </c>
      <c r="G316" s="197" t="s">
        <v>480</v>
      </c>
      <c r="H316" s="198" t="s">
        <v>914</v>
      </c>
      <c r="I316" s="183"/>
      <c r="J316" s="541"/>
      <c r="K316" s="541"/>
      <c r="L316" s="541"/>
      <c r="M316" s="541"/>
      <c r="N316" s="541"/>
      <c r="O316" s="541"/>
      <c r="P316" s="541"/>
      <c r="Q316" s="541"/>
      <c r="R316" s="541"/>
      <c r="S316" s="541"/>
      <c r="T316" s="541"/>
      <c r="U316" s="541"/>
      <c r="V316" s="541"/>
      <c r="W316" s="541"/>
      <c r="X316" s="541"/>
      <c r="Y316" s="541"/>
      <c r="Z316" s="541">
        <v>42</v>
      </c>
      <c r="AA316" s="541"/>
      <c r="AB316" s="541"/>
      <c r="AC316" s="542" t="e">
        <f>IF(NFI_Expiration=1,IF(#REF!&lt;VLOOKUP(L$5,NFI,5,0),1,0)*Table_NFI[[#This Row],[NFI Core Kit]],Table_NFI[NFI Core Kit])</f>
        <v>#REF!</v>
      </c>
      <c r="AD316" s="542" t="e">
        <f>IF(NFI_Expiration=1,IF(#REF!&lt;VLOOKUP(M$5,NFI,5,0),1,0)*Table_NFI[[#This Row],[Sanitary Kit]],Table_NFI[Sanitary Kit])</f>
        <v>#REF!</v>
      </c>
      <c r="AE316" s="542" t="e">
        <f>IF(NFI_Expiration=1,IF(#REF!&lt;VLOOKUP(N$5,NFI,5,0),1,0)*Table_NFI[[#This Row],[Mosquito net]],Table_NFI[Mosquito net])</f>
        <v>#REF!</v>
      </c>
      <c r="AF316" s="542" t="e">
        <f>IF(NFI_Expiration=1,IF(#REF!&lt;VLOOKUP(O$5,NFI,5,0),1,0)*Table_NFI[[#This Row],[Tarpaulin]],Table_NFI[[#This Row],[Tarpaulin]])</f>
        <v>#REF!</v>
      </c>
      <c r="AG316" s="542" t="e">
        <f>IF(NFI_Expiration=1,IF(#REF!&lt;VLOOKUP(P$5,NFI,5,0),1,0)*Table_NFI[[#This Row],[Blanket]],Table_NFI[[#This Row],[Blanket]])</f>
        <v>#REF!</v>
      </c>
      <c r="AH316" s="542" t="e">
        <f>IF(NFI_Expiration=1,IF(#REF!&lt;VLOOKUP(Q$5,NFI,5,0),1,0)*Table_NFI[[#This Row],[Kitchen Set]],Table_NFI[Kitchen Set])</f>
        <v>#REF!</v>
      </c>
      <c r="AI316" s="542" t="e">
        <f>IF(NFI_Expiration=1,IF(#REF!&lt;VLOOKUP(R$5,NFI,5,0),1,0)*Table_NFI[[#This Row],[Clothes Kit]],Table_NFI[Clothes Kit])</f>
        <v>#REF!</v>
      </c>
      <c r="AJ316" s="542" t="e">
        <f>IF(NFI_Expiration=1,IF(#REF!&lt;VLOOKUP(S$5,NFI,5,0),1,0)*Table_NFI[[#This Row],[Plastic Bucket]],Table_NFI[Plastic Bucket])</f>
        <v>#REF!</v>
      </c>
      <c r="AK316" s="542" t="e">
        <f>IF(NFI_Expiration=1,IF(#REF!&lt;VLOOKUP(T$5,NFI,5,0),1,0)*Table_NFI[[#This Row],[Plastic Mat]],Table_NFI[Plastic Mat])*IF(Table_NFI[[#This Row],[Distribution Date]]&gt;"2014-04-01",1,2.5)</f>
        <v>#REF!</v>
      </c>
      <c r="AL316" s="542" t="e">
        <f>IF(NFI_Expiration=1,IF(#REF!&lt;VLOOKUP(U$5,NFI,5,0),1,0)*Table_NFI[[#This Row],[Winter Clothes Adult]],Table_NFI[Winter Clothes Adult])</f>
        <v>#REF!</v>
      </c>
      <c r="AM316" s="542"/>
      <c r="AN316" s="542"/>
      <c r="AO316" s="542"/>
      <c r="AP316" s="542">
        <f>IF(Table_NFI[[#This Row],[Winter Clothes Adult]]+Table_NFI[[#This Row],[Winter Clothes Children]]+Table_NFI[[#This Row],[Winter Items Other]]+Table_NFI[[#This Row],[Winter Blanket]]&gt;0,1,0)</f>
        <v>0</v>
      </c>
      <c r="AQ316" s="542"/>
      <c r="AR316" s="542"/>
      <c r="AS316" s="542"/>
      <c r="AT316" s="205" t="str">
        <f>IFERROR(VLOOKUP(Table_NFI[[#This Row],[Location]],CL,2,0),"")</f>
        <v>MMR001CMP229</v>
      </c>
      <c r="AU316" s="183"/>
    </row>
    <row r="317" spans="2:47" x14ac:dyDescent="0.25">
      <c r="B317" s="540">
        <v>43266</v>
      </c>
      <c r="C317" s="540" t="str">
        <f>MONTH(Table_NFI[[#This Row],[Distribution Date]]) &amp; "/" &amp; YEAR(Table_NFI[[#This Row],[Distribution Date]])</f>
        <v>6/2018</v>
      </c>
      <c r="D317" s="198" t="s">
        <v>420</v>
      </c>
      <c r="E317" s="198" t="s">
        <v>424</v>
      </c>
      <c r="F317" s="198" t="s">
        <v>378</v>
      </c>
      <c r="G317" s="197" t="s">
        <v>480</v>
      </c>
      <c r="H317" s="198" t="s">
        <v>126</v>
      </c>
      <c r="I317" s="183"/>
      <c r="J317" s="541"/>
      <c r="K317" s="541"/>
      <c r="L317" s="541"/>
      <c r="M317" s="541"/>
      <c r="N317" s="541"/>
      <c r="O317" s="541"/>
      <c r="P317" s="541"/>
      <c r="Q317" s="541"/>
      <c r="R317" s="541"/>
      <c r="S317" s="541"/>
      <c r="T317" s="541"/>
      <c r="U317" s="541"/>
      <c r="V317" s="541"/>
      <c r="W317" s="541"/>
      <c r="X317" s="541"/>
      <c r="Y317" s="541"/>
      <c r="Z317" s="541">
        <v>16</v>
      </c>
      <c r="AA317" s="541"/>
      <c r="AB317" s="541"/>
      <c r="AC317" s="542" t="e">
        <f>IF(NFI_Expiration=1,IF(#REF!&lt;VLOOKUP(L$5,NFI,5,0),1,0)*Table_NFI[[#This Row],[NFI Core Kit]],Table_NFI[NFI Core Kit])</f>
        <v>#REF!</v>
      </c>
      <c r="AD317" s="542" t="e">
        <f>IF(NFI_Expiration=1,IF(#REF!&lt;VLOOKUP(M$5,NFI,5,0),1,0)*Table_NFI[[#This Row],[Sanitary Kit]],Table_NFI[Sanitary Kit])</f>
        <v>#REF!</v>
      </c>
      <c r="AE317" s="542" t="e">
        <f>IF(NFI_Expiration=1,IF(#REF!&lt;VLOOKUP(N$5,NFI,5,0),1,0)*Table_NFI[[#This Row],[Mosquito net]],Table_NFI[Mosquito net])</f>
        <v>#REF!</v>
      </c>
      <c r="AF317" s="542" t="e">
        <f>IF(NFI_Expiration=1,IF(#REF!&lt;VLOOKUP(O$5,NFI,5,0),1,0)*Table_NFI[[#This Row],[Tarpaulin]],Table_NFI[[#This Row],[Tarpaulin]])</f>
        <v>#REF!</v>
      </c>
      <c r="AG317" s="542" t="e">
        <f>IF(NFI_Expiration=1,IF(#REF!&lt;VLOOKUP(P$5,NFI,5,0),1,0)*Table_NFI[[#This Row],[Blanket]],Table_NFI[[#This Row],[Blanket]])</f>
        <v>#REF!</v>
      </c>
      <c r="AH317" s="542" t="e">
        <f>IF(NFI_Expiration=1,IF(#REF!&lt;VLOOKUP(Q$5,NFI,5,0),1,0)*Table_NFI[[#This Row],[Kitchen Set]],Table_NFI[Kitchen Set])</f>
        <v>#REF!</v>
      </c>
      <c r="AI317" s="542" t="e">
        <f>IF(NFI_Expiration=1,IF(#REF!&lt;VLOOKUP(R$5,NFI,5,0),1,0)*Table_NFI[[#This Row],[Clothes Kit]],Table_NFI[Clothes Kit])</f>
        <v>#REF!</v>
      </c>
      <c r="AJ317" s="542" t="e">
        <f>IF(NFI_Expiration=1,IF(#REF!&lt;VLOOKUP(S$5,NFI,5,0),1,0)*Table_NFI[[#This Row],[Plastic Bucket]],Table_NFI[Plastic Bucket])</f>
        <v>#REF!</v>
      </c>
      <c r="AK317" s="542" t="e">
        <f>IF(NFI_Expiration=1,IF(#REF!&lt;VLOOKUP(T$5,NFI,5,0),1,0)*Table_NFI[[#This Row],[Plastic Mat]],Table_NFI[Plastic Mat])*IF(Table_NFI[[#This Row],[Distribution Date]]&gt;"2014-04-01",1,2.5)</f>
        <v>#REF!</v>
      </c>
      <c r="AL317" s="542" t="e">
        <f>IF(NFI_Expiration=1,IF(#REF!&lt;VLOOKUP(U$5,NFI,5,0),1,0)*Table_NFI[[#This Row],[Winter Clothes Adult]],Table_NFI[Winter Clothes Adult])</f>
        <v>#REF!</v>
      </c>
      <c r="AM317" s="542"/>
      <c r="AN317" s="542"/>
      <c r="AO317" s="542"/>
      <c r="AP317" s="542">
        <f>IF(Table_NFI[[#This Row],[Winter Clothes Adult]]+Table_NFI[[#This Row],[Winter Clothes Children]]+Table_NFI[[#This Row],[Winter Items Other]]+Table_NFI[[#This Row],[Winter Blanket]]&gt;0,1,0)</f>
        <v>0</v>
      </c>
      <c r="AQ317" s="542"/>
      <c r="AR317" s="542"/>
      <c r="AS317" s="542"/>
      <c r="AT317" s="205" t="str">
        <f>IFERROR(VLOOKUP(Table_NFI[[#This Row],[Location]],CL,2,0),"")</f>
        <v>MMR001CMP184</v>
      </c>
      <c r="AU317" s="183"/>
    </row>
    <row r="318" spans="2:47" x14ac:dyDescent="0.25">
      <c r="B318" s="540">
        <v>43266</v>
      </c>
      <c r="C318" s="540" t="str">
        <f>MONTH(Table_NFI[[#This Row],[Distribution Date]]) &amp; "/" &amp; YEAR(Table_NFI[[#This Row],[Distribution Date]])</f>
        <v>6/2018</v>
      </c>
      <c r="D318" s="198" t="s">
        <v>420</v>
      </c>
      <c r="E318" s="198" t="s">
        <v>424</v>
      </c>
      <c r="F318" s="198" t="s">
        <v>378</v>
      </c>
      <c r="G318" s="197" t="s">
        <v>309</v>
      </c>
      <c r="H318" s="198" t="s">
        <v>345</v>
      </c>
      <c r="I318" s="183"/>
      <c r="J318" s="541"/>
      <c r="K318" s="541"/>
      <c r="L318" s="541"/>
      <c r="M318" s="541"/>
      <c r="N318" s="541"/>
      <c r="O318" s="541"/>
      <c r="P318" s="541"/>
      <c r="Q318" s="541"/>
      <c r="R318" s="541"/>
      <c r="S318" s="541"/>
      <c r="T318" s="541"/>
      <c r="U318" s="541"/>
      <c r="V318" s="541"/>
      <c r="W318" s="541"/>
      <c r="X318" s="541"/>
      <c r="Y318" s="541"/>
      <c r="Z318" s="541">
        <v>179</v>
      </c>
      <c r="AA318" s="541"/>
      <c r="AB318" s="541"/>
      <c r="AC318" s="542" t="e">
        <f>IF(NFI_Expiration=1,IF(#REF!&lt;VLOOKUP(L$5,NFI,5,0),1,0)*Table_NFI[[#This Row],[NFI Core Kit]],Table_NFI[NFI Core Kit])</f>
        <v>#REF!</v>
      </c>
      <c r="AD318" s="542" t="e">
        <f>IF(NFI_Expiration=1,IF(#REF!&lt;VLOOKUP(M$5,NFI,5,0),1,0)*Table_NFI[[#This Row],[Sanitary Kit]],Table_NFI[Sanitary Kit])</f>
        <v>#REF!</v>
      </c>
      <c r="AE318" s="542" t="e">
        <f>IF(NFI_Expiration=1,IF(#REF!&lt;VLOOKUP(N$5,NFI,5,0),1,0)*Table_NFI[[#This Row],[Mosquito net]],Table_NFI[Mosquito net])</f>
        <v>#REF!</v>
      </c>
      <c r="AF318" s="542" t="e">
        <f>IF(NFI_Expiration=1,IF(#REF!&lt;VLOOKUP(O$5,NFI,5,0),1,0)*Table_NFI[[#This Row],[Tarpaulin]],Table_NFI[[#This Row],[Tarpaulin]])</f>
        <v>#REF!</v>
      </c>
      <c r="AG318" s="542" t="e">
        <f>IF(NFI_Expiration=1,IF(#REF!&lt;VLOOKUP(P$5,NFI,5,0),1,0)*Table_NFI[[#This Row],[Blanket]],Table_NFI[[#This Row],[Blanket]])</f>
        <v>#REF!</v>
      </c>
      <c r="AH318" s="542" t="e">
        <f>IF(NFI_Expiration=1,IF(#REF!&lt;VLOOKUP(Q$5,NFI,5,0),1,0)*Table_NFI[[#This Row],[Kitchen Set]],Table_NFI[Kitchen Set])</f>
        <v>#REF!</v>
      </c>
      <c r="AI318" s="542" t="e">
        <f>IF(NFI_Expiration=1,IF(#REF!&lt;VLOOKUP(R$5,NFI,5,0),1,0)*Table_NFI[[#This Row],[Clothes Kit]],Table_NFI[Clothes Kit])</f>
        <v>#REF!</v>
      </c>
      <c r="AJ318" s="542" t="e">
        <f>IF(NFI_Expiration=1,IF(#REF!&lt;VLOOKUP(S$5,NFI,5,0),1,0)*Table_NFI[[#This Row],[Plastic Bucket]],Table_NFI[Plastic Bucket])</f>
        <v>#REF!</v>
      </c>
      <c r="AK318" s="542" t="e">
        <f>IF(NFI_Expiration=1,IF(#REF!&lt;VLOOKUP(T$5,NFI,5,0),1,0)*Table_NFI[[#This Row],[Plastic Mat]],Table_NFI[Plastic Mat])*IF(Table_NFI[[#This Row],[Distribution Date]]&gt;"2014-04-01",1,2.5)</f>
        <v>#REF!</v>
      </c>
      <c r="AL318" s="542" t="e">
        <f>IF(NFI_Expiration=1,IF(#REF!&lt;VLOOKUP(U$5,NFI,5,0),1,0)*Table_NFI[[#This Row],[Winter Clothes Adult]],Table_NFI[Winter Clothes Adult])</f>
        <v>#REF!</v>
      </c>
      <c r="AM318" s="542"/>
      <c r="AN318" s="542"/>
      <c r="AO318" s="542"/>
      <c r="AP318" s="542">
        <f>IF(Table_NFI[[#This Row],[Winter Clothes Adult]]+Table_NFI[[#This Row],[Winter Clothes Children]]+Table_NFI[[#This Row],[Winter Items Other]]+Table_NFI[[#This Row],[Winter Blanket]]&gt;0,1,0)</f>
        <v>0</v>
      </c>
      <c r="AQ318" s="542"/>
      <c r="AR318" s="542"/>
      <c r="AS318" s="542"/>
      <c r="AT318" s="205" t="str">
        <f>IFERROR(VLOOKUP(Table_NFI[[#This Row],[Location]],CL,2,0),"")</f>
        <v>MMR001CMP041</v>
      </c>
      <c r="AU318" s="183"/>
    </row>
    <row r="319" spans="2:47" x14ac:dyDescent="0.25">
      <c r="B319" s="540">
        <v>43266</v>
      </c>
      <c r="C319" s="540" t="str">
        <f>MONTH(Table_NFI[[#This Row],[Distribution Date]]) &amp; "/" &amp; YEAR(Table_NFI[[#This Row],[Distribution Date]])</f>
        <v>6/2018</v>
      </c>
      <c r="D319" s="198" t="s">
        <v>420</v>
      </c>
      <c r="E319" s="198" t="s">
        <v>424</v>
      </c>
      <c r="F319" s="198" t="s">
        <v>378</v>
      </c>
      <c r="G319" s="197" t="s">
        <v>746</v>
      </c>
      <c r="H319" s="198" t="s">
        <v>1067</v>
      </c>
      <c r="I319" s="183"/>
      <c r="J319" s="541"/>
      <c r="K319" s="541"/>
      <c r="L319" s="541"/>
      <c r="M319" s="541"/>
      <c r="N319" s="541"/>
      <c r="O319" s="541"/>
      <c r="P319" s="541"/>
      <c r="Q319" s="541"/>
      <c r="R319" s="541"/>
      <c r="S319" s="541"/>
      <c r="T319" s="541"/>
      <c r="U319" s="541"/>
      <c r="V319" s="541"/>
      <c r="W319" s="541"/>
      <c r="X319" s="541"/>
      <c r="Y319" s="541"/>
      <c r="Z319" s="541">
        <v>67</v>
      </c>
      <c r="AA319" s="541"/>
      <c r="AB319" s="541"/>
      <c r="AC319" s="542" t="e">
        <f>IF(NFI_Expiration=1,IF(#REF!&lt;VLOOKUP(L$5,NFI,5,0),1,0)*Table_NFI[[#This Row],[NFI Core Kit]],Table_NFI[NFI Core Kit])</f>
        <v>#REF!</v>
      </c>
      <c r="AD319" s="542" t="e">
        <f>IF(NFI_Expiration=1,IF(#REF!&lt;VLOOKUP(M$5,NFI,5,0),1,0)*Table_NFI[[#This Row],[Sanitary Kit]],Table_NFI[Sanitary Kit])</f>
        <v>#REF!</v>
      </c>
      <c r="AE319" s="542" t="e">
        <f>IF(NFI_Expiration=1,IF(#REF!&lt;VLOOKUP(N$5,NFI,5,0),1,0)*Table_NFI[[#This Row],[Mosquito net]],Table_NFI[Mosquito net])</f>
        <v>#REF!</v>
      </c>
      <c r="AF319" s="542" t="e">
        <f>IF(NFI_Expiration=1,IF(#REF!&lt;VLOOKUP(O$5,NFI,5,0),1,0)*Table_NFI[[#This Row],[Tarpaulin]],Table_NFI[[#This Row],[Tarpaulin]])</f>
        <v>#REF!</v>
      </c>
      <c r="AG319" s="542" t="e">
        <f>IF(NFI_Expiration=1,IF(#REF!&lt;VLOOKUP(P$5,NFI,5,0),1,0)*Table_NFI[[#This Row],[Blanket]],Table_NFI[[#This Row],[Blanket]])</f>
        <v>#REF!</v>
      </c>
      <c r="AH319" s="542" t="e">
        <f>IF(NFI_Expiration=1,IF(#REF!&lt;VLOOKUP(Q$5,NFI,5,0),1,0)*Table_NFI[[#This Row],[Kitchen Set]],Table_NFI[Kitchen Set])</f>
        <v>#REF!</v>
      </c>
      <c r="AI319" s="542" t="e">
        <f>IF(NFI_Expiration=1,IF(#REF!&lt;VLOOKUP(R$5,NFI,5,0),1,0)*Table_NFI[[#This Row],[Clothes Kit]],Table_NFI[Clothes Kit])</f>
        <v>#REF!</v>
      </c>
      <c r="AJ319" s="542" t="e">
        <f>IF(NFI_Expiration=1,IF(#REF!&lt;VLOOKUP(S$5,NFI,5,0),1,0)*Table_NFI[[#This Row],[Plastic Bucket]],Table_NFI[Plastic Bucket])</f>
        <v>#REF!</v>
      </c>
      <c r="AK319" s="542" t="e">
        <f>IF(NFI_Expiration=1,IF(#REF!&lt;VLOOKUP(T$5,NFI,5,0),1,0)*Table_NFI[[#This Row],[Plastic Mat]],Table_NFI[Plastic Mat])*IF(Table_NFI[[#This Row],[Distribution Date]]&gt;"2014-04-01",1,2.5)</f>
        <v>#REF!</v>
      </c>
      <c r="AL319" s="542" t="e">
        <f>IF(NFI_Expiration=1,IF(#REF!&lt;VLOOKUP(U$5,NFI,5,0),1,0)*Table_NFI[[#This Row],[Winter Clothes Adult]],Table_NFI[Winter Clothes Adult])</f>
        <v>#REF!</v>
      </c>
      <c r="AM319" s="542"/>
      <c r="AN319" s="542"/>
      <c r="AO319" s="542"/>
      <c r="AP319" s="542">
        <f>IF(Table_NFI[[#This Row],[Winter Clothes Adult]]+Table_NFI[[#This Row],[Winter Clothes Children]]+Table_NFI[[#This Row],[Winter Items Other]]+Table_NFI[[#This Row],[Winter Blanket]]&gt;0,1,0)</f>
        <v>0</v>
      </c>
      <c r="AQ319" s="542"/>
      <c r="AR319" s="542"/>
      <c r="AS319" s="542"/>
      <c r="AT319" s="205" t="str">
        <f>IFERROR(VLOOKUP(Table_NFI[[#This Row],[Location]],CL,2,0),"")</f>
        <v>MMR001CMP239</v>
      </c>
      <c r="AU319" s="183"/>
    </row>
    <row r="320" spans="2:47" x14ac:dyDescent="0.25">
      <c r="B320" s="540">
        <v>43266</v>
      </c>
      <c r="C320" s="540" t="str">
        <f>MONTH(Table_NFI[[#This Row],[Distribution Date]]) &amp; "/" &amp; YEAR(Table_NFI[[#This Row],[Distribution Date]])</f>
        <v>6/2018</v>
      </c>
      <c r="D320" s="198" t="s">
        <v>420</v>
      </c>
      <c r="E320" s="198" t="s">
        <v>424</v>
      </c>
      <c r="F320" s="198" t="s">
        <v>378</v>
      </c>
      <c r="G320" s="197" t="s">
        <v>746</v>
      </c>
      <c r="H320" s="198" t="s">
        <v>1065</v>
      </c>
      <c r="I320" s="183"/>
      <c r="J320" s="541"/>
      <c r="K320" s="541"/>
      <c r="L320" s="541"/>
      <c r="M320" s="541"/>
      <c r="N320" s="541"/>
      <c r="O320" s="541"/>
      <c r="P320" s="541"/>
      <c r="Q320" s="541"/>
      <c r="R320" s="541"/>
      <c r="S320" s="541"/>
      <c r="T320" s="541"/>
      <c r="U320" s="541"/>
      <c r="V320" s="541"/>
      <c r="W320" s="541"/>
      <c r="X320" s="541"/>
      <c r="Y320" s="541"/>
      <c r="Z320" s="541">
        <v>123</v>
      </c>
      <c r="AA320" s="541"/>
      <c r="AB320" s="541"/>
      <c r="AC320" s="542" t="e">
        <f>IF(NFI_Expiration=1,IF(#REF!&lt;VLOOKUP(L$5,NFI,5,0),1,0)*Table_NFI[[#This Row],[NFI Core Kit]],Table_NFI[NFI Core Kit])</f>
        <v>#REF!</v>
      </c>
      <c r="AD320" s="542" t="e">
        <f>IF(NFI_Expiration=1,IF(#REF!&lt;VLOOKUP(M$5,NFI,5,0),1,0)*Table_NFI[[#This Row],[Sanitary Kit]],Table_NFI[Sanitary Kit])</f>
        <v>#REF!</v>
      </c>
      <c r="AE320" s="542" t="e">
        <f>IF(NFI_Expiration=1,IF(#REF!&lt;VLOOKUP(N$5,NFI,5,0),1,0)*Table_NFI[[#This Row],[Mosquito net]],Table_NFI[Mosquito net])</f>
        <v>#REF!</v>
      </c>
      <c r="AF320" s="542" t="e">
        <f>IF(NFI_Expiration=1,IF(#REF!&lt;VLOOKUP(O$5,NFI,5,0),1,0)*Table_NFI[[#This Row],[Tarpaulin]],Table_NFI[[#This Row],[Tarpaulin]])</f>
        <v>#REF!</v>
      </c>
      <c r="AG320" s="542" t="e">
        <f>IF(NFI_Expiration=1,IF(#REF!&lt;VLOOKUP(P$5,NFI,5,0),1,0)*Table_NFI[[#This Row],[Blanket]],Table_NFI[[#This Row],[Blanket]])</f>
        <v>#REF!</v>
      </c>
      <c r="AH320" s="542" t="e">
        <f>IF(NFI_Expiration=1,IF(#REF!&lt;VLOOKUP(Q$5,NFI,5,0),1,0)*Table_NFI[[#This Row],[Kitchen Set]],Table_NFI[Kitchen Set])</f>
        <v>#REF!</v>
      </c>
      <c r="AI320" s="542" t="e">
        <f>IF(NFI_Expiration=1,IF(#REF!&lt;VLOOKUP(R$5,NFI,5,0),1,0)*Table_NFI[[#This Row],[Clothes Kit]],Table_NFI[Clothes Kit])</f>
        <v>#REF!</v>
      </c>
      <c r="AJ320" s="542" t="e">
        <f>IF(NFI_Expiration=1,IF(#REF!&lt;VLOOKUP(S$5,NFI,5,0),1,0)*Table_NFI[[#This Row],[Plastic Bucket]],Table_NFI[Plastic Bucket])</f>
        <v>#REF!</v>
      </c>
      <c r="AK320" s="542" t="e">
        <f>IF(NFI_Expiration=1,IF(#REF!&lt;VLOOKUP(T$5,NFI,5,0),1,0)*Table_NFI[[#This Row],[Plastic Mat]],Table_NFI[Plastic Mat])*IF(Table_NFI[[#This Row],[Distribution Date]]&gt;"2014-04-01",1,2.5)</f>
        <v>#REF!</v>
      </c>
      <c r="AL320" s="542" t="e">
        <f>IF(NFI_Expiration=1,IF(#REF!&lt;VLOOKUP(U$5,NFI,5,0),1,0)*Table_NFI[[#This Row],[Winter Clothes Adult]],Table_NFI[Winter Clothes Adult])</f>
        <v>#REF!</v>
      </c>
      <c r="AM320" s="542"/>
      <c r="AN320" s="542"/>
      <c r="AO320" s="542"/>
      <c r="AP320" s="542">
        <f>IF(Table_NFI[[#This Row],[Winter Clothes Adult]]+Table_NFI[[#This Row],[Winter Clothes Children]]+Table_NFI[[#This Row],[Winter Items Other]]+Table_NFI[[#This Row],[Winter Blanket]]&gt;0,1,0)</f>
        <v>0</v>
      </c>
      <c r="AQ320" s="542"/>
      <c r="AR320" s="542"/>
      <c r="AS320" s="542"/>
      <c r="AT320" s="205" t="str">
        <f>IFERROR(VLOOKUP(Table_NFI[[#This Row],[Location]],CL,2,0),"")</f>
        <v>MMR001CMP238</v>
      </c>
      <c r="AU320" s="183"/>
    </row>
    <row r="321" spans="2:47" x14ac:dyDescent="0.25">
      <c r="B321" s="540">
        <v>43266</v>
      </c>
      <c r="C321" s="540" t="str">
        <f>MONTH(Table_NFI[[#This Row],[Distribution Date]]) &amp; "/" &amp; YEAR(Table_NFI[[#This Row],[Distribution Date]])</f>
        <v>6/2018</v>
      </c>
      <c r="D321" s="198" t="s">
        <v>420</v>
      </c>
      <c r="E321" s="198" t="s">
        <v>424</v>
      </c>
      <c r="F321" s="198" t="s">
        <v>506</v>
      </c>
      <c r="G321" s="197" t="s">
        <v>146</v>
      </c>
      <c r="H321" s="198" t="s">
        <v>1615</v>
      </c>
      <c r="I321" s="183"/>
      <c r="J321" s="541"/>
      <c r="K321" s="541"/>
      <c r="L321" s="541"/>
      <c r="M321" s="541"/>
      <c r="N321" s="541"/>
      <c r="O321" s="541"/>
      <c r="P321" s="541"/>
      <c r="Q321" s="541"/>
      <c r="R321" s="541"/>
      <c r="S321" s="541"/>
      <c r="T321" s="541"/>
      <c r="U321" s="541"/>
      <c r="V321" s="541"/>
      <c r="W321" s="541"/>
      <c r="X321" s="541"/>
      <c r="Y321" s="541"/>
      <c r="Z321" s="541">
        <v>108</v>
      </c>
      <c r="AA321" s="541"/>
      <c r="AB321" s="541"/>
      <c r="AC321" s="542" t="e">
        <f>IF(NFI_Expiration=1,IF(#REF!&lt;VLOOKUP(L$5,NFI,5,0),1,0)*Table_NFI[[#This Row],[NFI Core Kit]],Table_NFI[NFI Core Kit])</f>
        <v>#REF!</v>
      </c>
      <c r="AD321" s="542" t="e">
        <f>IF(NFI_Expiration=1,IF(#REF!&lt;VLOOKUP(M$5,NFI,5,0),1,0)*Table_NFI[[#This Row],[Sanitary Kit]],Table_NFI[Sanitary Kit])</f>
        <v>#REF!</v>
      </c>
      <c r="AE321" s="542" t="e">
        <f>IF(NFI_Expiration=1,IF(#REF!&lt;VLOOKUP(N$5,NFI,5,0),1,0)*Table_NFI[[#This Row],[Mosquito net]],Table_NFI[Mosquito net])</f>
        <v>#REF!</v>
      </c>
      <c r="AF321" s="542" t="e">
        <f>IF(NFI_Expiration=1,IF(#REF!&lt;VLOOKUP(O$5,NFI,5,0),1,0)*Table_NFI[[#This Row],[Tarpaulin]],Table_NFI[[#This Row],[Tarpaulin]])</f>
        <v>#REF!</v>
      </c>
      <c r="AG321" s="542" t="e">
        <f>IF(NFI_Expiration=1,IF(#REF!&lt;VLOOKUP(P$5,NFI,5,0),1,0)*Table_NFI[[#This Row],[Blanket]],Table_NFI[[#This Row],[Blanket]])</f>
        <v>#REF!</v>
      </c>
      <c r="AH321" s="542" t="e">
        <f>IF(NFI_Expiration=1,IF(#REF!&lt;VLOOKUP(Q$5,NFI,5,0),1,0)*Table_NFI[[#This Row],[Kitchen Set]],Table_NFI[Kitchen Set])</f>
        <v>#REF!</v>
      </c>
      <c r="AI321" s="542" t="e">
        <f>IF(NFI_Expiration=1,IF(#REF!&lt;VLOOKUP(R$5,NFI,5,0),1,0)*Table_NFI[[#This Row],[Clothes Kit]],Table_NFI[Clothes Kit])</f>
        <v>#REF!</v>
      </c>
      <c r="AJ321" s="542" t="e">
        <f>IF(NFI_Expiration=1,IF(#REF!&lt;VLOOKUP(S$5,NFI,5,0),1,0)*Table_NFI[[#This Row],[Plastic Bucket]],Table_NFI[Plastic Bucket])</f>
        <v>#REF!</v>
      </c>
      <c r="AK321" s="542" t="e">
        <f>IF(NFI_Expiration=1,IF(#REF!&lt;VLOOKUP(T$5,NFI,5,0),1,0)*Table_NFI[[#This Row],[Plastic Mat]],Table_NFI[Plastic Mat])*IF(Table_NFI[[#This Row],[Distribution Date]]&gt;"2014-04-01",1,2.5)</f>
        <v>#REF!</v>
      </c>
      <c r="AL321" s="542" t="e">
        <f>IF(NFI_Expiration=1,IF(#REF!&lt;VLOOKUP(U$5,NFI,5,0),1,0)*Table_NFI[[#This Row],[Winter Clothes Adult]],Table_NFI[Winter Clothes Adult])</f>
        <v>#REF!</v>
      </c>
      <c r="AM321" s="542"/>
      <c r="AN321" s="542"/>
      <c r="AO321" s="542"/>
      <c r="AP321" s="542">
        <f>IF(Table_NFI[[#This Row],[Winter Clothes Adult]]+Table_NFI[[#This Row],[Winter Clothes Children]]+Table_NFI[[#This Row],[Winter Items Other]]+Table_NFI[[#This Row],[Winter Blanket]]&gt;0,1,0)</f>
        <v>0</v>
      </c>
      <c r="AQ321" s="542"/>
      <c r="AR321" s="542"/>
      <c r="AS321" s="542"/>
      <c r="AT321" s="205" t="str">
        <f>IFERROR(VLOOKUP(Table_NFI[[#This Row],[Location]],CL,2,0),"")</f>
        <v>MMR015CMP220</v>
      </c>
      <c r="AU321" s="183"/>
    </row>
    <row r="322" spans="2:47" x14ac:dyDescent="0.25">
      <c r="B322" s="540">
        <v>43266</v>
      </c>
      <c r="C322" s="540" t="str">
        <f>MONTH(Table_NFI[[#This Row],[Distribution Date]]) &amp; "/" &amp; YEAR(Table_NFI[[#This Row],[Distribution Date]])</f>
        <v>6/2018</v>
      </c>
      <c r="D322" s="198" t="s">
        <v>420</v>
      </c>
      <c r="E322" s="198" t="s">
        <v>424</v>
      </c>
      <c r="F322" s="198" t="s">
        <v>506</v>
      </c>
      <c r="G322" s="197" t="s">
        <v>146</v>
      </c>
      <c r="H322" s="198" t="s">
        <v>1614</v>
      </c>
      <c r="I322" s="183"/>
      <c r="J322" s="541"/>
      <c r="K322" s="541"/>
      <c r="L322" s="541"/>
      <c r="M322" s="541"/>
      <c r="N322" s="541"/>
      <c r="O322" s="541"/>
      <c r="P322" s="541"/>
      <c r="Q322" s="541"/>
      <c r="R322" s="541"/>
      <c r="S322" s="541"/>
      <c r="T322" s="541"/>
      <c r="U322" s="541"/>
      <c r="V322" s="541"/>
      <c r="W322" s="541"/>
      <c r="X322" s="541"/>
      <c r="Y322" s="541"/>
      <c r="Z322" s="541">
        <v>15</v>
      </c>
      <c r="AA322" s="541"/>
      <c r="AB322" s="541"/>
      <c r="AC322" s="542" t="e">
        <f>IF(NFI_Expiration=1,IF(#REF!&lt;VLOOKUP(L$5,NFI,5,0),1,0)*Table_NFI[[#This Row],[NFI Core Kit]],Table_NFI[NFI Core Kit])</f>
        <v>#REF!</v>
      </c>
      <c r="AD322" s="542" t="e">
        <f>IF(NFI_Expiration=1,IF(#REF!&lt;VLOOKUP(M$5,NFI,5,0),1,0)*Table_NFI[[#This Row],[Sanitary Kit]],Table_NFI[Sanitary Kit])</f>
        <v>#REF!</v>
      </c>
      <c r="AE322" s="542" t="e">
        <f>IF(NFI_Expiration=1,IF(#REF!&lt;VLOOKUP(N$5,NFI,5,0),1,0)*Table_NFI[[#This Row],[Mosquito net]],Table_NFI[Mosquito net])</f>
        <v>#REF!</v>
      </c>
      <c r="AF322" s="542" t="e">
        <f>IF(NFI_Expiration=1,IF(#REF!&lt;VLOOKUP(O$5,NFI,5,0),1,0)*Table_NFI[[#This Row],[Tarpaulin]],Table_NFI[[#This Row],[Tarpaulin]])</f>
        <v>#REF!</v>
      </c>
      <c r="AG322" s="542" t="e">
        <f>IF(NFI_Expiration=1,IF(#REF!&lt;VLOOKUP(P$5,NFI,5,0),1,0)*Table_NFI[[#This Row],[Blanket]],Table_NFI[[#This Row],[Blanket]])</f>
        <v>#REF!</v>
      </c>
      <c r="AH322" s="542" t="e">
        <f>IF(NFI_Expiration=1,IF(#REF!&lt;VLOOKUP(Q$5,NFI,5,0),1,0)*Table_NFI[[#This Row],[Kitchen Set]],Table_NFI[Kitchen Set])</f>
        <v>#REF!</v>
      </c>
      <c r="AI322" s="542" t="e">
        <f>IF(NFI_Expiration=1,IF(#REF!&lt;VLOOKUP(R$5,NFI,5,0),1,0)*Table_NFI[[#This Row],[Clothes Kit]],Table_NFI[Clothes Kit])</f>
        <v>#REF!</v>
      </c>
      <c r="AJ322" s="542" t="e">
        <f>IF(NFI_Expiration=1,IF(#REF!&lt;VLOOKUP(S$5,NFI,5,0),1,0)*Table_NFI[[#This Row],[Plastic Bucket]],Table_NFI[Plastic Bucket])</f>
        <v>#REF!</v>
      </c>
      <c r="AK322" s="542" t="e">
        <f>IF(NFI_Expiration=1,IF(#REF!&lt;VLOOKUP(T$5,NFI,5,0),1,0)*Table_NFI[[#This Row],[Plastic Mat]],Table_NFI[Plastic Mat])*IF(Table_NFI[[#This Row],[Distribution Date]]&gt;"2014-04-01",1,2.5)</f>
        <v>#REF!</v>
      </c>
      <c r="AL322" s="542" t="e">
        <f>IF(NFI_Expiration=1,IF(#REF!&lt;VLOOKUP(U$5,NFI,5,0),1,0)*Table_NFI[[#This Row],[Winter Clothes Adult]],Table_NFI[Winter Clothes Adult])</f>
        <v>#REF!</v>
      </c>
      <c r="AM322" s="542"/>
      <c r="AN322" s="542"/>
      <c r="AO322" s="542"/>
      <c r="AP322" s="542">
        <f>IF(Table_NFI[[#This Row],[Winter Clothes Adult]]+Table_NFI[[#This Row],[Winter Clothes Children]]+Table_NFI[[#This Row],[Winter Items Other]]+Table_NFI[[#This Row],[Winter Blanket]]&gt;0,1,0)</f>
        <v>0</v>
      </c>
      <c r="AQ322" s="542"/>
      <c r="AR322" s="542"/>
      <c r="AS322" s="542"/>
      <c r="AT322" s="205" t="str">
        <f>IFERROR(VLOOKUP(Table_NFI[[#This Row],[Location]],CL,2,0),"")</f>
        <v>MMR015CMP018</v>
      </c>
      <c r="AU322" s="183"/>
    </row>
    <row r="323" spans="2:47" x14ac:dyDescent="0.25">
      <c r="B323" s="540">
        <v>43266</v>
      </c>
      <c r="C323" s="540" t="str">
        <f>MONTH(Table_NFI[[#This Row],[Distribution Date]]) &amp; "/" &amp; YEAR(Table_NFI[[#This Row],[Distribution Date]])</f>
        <v>6/2018</v>
      </c>
      <c r="D323" s="198" t="s">
        <v>420</v>
      </c>
      <c r="E323" s="198" t="s">
        <v>424</v>
      </c>
      <c r="F323" s="198" t="s">
        <v>378</v>
      </c>
      <c r="G323" s="197" t="s">
        <v>299</v>
      </c>
      <c r="H323" s="198" t="s">
        <v>300</v>
      </c>
      <c r="I323" s="183"/>
      <c r="J323" s="541"/>
      <c r="K323" s="541"/>
      <c r="L323" s="541"/>
      <c r="M323" s="541"/>
      <c r="N323" s="541">
        <v>28</v>
      </c>
      <c r="O323" s="541"/>
      <c r="P323" s="541"/>
      <c r="Q323" s="541"/>
      <c r="R323" s="541"/>
      <c r="S323" s="541"/>
      <c r="T323" s="541"/>
      <c r="U323" s="541"/>
      <c r="V323" s="541"/>
      <c r="W323" s="541"/>
      <c r="X323" s="541"/>
      <c r="Y323" s="541"/>
      <c r="Z323" s="541"/>
      <c r="AA323" s="541"/>
      <c r="AB323" s="541"/>
      <c r="AC323" s="542" t="e">
        <f>IF(NFI_Expiration=1,IF(#REF!&lt;VLOOKUP(L$5,NFI,5,0),1,0)*Table_NFI[[#This Row],[NFI Core Kit]],Table_NFI[NFI Core Kit])</f>
        <v>#REF!</v>
      </c>
      <c r="AD323" s="542" t="e">
        <f>IF(NFI_Expiration=1,IF(#REF!&lt;VLOOKUP(M$5,NFI,5,0),1,0)*Table_NFI[[#This Row],[Sanitary Kit]],Table_NFI[Sanitary Kit])</f>
        <v>#REF!</v>
      </c>
      <c r="AE323" s="542" t="e">
        <f>IF(NFI_Expiration=1,IF(#REF!&lt;VLOOKUP(N$5,NFI,5,0),1,0)*Table_NFI[[#This Row],[Mosquito net]],Table_NFI[Mosquito net])</f>
        <v>#REF!</v>
      </c>
      <c r="AF323" s="542" t="e">
        <f>IF(NFI_Expiration=1,IF(#REF!&lt;VLOOKUP(O$5,NFI,5,0),1,0)*Table_NFI[[#This Row],[Tarpaulin]],Table_NFI[[#This Row],[Tarpaulin]])</f>
        <v>#REF!</v>
      </c>
      <c r="AG323" s="542" t="e">
        <f>IF(NFI_Expiration=1,IF(#REF!&lt;VLOOKUP(P$5,NFI,5,0),1,0)*Table_NFI[[#This Row],[Blanket]],Table_NFI[[#This Row],[Blanket]])</f>
        <v>#REF!</v>
      </c>
      <c r="AH323" s="542" t="e">
        <f>IF(NFI_Expiration=1,IF(#REF!&lt;VLOOKUP(Q$5,NFI,5,0),1,0)*Table_NFI[[#This Row],[Kitchen Set]],Table_NFI[Kitchen Set])</f>
        <v>#REF!</v>
      </c>
      <c r="AI323" s="542" t="e">
        <f>IF(NFI_Expiration=1,IF(#REF!&lt;VLOOKUP(R$5,NFI,5,0),1,0)*Table_NFI[[#This Row],[Clothes Kit]],Table_NFI[Clothes Kit])</f>
        <v>#REF!</v>
      </c>
      <c r="AJ323" s="542" t="e">
        <f>IF(NFI_Expiration=1,IF(#REF!&lt;VLOOKUP(S$5,NFI,5,0),1,0)*Table_NFI[[#This Row],[Plastic Bucket]],Table_NFI[Plastic Bucket])</f>
        <v>#REF!</v>
      </c>
      <c r="AK323" s="542" t="e">
        <f>IF(NFI_Expiration=1,IF(#REF!&lt;VLOOKUP(T$5,NFI,5,0),1,0)*Table_NFI[[#This Row],[Plastic Mat]],Table_NFI[Plastic Mat])*IF(Table_NFI[[#This Row],[Distribution Date]]&gt;"2014-04-01",1,2.5)</f>
        <v>#REF!</v>
      </c>
      <c r="AL323" s="542" t="e">
        <f>IF(NFI_Expiration=1,IF(#REF!&lt;VLOOKUP(U$5,NFI,5,0),1,0)*Table_NFI[[#This Row],[Winter Clothes Adult]],Table_NFI[Winter Clothes Adult])</f>
        <v>#REF!</v>
      </c>
      <c r="AM323" s="542"/>
      <c r="AN323" s="542"/>
      <c r="AO323" s="542"/>
      <c r="AP323" s="542">
        <f>IF(Table_NFI[[#This Row],[Winter Clothes Adult]]+Table_NFI[[#This Row],[Winter Clothes Children]]+Table_NFI[[#This Row],[Winter Items Other]]+Table_NFI[[#This Row],[Winter Blanket]]&gt;0,1,0)</f>
        <v>0</v>
      </c>
      <c r="AQ323" s="542"/>
      <c r="AR323" s="542"/>
      <c r="AS323" s="542"/>
      <c r="AT323" s="205" t="str">
        <f>IFERROR(VLOOKUP(Table_NFI[[#This Row],[Location]],CL,2,0),"")</f>
        <v>MMR001CMP075</v>
      </c>
      <c r="AU323" s="183"/>
    </row>
    <row r="324" spans="2:47" x14ac:dyDescent="0.25">
      <c r="B324" s="540">
        <v>43251</v>
      </c>
      <c r="C324" s="540" t="str">
        <f>MONTH(Table_NFI[[#This Row],[Distribution Date]]) &amp; "/" &amp; YEAR(Table_NFI[[#This Row],[Distribution Date]])</f>
        <v>5/2018</v>
      </c>
      <c r="D324" s="198" t="s">
        <v>1635</v>
      </c>
      <c r="E324" s="198" t="s">
        <v>1732</v>
      </c>
      <c r="F324" s="198" t="s">
        <v>378</v>
      </c>
      <c r="G324" s="197" t="s">
        <v>309</v>
      </c>
      <c r="H324" s="198" t="s">
        <v>1745</v>
      </c>
      <c r="I324" s="183"/>
      <c r="J324" s="541"/>
      <c r="K324" s="541"/>
      <c r="L324" s="541">
        <v>80</v>
      </c>
      <c r="M324" s="541"/>
      <c r="N324" s="541">
        <v>160</v>
      </c>
      <c r="O324" s="541">
        <v>160</v>
      </c>
      <c r="P324" s="541">
        <v>160</v>
      </c>
      <c r="Q324" s="541">
        <v>80</v>
      </c>
      <c r="R324" s="541"/>
      <c r="S324" s="541">
        <v>80</v>
      </c>
      <c r="T324" s="541"/>
      <c r="U324" s="541"/>
      <c r="V324" s="541"/>
      <c r="W324" s="541"/>
      <c r="X324" s="541"/>
      <c r="Y324" s="541"/>
      <c r="Z324" s="541"/>
      <c r="AA324" s="541"/>
      <c r="AB324" s="541"/>
      <c r="AC324" s="542" t="e">
        <f>IF(NFI_Expiration=1,IF(#REF!&lt;VLOOKUP(L$5,NFI,5,0),1,0)*Table_NFI[[#This Row],[NFI Core Kit]],Table_NFI[NFI Core Kit])</f>
        <v>#REF!</v>
      </c>
      <c r="AD324" s="542" t="e">
        <f>IF(NFI_Expiration=1,IF(#REF!&lt;VLOOKUP(M$5,NFI,5,0),1,0)*Table_NFI[[#This Row],[Sanitary Kit]],Table_NFI[Sanitary Kit])</f>
        <v>#REF!</v>
      </c>
      <c r="AE324" s="542" t="e">
        <f>IF(NFI_Expiration=1,IF(#REF!&lt;VLOOKUP(N$5,NFI,5,0),1,0)*Table_NFI[[#This Row],[Mosquito net]],Table_NFI[Mosquito net])</f>
        <v>#REF!</v>
      </c>
      <c r="AF324" s="542" t="e">
        <f>IF(NFI_Expiration=1,IF(#REF!&lt;VLOOKUP(O$5,NFI,5,0),1,0)*Table_NFI[[#This Row],[Tarpaulin]],Table_NFI[[#This Row],[Tarpaulin]])</f>
        <v>#REF!</v>
      </c>
      <c r="AG324" s="542" t="e">
        <f>IF(NFI_Expiration=1,IF(#REF!&lt;VLOOKUP(P$5,NFI,5,0),1,0)*Table_NFI[[#This Row],[Blanket]],Table_NFI[[#This Row],[Blanket]])</f>
        <v>#REF!</v>
      </c>
      <c r="AH324" s="542" t="e">
        <f>IF(NFI_Expiration=1,IF(#REF!&lt;VLOOKUP(Q$5,NFI,5,0),1,0)*Table_NFI[[#This Row],[Kitchen Set]],Table_NFI[Kitchen Set])</f>
        <v>#REF!</v>
      </c>
      <c r="AI324" s="542" t="e">
        <f>IF(NFI_Expiration=1,IF(#REF!&lt;VLOOKUP(R$5,NFI,5,0),1,0)*Table_NFI[[#This Row],[Clothes Kit]],Table_NFI[Clothes Kit])</f>
        <v>#REF!</v>
      </c>
      <c r="AJ324" s="542" t="e">
        <f>IF(NFI_Expiration=1,IF(#REF!&lt;VLOOKUP(S$5,NFI,5,0),1,0)*Table_NFI[[#This Row],[Plastic Bucket]],Table_NFI[Plastic Bucket])</f>
        <v>#REF!</v>
      </c>
      <c r="AK324" s="542" t="e">
        <f>IF(NFI_Expiration=1,IF(#REF!&lt;VLOOKUP(T$5,NFI,5,0),1,0)*Table_NFI[[#This Row],[Plastic Mat]],Table_NFI[Plastic Mat])*IF(Table_NFI[[#This Row],[Distribution Date]]&gt;"2014-04-01",1,2.5)</f>
        <v>#REF!</v>
      </c>
      <c r="AL324" s="542" t="e">
        <f>IF(NFI_Expiration=1,IF(#REF!&lt;VLOOKUP(U$5,NFI,5,0),1,0)*Table_NFI[[#This Row],[Winter Clothes Adult]],Table_NFI[Winter Clothes Adult])</f>
        <v>#REF!</v>
      </c>
      <c r="AM324" s="542"/>
      <c r="AN324" s="542"/>
      <c r="AO324" s="542"/>
      <c r="AP324" s="542">
        <f>IF(Table_NFI[[#This Row],[Winter Clothes Adult]]+Table_NFI[[#This Row],[Winter Clothes Children]]+Table_NFI[[#This Row],[Winter Items Other]]+Table_NFI[[#This Row],[Winter Blanket]]&gt;0,1,0)</f>
        <v>0</v>
      </c>
      <c r="AQ324" s="542"/>
      <c r="AR324" s="542"/>
      <c r="AS324" s="542"/>
      <c r="AT324" s="205" t="str">
        <f>IFERROR(VLOOKUP(Table_NFI[[#This Row],[Location]],CL,2,0),"")</f>
        <v>MMR001CMP269</v>
      </c>
      <c r="AU324" s="183"/>
    </row>
    <row r="325" spans="2:47" x14ac:dyDescent="0.25">
      <c r="B325" s="540">
        <v>43281</v>
      </c>
      <c r="C325" s="540" t="str">
        <f>MONTH(Table_NFI[[#This Row],[Distribution Date]]) &amp; "/" &amp; YEAR(Table_NFI[[#This Row],[Distribution Date]])</f>
        <v>6/2018</v>
      </c>
      <c r="D325" s="198" t="s">
        <v>1635</v>
      </c>
      <c r="E325" s="198" t="s">
        <v>1732</v>
      </c>
      <c r="F325" s="198" t="s">
        <v>378</v>
      </c>
      <c r="G325" s="197" t="s">
        <v>237</v>
      </c>
      <c r="H325" s="198" t="s">
        <v>254</v>
      </c>
      <c r="I325" s="183"/>
      <c r="J325" s="541"/>
      <c r="K325" s="541"/>
      <c r="L325" s="541">
        <v>3</v>
      </c>
      <c r="M325" s="541"/>
      <c r="N325" s="541">
        <v>6</v>
      </c>
      <c r="O325" s="541">
        <v>6</v>
      </c>
      <c r="P325" s="541">
        <v>6</v>
      </c>
      <c r="Q325" s="541">
        <v>3</v>
      </c>
      <c r="R325" s="541"/>
      <c r="S325" s="541">
        <v>3</v>
      </c>
      <c r="T325" s="541"/>
      <c r="U325" s="541"/>
      <c r="V325" s="541"/>
      <c r="W325" s="541"/>
      <c r="X325" s="541"/>
      <c r="Y325" s="541"/>
      <c r="Z325" s="541"/>
      <c r="AA325" s="541"/>
      <c r="AB325" s="541"/>
      <c r="AC325" s="542" t="e">
        <f>IF(NFI_Expiration=1,IF(#REF!&lt;VLOOKUP(L$5,NFI,5,0),1,0)*Table_NFI[[#This Row],[NFI Core Kit]],Table_NFI[NFI Core Kit])</f>
        <v>#REF!</v>
      </c>
      <c r="AD325" s="542" t="e">
        <f>IF(NFI_Expiration=1,IF(#REF!&lt;VLOOKUP(M$5,NFI,5,0),1,0)*Table_NFI[[#This Row],[Sanitary Kit]],Table_NFI[Sanitary Kit])</f>
        <v>#REF!</v>
      </c>
      <c r="AE325" s="542" t="e">
        <f>IF(NFI_Expiration=1,IF(#REF!&lt;VLOOKUP(N$5,NFI,5,0),1,0)*Table_NFI[[#This Row],[Mosquito net]],Table_NFI[Mosquito net])</f>
        <v>#REF!</v>
      </c>
      <c r="AF325" s="542" t="e">
        <f>IF(NFI_Expiration=1,IF(#REF!&lt;VLOOKUP(O$5,NFI,5,0),1,0)*Table_NFI[[#This Row],[Tarpaulin]],Table_NFI[[#This Row],[Tarpaulin]])</f>
        <v>#REF!</v>
      </c>
      <c r="AG325" s="542" t="e">
        <f>IF(NFI_Expiration=1,IF(#REF!&lt;VLOOKUP(P$5,NFI,5,0),1,0)*Table_NFI[[#This Row],[Blanket]],Table_NFI[[#This Row],[Blanket]])</f>
        <v>#REF!</v>
      </c>
      <c r="AH325" s="542" t="e">
        <f>IF(NFI_Expiration=1,IF(#REF!&lt;VLOOKUP(Q$5,NFI,5,0),1,0)*Table_NFI[[#This Row],[Kitchen Set]],Table_NFI[Kitchen Set])</f>
        <v>#REF!</v>
      </c>
      <c r="AI325" s="542" t="e">
        <f>IF(NFI_Expiration=1,IF(#REF!&lt;VLOOKUP(R$5,NFI,5,0),1,0)*Table_NFI[[#This Row],[Clothes Kit]],Table_NFI[Clothes Kit])</f>
        <v>#REF!</v>
      </c>
      <c r="AJ325" s="542" t="e">
        <f>IF(NFI_Expiration=1,IF(#REF!&lt;VLOOKUP(S$5,NFI,5,0),1,0)*Table_NFI[[#This Row],[Plastic Bucket]],Table_NFI[Plastic Bucket])</f>
        <v>#REF!</v>
      </c>
      <c r="AK325" s="542" t="e">
        <f>IF(NFI_Expiration=1,IF(#REF!&lt;VLOOKUP(T$5,NFI,5,0),1,0)*Table_NFI[[#This Row],[Plastic Mat]],Table_NFI[Plastic Mat])*IF(Table_NFI[[#This Row],[Distribution Date]]&gt;"2014-04-01",1,2.5)</f>
        <v>#REF!</v>
      </c>
      <c r="AL325" s="542" t="e">
        <f>IF(NFI_Expiration=1,IF(#REF!&lt;VLOOKUP(U$5,NFI,5,0),1,0)*Table_NFI[[#This Row],[Winter Clothes Adult]],Table_NFI[Winter Clothes Adult])</f>
        <v>#REF!</v>
      </c>
      <c r="AM325" s="542"/>
      <c r="AN325" s="542"/>
      <c r="AO325" s="542"/>
      <c r="AP325" s="542">
        <f>IF(Table_NFI[[#This Row],[Winter Clothes Adult]]+Table_NFI[[#This Row],[Winter Clothes Children]]+Table_NFI[[#This Row],[Winter Items Other]]+Table_NFI[[#This Row],[Winter Blanket]]&gt;0,1,0)</f>
        <v>0</v>
      </c>
      <c r="AQ325" s="542"/>
      <c r="AR325" s="542"/>
      <c r="AS325" s="542"/>
      <c r="AT325" s="205" t="str">
        <f>IFERROR(VLOOKUP(Table_NFI[[#This Row],[Location]],CL,2,0),"")</f>
        <v>MMR001CMP019</v>
      </c>
      <c r="AU325" s="183"/>
    </row>
    <row r="326" spans="2:47" x14ac:dyDescent="0.25">
      <c r="B326" s="540">
        <v>43281</v>
      </c>
      <c r="C326" s="540" t="str">
        <f>MONTH(Table_NFI[[#This Row],[Distribution Date]]) &amp; "/" &amp; YEAR(Table_NFI[[#This Row],[Distribution Date]])</f>
        <v>6/2018</v>
      </c>
      <c r="D326" s="198" t="s">
        <v>1635</v>
      </c>
      <c r="E326" s="198" t="s">
        <v>1732</v>
      </c>
      <c r="F326" s="198" t="s">
        <v>378</v>
      </c>
      <c r="G326" s="197" t="s">
        <v>237</v>
      </c>
      <c r="H326" s="198" t="s">
        <v>272</v>
      </c>
      <c r="I326" s="183"/>
      <c r="J326" s="541"/>
      <c r="K326" s="541"/>
      <c r="L326" s="541">
        <v>11</v>
      </c>
      <c r="M326" s="541"/>
      <c r="N326" s="541">
        <v>22</v>
      </c>
      <c r="O326" s="541">
        <v>22</v>
      </c>
      <c r="P326" s="541">
        <v>22</v>
      </c>
      <c r="Q326" s="541">
        <v>11</v>
      </c>
      <c r="R326" s="541"/>
      <c r="S326" s="541">
        <v>11</v>
      </c>
      <c r="T326" s="541"/>
      <c r="U326" s="541"/>
      <c r="V326" s="541"/>
      <c r="W326" s="541"/>
      <c r="X326" s="541"/>
      <c r="Y326" s="541"/>
      <c r="Z326" s="541"/>
      <c r="AA326" s="541"/>
      <c r="AB326" s="541"/>
      <c r="AC326" s="542" t="e">
        <f>IF(NFI_Expiration=1,IF(#REF!&lt;VLOOKUP(L$5,NFI,5,0),1,0)*Table_NFI[[#This Row],[NFI Core Kit]],Table_NFI[NFI Core Kit])</f>
        <v>#REF!</v>
      </c>
      <c r="AD326" s="542" t="e">
        <f>IF(NFI_Expiration=1,IF(#REF!&lt;VLOOKUP(M$5,NFI,5,0),1,0)*Table_NFI[[#This Row],[Sanitary Kit]],Table_NFI[Sanitary Kit])</f>
        <v>#REF!</v>
      </c>
      <c r="AE326" s="542" t="e">
        <f>IF(NFI_Expiration=1,IF(#REF!&lt;VLOOKUP(N$5,NFI,5,0),1,0)*Table_NFI[[#This Row],[Mosquito net]],Table_NFI[Mosquito net])</f>
        <v>#REF!</v>
      </c>
      <c r="AF326" s="542" t="e">
        <f>IF(NFI_Expiration=1,IF(#REF!&lt;VLOOKUP(O$5,NFI,5,0),1,0)*Table_NFI[[#This Row],[Tarpaulin]],Table_NFI[[#This Row],[Tarpaulin]])</f>
        <v>#REF!</v>
      </c>
      <c r="AG326" s="542" t="e">
        <f>IF(NFI_Expiration=1,IF(#REF!&lt;VLOOKUP(P$5,NFI,5,0),1,0)*Table_NFI[[#This Row],[Blanket]],Table_NFI[[#This Row],[Blanket]])</f>
        <v>#REF!</v>
      </c>
      <c r="AH326" s="542" t="e">
        <f>IF(NFI_Expiration=1,IF(#REF!&lt;VLOOKUP(Q$5,NFI,5,0),1,0)*Table_NFI[[#This Row],[Kitchen Set]],Table_NFI[Kitchen Set])</f>
        <v>#REF!</v>
      </c>
      <c r="AI326" s="542" t="e">
        <f>IF(NFI_Expiration=1,IF(#REF!&lt;VLOOKUP(R$5,NFI,5,0),1,0)*Table_NFI[[#This Row],[Clothes Kit]],Table_NFI[Clothes Kit])</f>
        <v>#REF!</v>
      </c>
      <c r="AJ326" s="542" t="e">
        <f>IF(NFI_Expiration=1,IF(#REF!&lt;VLOOKUP(S$5,NFI,5,0),1,0)*Table_NFI[[#This Row],[Plastic Bucket]],Table_NFI[Plastic Bucket])</f>
        <v>#REF!</v>
      </c>
      <c r="AK326" s="542" t="e">
        <f>IF(NFI_Expiration=1,IF(#REF!&lt;VLOOKUP(T$5,NFI,5,0),1,0)*Table_NFI[[#This Row],[Plastic Mat]],Table_NFI[Plastic Mat])*IF(Table_NFI[[#This Row],[Distribution Date]]&gt;"2014-04-01",1,2.5)</f>
        <v>#REF!</v>
      </c>
      <c r="AL326" s="542" t="e">
        <f>IF(NFI_Expiration=1,IF(#REF!&lt;VLOOKUP(U$5,NFI,5,0),1,0)*Table_NFI[[#This Row],[Winter Clothes Adult]],Table_NFI[Winter Clothes Adult])</f>
        <v>#REF!</v>
      </c>
      <c r="AM326" s="542"/>
      <c r="AN326" s="542"/>
      <c r="AO326" s="542"/>
      <c r="AP326" s="542">
        <f>IF(Table_NFI[[#This Row],[Winter Clothes Adult]]+Table_NFI[[#This Row],[Winter Clothes Children]]+Table_NFI[[#This Row],[Winter Items Other]]+Table_NFI[[#This Row],[Winter Blanket]]&gt;0,1,0)</f>
        <v>0</v>
      </c>
      <c r="AQ326" s="542"/>
      <c r="AR326" s="542"/>
      <c r="AS326" s="542"/>
      <c r="AT326" s="205" t="str">
        <f>IFERROR(VLOOKUP(Table_NFI[[#This Row],[Location]],CL,2,0),"")</f>
        <v>MMR001CMP162</v>
      </c>
      <c r="AU326" s="183"/>
    </row>
    <row r="327" spans="2:47" x14ac:dyDescent="0.25">
      <c r="B327" s="540">
        <v>43281</v>
      </c>
      <c r="C327" s="540" t="str">
        <f>MONTH(Table_NFI[[#This Row],[Distribution Date]]) &amp; "/" &amp; YEAR(Table_NFI[[#This Row],[Distribution Date]])</f>
        <v>6/2018</v>
      </c>
      <c r="D327" s="198" t="s">
        <v>1635</v>
      </c>
      <c r="E327" s="198" t="s">
        <v>1732</v>
      </c>
      <c r="F327" s="198" t="s">
        <v>378</v>
      </c>
      <c r="G327" s="197" t="s">
        <v>173</v>
      </c>
      <c r="H327" s="198" t="s">
        <v>1486</v>
      </c>
      <c r="I327" s="183"/>
      <c r="J327" s="541"/>
      <c r="K327" s="541"/>
      <c r="L327" s="541">
        <v>6</v>
      </c>
      <c r="M327" s="541"/>
      <c r="N327" s="541">
        <v>12</v>
      </c>
      <c r="O327" s="541">
        <v>12</v>
      </c>
      <c r="P327" s="541">
        <v>12</v>
      </c>
      <c r="Q327" s="541">
        <v>6</v>
      </c>
      <c r="R327" s="541"/>
      <c r="S327" s="541">
        <v>6</v>
      </c>
      <c r="T327" s="541"/>
      <c r="U327" s="541"/>
      <c r="V327" s="541"/>
      <c r="W327" s="541"/>
      <c r="X327" s="541"/>
      <c r="Y327" s="541"/>
      <c r="Z327" s="541"/>
      <c r="AA327" s="541"/>
      <c r="AB327" s="541"/>
      <c r="AC327" s="542" t="e">
        <f>IF(NFI_Expiration=1,IF(#REF!&lt;VLOOKUP(L$5,NFI,5,0),1,0)*Table_NFI[[#This Row],[NFI Core Kit]],Table_NFI[NFI Core Kit])</f>
        <v>#REF!</v>
      </c>
      <c r="AD327" s="542" t="e">
        <f>IF(NFI_Expiration=1,IF(#REF!&lt;VLOOKUP(M$5,NFI,5,0),1,0)*Table_NFI[[#This Row],[Sanitary Kit]],Table_NFI[Sanitary Kit])</f>
        <v>#REF!</v>
      </c>
      <c r="AE327" s="542" t="e">
        <f>IF(NFI_Expiration=1,IF(#REF!&lt;VLOOKUP(N$5,NFI,5,0),1,0)*Table_NFI[[#This Row],[Mosquito net]],Table_NFI[Mosquito net])</f>
        <v>#REF!</v>
      </c>
      <c r="AF327" s="542" t="e">
        <f>IF(NFI_Expiration=1,IF(#REF!&lt;VLOOKUP(O$5,NFI,5,0),1,0)*Table_NFI[[#This Row],[Tarpaulin]],Table_NFI[[#This Row],[Tarpaulin]])</f>
        <v>#REF!</v>
      </c>
      <c r="AG327" s="542" t="e">
        <f>IF(NFI_Expiration=1,IF(#REF!&lt;VLOOKUP(P$5,NFI,5,0),1,0)*Table_NFI[[#This Row],[Blanket]],Table_NFI[[#This Row],[Blanket]])</f>
        <v>#REF!</v>
      </c>
      <c r="AH327" s="542" t="e">
        <f>IF(NFI_Expiration=1,IF(#REF!&lt;VLOOKUP(Q$5,NFI,5,0),1,0)*Table_NFI[[#This Row],[Kitchen Set]],Table_NFI[Kitchen Set])</f>
        <v>#REF!</v>
      </c>
      <c r="AI327" s="542" t="e">
        <f>IF(NFI_Expiration=1,IF(#REF!&lt;VLOOKUP(R$5,NFI,5,0),1,0)*Table_NFI[[#This Row],[Clothes Kit]],Table_NFI[Clothes Kit])</f>
        <v>#REF!</v>
      </c>
      <c r="AJ327" s="542" t="e">
        <f>IF(NFI_Expiration=1,IF(#REF!&lt;VLOOKUP(S$5,NFI,5,0),1,0)*Table_NFI[[#This Row],[Plastic Bucket]],Table_NFI[Plastic Bucket])</f>
        <v>#REF!</v>
      </c>
      <c r="AK327" s="542" t="e">
        <f>IF(NFI_Expiration=1,IF(#REF!&lt;VLOOKUP(T$5,NFI,5,0),1,0)*Table_NFI[[#This Row],[Plastic Mat]],Table_NFI[Plastic Mat])*IF(Table_NFI[[#This Row],[Distribution Date]]&gt;"2014-04-01",1,2.5)</f>
        <v>#REF!</v>
      </c>
      <c r="AL327" s="542" t="e">
        <f>IF(NFI_Expiration=1,IF(#REF!&lt;VLOOKUP(U$5,NFI,5,0),1,0)*Table_NFI[[#This Row],[Winter Clothes Adult]],Table_NFI[Winter Clothes Adult])</f>
        <v>#REF!</v>
      </c>
      <c r="AM327" s="542"/>
      <c r="AN327" s="542"/>
      <c r="AO327" s="542"/>
      <c r="AP327" s="542">
        <f>IF(Table_NFI[[#This Row],[Winter Clothes Adult]]+Table_NFI[[#This Row],[Winter Clothes Children]]+Table_NFI[[#This Row],[Winter Items Other]]+Table_NFI[[#This Row],[Winter Blanket]]&gt;0,1,0)</f>
        <v>0</v>
      </c>
      <c r="AQ327" s="542"/>
      <c r="AR327" s="542"/>
      <c r="AS327" s="542"/>
      <c r="AT327" s="205" t="str">
        <f>IFERROR(VLOOKUP(Table_NFI[[#This Row],[Location]],CL,2,0),"")</f>
        <v>MMR001CMP077</v>
      </c>
      <c r="AU327" s="183"/>
    </row>
    <row r="328" spans="2:47" x14ac:dyDescent="0.25">
      <c r="B328" s="540">
        <v>43271</v>
      </c>
      <c r="C328" s="540" t="str">
        <f>MONTH(Table_NFI[[#This Row],[Distribution Date]]) &amp; "/" &amp; YEAR(Table_NFI[[#This Row],[Distribution Date]])</f>
        <v>6/2018</v>
      </c>
      <c r="D328" s="198" t="s">
        <v>1635</v>
      </c>
      <c r="E328" s="198" t="s">
        <v>1732</v>
      </c>
      <c r="F328" s="198" t="s">
        <v>378</v>
      </c>
      <c r="G328" s="197" t="s">
        <v>309</v>
      </c>
      <c r="H328" s="198" t="s">
        <v>349</v>
      </c>
      <c r="I328" s="183"/>
      <c r="J328" s="541"/>
      <c r="K328" s="541"/>
      <c r="L328" s="541">
        <v>35</v>
      </c>
      <c r="M328" s="541"/>
      <c r="N328" s="541">
        <v>70</v>
      </c>
      <c r="O328" s="541">
        <v>70</v>
      </c>
      <c r="P328" s="541">
        <v>70</v>
      </c>
      <c r="Q328" s="541">
        <v>35</v>
      </c>
      <c r="R328" s="541"/>
      <c r="S328" s="541">
        <v>35</v>
      </c>
      <c r="T328" s="541"/>
      <c r="U328" s="541"/>
      <c r="V328" s="541"/>
      <c r="W328" s="541"/>
      <c r="X328" s="541"/>
      <c r="Y328" s="541"/>
      <c r="Z328" s="541"/>
      <c r="AA328" s="541"/>
      <c r="AB328" s="541"/>
      <c r="AC328" s="542" t="e">
        <f>IF(NFI_Expiration=1,IF(#REF!&lt;VLOOKUP(L$5,NFI,5,0),1,0)*Table_NFI[[#This Row],[NFI Core Kit]],Table_NFI[NFI Core Kit])</f>
        <v>#REF!</v>
      </c>
      <c r="AD328" s="542" t="e">
        <f>IF(NFI_Expiration=1,IF(#REF!&lt;VLOOKUP(M$5,NFI,5,0),1,0)*Table_NFI[[#This Row],[Sanitary Kit]],Table_NFI[Sanitary Kit])</f>
        <v>#REF!</v>
      </c>
      <c r="AE328" s="542" t="e">
        <f>IF(NFI_Expiration=1,IF(#REF!&lt;VLOOKUP(N$5,NFI,5,0),1,0)*Table_NFI[[#This Row],[Mosquito net]],Table_NFI[Mosquito net])</f>
        <v>#REF!</v>
      </c>
      <c r="AF328" s="542" t="e">
        <f>IF(NFI_Expiration=1,IF(#REF!&lt;VLOOKUP(O$5,NFI,5,0),1,0)*Table_NFI[[#This Row],[Tarpaulin]],Table_NFI[[#This Row],[Tarpaulin]])</f>
        <v>#REF!</v>
      </c>
      <c r="AG328" s="542" t="e">
        <f>IF(NFI_Expiration=1,IF(#REF!&lt;VLOOKUP(P$5,NFI,5,0),1,0)*Table_NFI[[#This Row],[Blanket]],Table_NFI[[#This Row],[Blanket]])</f>
        <v>#REF!</v>
      </c>
      <c r="AH328" s="542" t="e">
        <f>IF(NFI_Expiration=1,IF(#REF!&lt;VLOOKUP(Q$5,NFI,5,0),1,0)*Table_NFI[[#This Row],[Kitchen Set]],Table_NFI[Kitchen Set])</f>
        <v>#REF!</v>
      </c>
      <c r="AI328" s="542" t="e">
        <f>IF(NFI_Expiration=1,IF(#REF!&lt;VLOOKUP(R$5,NFI,5,0),1,0)*Table_NFI[[#This Row],[Clothes Kit]],Table_NFI[Clothes Kit])</f>
        <v>#REF!</v>
      </c>
      <c r="AJ328" s="542" t="e">
        <f>IF(NFI_Expiration=1,IF(#REF!&lt;VLOOKUP(S$5,NFI,5,0),1,0)*Table_NFI[[#This Row],[Plastic Bucket]],Table_NFI[Plastic Bucket])</f>
        <v>#REF!</v>
      </c>
      <c r="AK328" s="542" t="e">
        <f>IF(NFI_Expiration=1,IF(#REF!&lt;VLOOKUP(T$5,NFI,5,0),1,0)*Table_NFI[[#This Row],[Plastic Mat]],Table_NFI[Plastic Mat])*IF(Table_NFI[[#This Row],[Distribution Date]]&gt;"2014-04-01",1,2.5)</f>
        <v>#REF!</v>
      </c>
      <c r="AL328" s="542" t="e">
        <f>IF(NFI_Expiration=1,IF(#REF!&lt;VLOOKUP(U$5,NFI,5,0),1,0)*Table_NFI[[#This Row],[Winter Clothes Adult]],Table_NFI[Winter Clothes Adult])</f>
        <v>#REF!</v>
      </c>
      <c r="AM328" s="542"/>
      <c r="AN328" s="542"/>
      <c r="AO328" s="542"/>
      <c r="AP328" s="542">
        <f>IF(Table_NFI[[#This Row],[Winter Clothes Adult]]+Table_NFI[[#This Row],[Winter Clothes Children]]+Table_NFI[[#This Row],[Winter Items Other]]+Table_NFI[[#This Row],[Winter Blanket]]&gt;0,1,0)</f>
        <v>0</v>
      </c>
      <c r="AQ328" s="542"/>
      <c r="AR328" s="542"/>
      <c r="AS328" s="542"/>
      <c r="AT328" s="205" t="str">
        <f>IFERROR(VLOOKUP(Table_NFI[[#This Row],[Location]],CL,2,0),"")</f>
        <v>MMR001CMP026</v>
      </c>
      <c r="AU328" s="183"/>
    </row>
    <row r="329" spans="2:47" x14ac:dyDescent="0.25">
      <c r="B329" s="540">
        <v>43284</v>
      </c>
      <c r="C329" s="540" t="str">
        <f>MONTH(Table_NFI[[#This Row],[Distribution Date]]) &amp; "/" &amp; YEAR(Table_NFI[[#This Row],[Distribution Date]])</f>
        <v>7/2018</v>
      </c>
      <c r="D329" s="198" t="s">
        <v>420</v>
      </c>
      <c r="E329" s="198" t="s">
        <v>462</v>
      </c>
      <c r="F329" s="198" t="s">
        <v>378</v>
      </c>
      <c r="G329" s="197" t="s">
        <v>237</v>
      </c>
      <c r="H329" s="198" t="s">
        <v>248</v>
      </c>
      <c r="I329" s="183"/>
      <c r="J329" s="541"/>
      <c r="K329" s="541"/>
      <c r="L329" s="541">
        <v>9</v>
      </c>
      <c r="M329" s="541">
        <v>9</v>
      </c>
      <c r="N329" s="541">
        <v>29</v>
      </c>
      <c r="O329" s="541">
        <v>9</v>
      </c>
      <c r="P329" s="541">
        <v>29</v>
      </c>
      <c r="Q329" s="541">
        <v>10</v>
      </c>
      <c r="R329" s="541"/>
      <c r="S329" s="541">
        <v>9</v>
      </c>
      <c r="T329" s="541">
        <v>46</v>
      </c>
      <c r="U329" s="541"/>
      <c r="V329" s="541"/>
      <c r="W329" s="541"/>
      <c r="X329" s="541"/>
      <c r="Y329" s="541">
        <v>9</v>
      </c>
      <c r="Z329" s="541"/>
      <c r="AA329" s="541"/>
      <c r="AB329" s="541"/>
      <c r="AC329" s="542" t="e">
        <f>IF(NFI_Expiration=1,IF(#REF!&lt;VLOOKUP(L$5,NFI,5,0),1,0)*Table_NFI[[#This Row],[NFI Core Kit]],Table_NFI[NFI Core Kit])</f>
        <v>#REF!</v>
      </c>
      <c r="AD329" s="542" t="e">
        <f>IF(NFI_Expiration=1,IF(#REF!&lt;VLOOKUP(M$5,NFI,5,0),1,0)*Table_NFI[[#This Row],[Sanitary Kit]],Table_NFI[Sanitary Kit])</f>
        <v>#REF!</v>
      </c>
      <c r="AE329" s="542" t="e">
        <f>IF(NFI_Expiration=1,IF(#REF!&lt;VLOOKUP(N$5,NFI,5,0),1,0)*Table_NFI[[#This Row],[Mosquito net]],Table_NFI[Mosquito net])</f>
        <v>#REF!</v>
      </c>
      <c r="AF329" s="542" t="e">
        <f>IF(NFI_Expiration=1,IF(#REF!&lt;VLOOKUP(O$5,NFI,5,0),1,0)*Table_NFI[[#This Row],[Tarpaulin]],Table_NFI[[#This Row],[Tarpaulin]])</f>
        <v>#REF!</v>
      </c>
      <c r="AG329" s="542" t="e">
        <f>IF(NFI_Expiration=1,IF(#REF!&lt;VLOOKUP(P$5,NFI,5,0),1,0)*Table_NFI[[#This Row],[Blanket]],Table_NFI[[#This Row],[Blanket]])</f>
        <v>#REF!</v>
      </c>
      <c r="AH329" s="542" t="e">
        <f>IF(NFI_Expiration=1,IF(#REF!&lt;VLOOKUP(Q$5,NFI,5,0),1,0)*Table_NFI[[#This Row],[Kitchen Set]],Table_NFI[Kitchen Set])</f>
        <v>#REF!</v>
      </c>
      <c r="AI329" s="542" t="e">
        <f>IF(NFI_Expiration=1,IF(#REF!&lt;VLOOKUP(R$5,NFI,5,0),1,0)*Table_NFI[[#This Row],[Clothes Kit]],Table_NFI[Clothes Kit])</f>
        <v>#REF!</v>
      </c>
      <c r="AJ329" s="542" t="e">
        <f>IF(NFI_Expiration=1,IF(#REF!&lt;VLOOKUP(S$5,NFI,5,0),1,0)*Table_NFI[[#This Row],[Plastic Bucket]],Table_NFI[Plastic Bucket])</f>
        <v>#REF!</v>
      </c>
      <c r="AK329" s="542" t="e">
        <f>IF(NFI_Expiration=1,IF(#REF!&lt;VLOOKUP(T$5,NFI,5,0),1,0)*Table_NFI[[#This Row],[Plastic Mat]],Table_NFI[Plastic Mat])*IF(Table_NFI[[#This Row],[Distribution Date]]&gt;"2014-04-01",1,2.5)</f>
        <v>#REF!</v>
      </c>
      <c r="AL329" s="542" t="e">
        <f>IF(NFI_Expiration=1,IF(#REF!&lt;VLOOKUP(U$5,NFI,5,0),1,0)*Table_NFI[[#This Row],[Winter Clothes Adult]],Table_NFI[Winter Clothes Adult])</f>
        <v>#REF!</v>
      </c>
      <c r="AM329" s="542"/>
      <c r="AN329" s="542"/>
      <c r="AO329" s="542"/>
      <c r="AP329" s="542">
        <f>IF(Table_NFI[[#This Row],[Winter Clothes Adult]]+Table_NFI[[#This Row],[Winter Clothes Children]]+Table_NFI[[#This Row],[Winter Items Other]]+Table_NFI[[#This Row],[Winter Blanket]]&gt;0,1,0)</f>
        <v>0</v>
      </c>
      <c r="AQ329" s="542"/>
      <c r="AR329" s="542"/>
      <c r="AS329" s="542"/>
      <c r="AT329" s="205" t="str">
        <f>IFERROR(VLOOKUP(Table_NFI[[#This Row],[Location]],CL,2,0),"")</f>
        <v>MMR001CMP004</v>
      </c>
      <c r="AU329" s="183"/>
    </row>
    <row r="330" spans="2:47" x14ac:dyDescent="0.25">
      <c r="B330" s="540">
        <v>43273</v>
      </c>
      <c r="C330" s="540" t="str">
        <f>MONTH(Table_NFI[[#This Row],[Distribution Date]]) &amp; "/" &amp; YEAR(Table_NFI[[#This Row],[Distribution Date]])</f>
        <v>6/2018</v>
      </c>
      <c r="D330" s="198" t="s">
        <v>420</v>
      </c>
      <c r="E330" s="198" t="s">
        <v>462</v>
      </c>
      <c r="F330" s="198" t="s">
        <v>378</v>
      </c>
      <c r="G330" s="197" t="s">
        <v>309</v>
      </c>
      <c r="H330" s="198" t="s">
        <v>337</v>
      </c>
      <c r="I330" s="183"/>
      <c r="J330" s="541"/>
      <c r="K330" s="541"/>
      <c r="L330" s="541"/>
      <c r="M330" s="541"/>
      <c r="N330" s="541"/>
      <c r="O330" s="541">
        <v>20</v>
      </c>
      <c r="P330" s="541"/>
      <c r="Q330" s="541"/>
      <c r="R330" s="541"/>
      <c r="S330" s="541"/>
      <c r="T330" s="541"/>
      <c r="U330" s="541"/>
      <c r="V330" s="541"/>
      <c r="W330" s="541"/>
      <c r="X330" s="541"/>
      <c r="Y330" s="541"/>
      <c r="Z330" s="541"/>
      <c r="AA330" s="541"/>
      <c r="AB330" s="541"/>
      <c r="AC330" s="542" t="e">
        <f>IF(NFI_Expiration=1,IF(#REF!&lt;VLOOKUP(L$5,NFI,5,0),1,0)*Table_NFI[[#This Row],[NFI Core Kit]],Table_NFI[NFI Core Kit])</f>
        <v>#REF!</v>
      </c>
      <c r="AD330" s="542" t="e">
        <f>IF(NFI_Expiration=1,IF(#REF!&lt;VLOOKUP(M$5,NFI,5,0),1,0)*Table_NFI[[#This Row],[Sanitary Kit]],Table_NFI[Sanitary Kit])</f>
        <v>#REF!</v>
      </c>
      <c r="AE330" s="542" t="e">
        <f>IF(NFI_Expiration=1,IF(#REF!&lt;VLOOKUP(N$5,NFI,5,0),1,0)*Table_NFI[[#This Row],[Mosquito net]],Table_NFI[Mosquito net])</f>
        <v>#REF!</v>
      </c>
      <c r="AF330" s="542" t="e">
        <f>IF(NFI_Expiration=1,IF(#REF!&lt;VLOOKUP(O$5,NFI,5,0),1,0)*Table_NFI[[#This Row],[Tarpaulin]],Table_NFI[[#This Row],[Tarpaulin]])</f>
        <v>#REF!</v>
      </c>
      <c r="AG330" s="542" t="e">
        <f>IF(NFI_Expiration=1,IF(#REF!&lt;VLOOKUP(P$5,NFI,5,0),1,0)*Table_NFI[[#This Row],[Blanket]],Table_NFI[[#This Row],[Blanket]])</f>
        <v>#REF!</v>
      </c>
      <c r="AH330" s="542" t="e">
        <f>IF(NFI_Expiration=1,IF(#REF!&lt;VLOOKUP(Q$5,NFI,5,0),1,0)*Table_NFI[[#This Row],[Kitchen Set]],Table_NFI[Kitchen Set])</f>
        <v>#REF!</v>
      </c>
      <c r="AI330" s="542" t="e">
        <f>IF(NFI_Expiration=1,IF(#REF!&lt;VLOOKUP(R$5,NFI,5,0),1,0)*Table_NFI[[#This Row],[Clothes Kit]],Table_NFI[Clothes Kit])</f>
        <v>#REF!</v>
      </c>
      <c r="AJ330" s="542" t="e">
        <f>IF(NFI_Expiration=1,IF(#REF!&lt;VLOOKUP(S$5,NFI,5,0),1,0)*Table_NFI[[#This Row],[Plastic Bucket]],Table_NFI[Plastic Bucket])</f>
        <v>#REF!</v>
      </c>
      <c r="AK330" s="542" t="e">
        <f>IF(NFI_Expiration=1,IF(#REF!&lt;VLOOKUP(T$5,NFI,5,0),1,0)*Table_NFI[[#This Row],[Plastic Mat]],Table_NFI[Plastic Mat])*IF(Table_NFI[[#This Row],[Distribution Date]]&gt;"2014-04-01",1,2.5)</f>
        <v>#REF!</v>
      </c>
      <c r="AL330" s="542" t="e">
        <f>IF(NFI_Expiration=1,IF(#REF!&lt;VLOOKUP(U$5,NFI,5,0),1,0)*Table_NFI[[#This Row],[Winter Clothes Adult]],Table_NFI[Winter Clothes Adult])</f>
        <v>#REF!</v>
      </c>
      <c r="AM330" s="542"/>
      <c r="AN330" s="542"/>
      <c r="AO330" s="542"/>
      <c r="AP330" s="542">
        <f>IF(Table_NFI[[#This Row],[Winter Clothes Adult]]+Table_NFI[[#This Row],[Winter Clothes Children]]+Table_NFI[[#This Row],[Winter Items Other]]+Table_NFI[[#This Row],[Winter Blanket]]&gt;0,1,0)</f>
        <v>0</v>
      </c>
      <c r="AQ330" s="542"/>
      <c r="AR330" s="542"/>
      <c r="AS330" s="542"/>
      <c r="AT330" s="205" t="str">
        <f>IFERROR(VLOOKUP(Table_NFI[[#This Row],[Location]],CL,2,0),"")</f>
        <v>MMR001CMP030</v>
      </c>
      <c r="AU330" s="183"/>
    </row>
    <row r="331" spans="2:47" x14ac:dyDescent="0.25">
      <c r="B331" s="540">
        <v>43304</v>
      </c>
      <c r="C331" s="540" t="str">
        <f>MONTH(Table_NFI[[#This Row],[Distribution Date]]) &amp; "/" &amp; YEAR(Table_NFI[[#This Row],[Distribution Date]])</f>
        <v>7/2018</v>
      </c>
      <c r="D331" s="198" t="s">
        <v>420</v>
      </c>
      <c r="E331" s="198"/>
      <c r="F331" s="198" t="s">
        <v>378</v>
      </c>
      <c r="G331" s="197" t="s">
        <v>173</v>
      </c>
      <c r="H331" s="198" t="s">
        <v>1661</v>
      </c>
      <c r="I331" s="183"/>
      <c r="J331" s="541"/>
      <c r="K331" s="541"/>
      <c r="L331" s="541">
        <v>1</v>
      </c>
      <c r="M331" s="541"/>
      <c r="N331" s="541">
        <v>8</v>
      </c>
      <c r="O331" s="541">
        <v>1</v>
      </c>
      <c r="P331" s="541">
        <v>3</v>
      </c>
      <c r="Q331" s="541">
        <v>3</v>
      </c>
      <c r="R331" s="541"/>
      <c r="S331" s="541">
        <v>1</v>
      </c>
      <c r="T331" s="541">
        <v>3</v>
      </c>
      <c r="U331" s="541"/>
      <c r="V331" s="541"/>
      <c r="W331" s="541"/>
      <c r="X331" s="541"/>
      <c r="Y331" s="541"/>
      <c r="Z331" s="541"/>
      <c r="AA331" s="541"/>
      <c r="AB331" s="541"/>
      <c r="AC331" s="542" t="e">
        <f>IF(NFI_Expiration=1,IF(#REF!&lt;VLOOKUP(L$5,NFI,5,0),1,0)*Table_NFI[[#This Row],[NFI Core Kit]],Table_NFI[NFI Core Kit])</f>
        <v>#REF!</v>
      </c>
      <c r="AD331" s="542" t="e">
        <f>IF(NFI_Expiration=1,IF(#REF!&lt;VLOOKUP(M$5,NFI,5,0),1,0)*Table_NFI[[#This Row],[Sanitary Kit]],Table_NFI[Sanitary Kit])</f>
        <v>#REF!</v>
      </c>
      <c r="AE331" s="542" t="e">
        <f>IF(NFI_Expiration=1,IF(#REF!&lt;VLOOKUP(N$5,NFI,5,0),1,0)*Table_NFI[[#This Row],[Mosquito net]],Table_NFI[Mosquito net])</f>
        <v>#REF!</v>
      </c>
      <c r="AF331" s="542" t="e">
        <f>IF(NFI_Expiration=1,IF(#REF!&lt;VLOOKUP(O$5,NFI,5,0),1,0)*Table_NFI[[#This Row],[Tarpaulin]],Table_NFI[[#This Row],[Tarpaulin]])</f>
        <v>#REF!</v>
      </c>
      <c r="AG331" s="542" t="e">
        <f>IF(NFI_Expiration=1,IF(#REF!&lt;VLOOKUP(P$5,NFI,5,0),1,0)*Table_NFI[[#This Row],[Blanket]],Table_NFI[[#This Row],[Blanket]])</f>
        <v>#REF!</v>
      </c>
      <c r="AH331" s="542" t="e">
        <f>IF(NFI_Expiration=1,IF(#REF!&lt;VLOOKUP(Q$5,NFI,5,0),1,0)*Table_NFI[[#This Row],[Kitchen Set]],Table_NFI[Kitchen Set])</f>
        <v>#REF!</v>
      </c>
      <c r="AI331" s="542" t="e">
        <f>IF(NFI_Expiration=1,IF(#REF!&lt;VLOOKUP(R$5,NFI,5,0),1,0)*Table_NFI[[#This Row],[Clothes Kit]],Table_NFI[Clothes Kit])</f>
        <v>#REF!</v>
      </c>
      <c r="AJ331" s="542" t="e">
        <f>IF(NFI_Expiration=1,IF(#REF!&lt;VLOOKUP(S$5,NFI,5,0),1,0)*Table_NFI[[#This Row],[Plastic Bucket]],Table_NFI[Plastic Bucket])</f>
        <v>#REF!</v>
      </c>
      <c r="AK331" s="542" t="e">
        <f>IF(NFI_Expiration=1,IF(#REF!&lt;VLOOKUP(T$5,NFI,5,0),1,0)*Table_NFI[[#This Row],[Plastic Mat]],Table_NFI[Plastic Mat])*IF(Table_NFI[[#This Row],[Distribution Date]]&gt;"2014-04-01",1,2.5)</f>
        <v>#REF!</v>
      </c>
      <c r="AL331" s="542" t="e">
        <f>IF(NFI_Expiration=1,IF(#REF!&lt;VLOOKUP(U$5,NFI,5,0),1,0)*Table_NFI[[#This Row],[Winter Clothes Adult]],Table_NFI[Winter Clothes Adult])</f>
        <v>#REF!</v>
      </c>
      <c r="AM331" s="542"/>
      <c r="AN331" s="542"/>
      <c r="AO331" s="542"/>
      <c r="AP331" s="542">
        <f>IF(Table_NFI[[#This Row],[Winter Clothes Adult]]+Table_NFI[[#This Row],[Winter Clothes Children]]+Table_NFI[[#This Row],[Winter Items Other]]+Table_NFI[[#This Row],[Winter Blanket]]&gt;0,1,0)</f>
        <v>0</v>
      </c>
      <c r="AQ331" s="542"/>
      <c r="AR331" s="542"/>
      <c r="AS331" s="542"/>
      <c r="AT331" s="205" t="str">
        <f>IFERROR(VLOOKUP(Table_NFI[[#This Row],[Location]],CL,2,0),"")</f>
        <v>MMR001CMP259</v>
      </c>
      <c r="AU331" s="183"/>
    </row>
    <row r="332" spans="2:47" x14ac:dyDescent="0.25">
      <c r="B332" s="540">
        <v>43311</v>
      </c>
      <c r="C332" s="540" t="str">
        <f>MONTH(Table_NFI[[#This Row],[Distribution Date]]) &amp; "/" &amp; YEAR(Table_NFI[[#This Row],[Distribution Date]])</f>
        <v>7/2018</v>
      </c>
      <c r="D332" s="198" t="s">
        <v>420</v>
      </c>
      <c r="E332" s="198"/>
      <c r="F332" s="198" t="s">
        <v>378</v>
      </c>
      <c r="G332" s="197" t="s">
        <v>173</v>
      </c>
      <c r="H332" s="177" t="s">
        <v>1662</v>
      </c>
      <c r="I332" s="183"/>
      <c r="J332" s="541"/>
      <c r="K332" s="541"/>
      <c r="L332" s="541"/>
      <c r="M332" s="541"/>
      <c r="N332" s="541"/>
      <c r="O332" s="541"/>
      <c r="P332" s="541"/>
      <c r="Q332" s="541">
        <v>1</v>
      </c>
      <c r="R332" s="541"/>
      <c r="S332" s="541"/>
      <c r="T332" s="541">
        <v>5</v>
      </c>
      <c r="U332" s="541"/>
      <c r="V332" s="541"/>
      <c r="W332" s="541"/>
      <c r="X332" s="541"/>
      <c r="Y332" s="541"/>
      <c r="Z332" s="541"/>
      <c r="AA332" s="541"/>
      <c r="AB332" s="541"/>
      <c r="AC332" s="542" t="e">
        <f>IF(NFI_Expiration=1,IF(#REF!&lt;VLOOKUP(L$5,NFI,5,0),1,0)*Table_NFI[[#This Row],[NFI Core Kit]],Table_NFI[NFI Core Kit])</f>
        <v>#REF!</v>
      </c>
      <c r="AD332" s="542" t="e">
        <f>IF(NFI_Expiration=1,IF(#REF!&lt;VLOOKUP(M$5,NFI,5,0),1,0)*Table_NFI[[#This Row],[Sanitary Kit]],Table_NFI[Sanitary Kit])</f>
        <v>#REF!</v>
      </c>
      <c r="AE332" s="542" t="e">
        <f>IF(NFI_Expiration=1,IF(#REF!&lt;VLOOKUP(N$5,NFI,5,0),1,0)*Table_NFI[[#This Row],[Mosquito net]],Table_NFI[Mosquito net])</f>
        <v>#REF!</v>
      </c>
      <c r="AF332" s="542" t="e">
        <f>IF(NFI_Expiration=1,IF(#REF!&lt;VLOOKUP(O$5,NFI,5,0),1,0)*Table_NFI[[#This Row],[Tarpaulin]],Table_NFI[[#This Row],[Tarpaulin]])</f>
        <v>#REF!</v>
      </c>
      <c r="AG332" s="542" t="e">
        <f>IF(NFI_Expiration=1,IF(#REF!&lt;VLOOKUP(P$5,NFI,5,0),1,0)*Table_NFI[[#This Row],[Blanket]],Table_NFI[[#This Row],[Blanket]])</f>
        <v>#REF!</v>
      </c>
      <c r="AH332" s="542" t="e">
        <f>IF(NFI_Expiration=1,IF(#REF!&lt;VLOOKUP(Q$5,NFI,5,0),1,0)*Table_NFI[[#This Row],[Kitchen Set]],Table_NFI[Kitchen Set])</f>
        <v>#REF!</v>
      </c>
      <c r="AI332" s="542" t="e">
        <f>IF(NFI_Expiration=1,IF(#REF!&lt;VLOOKUP(R$5,NFI,5,0),1,0)*Table_NFI[[#This Row],[Clothes Kit]],Table_NFI[Clothes Kit])</f>
        <v>#REF!</v>
      </c>
      <c r="AJ332" s="542" t="e">
        <f>IF(NFI_Expiration=1,IF(#REF!&lt;VLOOKUP(S$5,NFI,5,0),1,0)*Table_NFI[[#This Row],[Plastic Bucket]],Table_NFI[Plastic Bucket])</f>
        <v>#REF!</v>
      </c>
      <c r="AK332" s="542" t="e">
        <f>IF(NFI_Expiration=1,IF(#REF!&lt;VLOOKUP(T$5,NFI,5,0),1,0)*Table_NFI[[#This Row],[Plastic Mat]],Table_NFI[Plastic Mat])*IF(Table_NFI[[#This Row],[Distribution Date]]&gt;"2014-04-01",1,2.5)</f>
        <v>#REF!</v>
      </c>
      <c r="AL332" s="542" t="e">
        <f>IF(NFI_Expiration=1,IF(#REF!&lt;VLOOKUP(U$5,NFI,5,0),1,0)*Table_NFI[[#This Row],[Winter Clothes Adult]],Table_NFI[Winter Clothes Adult])</f>
        <v>#REF!</v>
      </c>
      <c r="AM332" s="542"/>
      <c r="AN332" s="542"/>
      <c r="AO332" s="542"/>
      <c r="AP332" s="542">
        <f>IF(Table_NFI[[#This Row],[Winter Clothes Adult]]+Table_NFI[[#This Row],[Winter Clothes Children]]+Table_NFI[[#This Row],[Winter Items Other]]+Table_NFI[[#This Row],[Winter Blanket]]&gt;0,1,0)</f>
        <v>0</v>
      </c>
      <c r="AQ332" s="542"/>
      <c r="AR332" s="542"/>
      <c r="AS332" s="542"/>
      <c r="AT332" s="205" t="str">
        <f>IFERROR(VLOOKUP(Table_NFI[[#This Row],[Location]],CL,2,0),"")</f>
        <v>MMR001CMP260</v>
      </c>
      <c r="AU332" s="183"/>
    </row>
    <row r="333" spans="2:47" x14ac:dyDescent="0.25">
      <c r="B333" s="540">
        <v>43311</v>
      </c>
      <c r="C333" s="540" t="str">
        <f>MONTH(Table_NFI[[#This Row],[Distribution Date]]) &amp; "/" &amp; YEAR(Table_NFI[[#This Row],[Distribution Date]])</f>
        <v>7/2018</v>
      </c>
      <c r="D333" s="198" t="s">
        <v>420</v>
      </c>
      <c r="E333" s="198"/>
      <c r="F333" s="198" t="s">
        <v>378</v>
      </c>
      <c r="G333" s="197" t="s">
        <v>173</v>
      </c>
      <c r="H333" s="177" t="s">
        <v>1665</v>
      </c>
      <c r="I333" s="183"/>
      <c r="J333" s="541"/>
      <c r="K333" s="541"/>
      <c r="L333" s="541"/>
      <c r="M333" s="541"/>
      <c r="N333" s="541"/>
      <c r="O333" s="541"/>
      <c r="P333" s="541">
        <v>1</v>
      </c>
      <c r="Q333" s="541"/>
      <c r="R333" s="541"/>
      <c r="S333" s="541"/>
      <c r="T333" s="541"/>
      <c r="U333" s="541"/>
      <c r="V333" s="541"/>
      <c r="W333" s="541"/>
      <c r="X333" s="541"/>
      <c r="Y333" s="541"/>
      <c r="Z333" s="541"/>
      <c r="AA333" s="541"/>
      <c r="AB333" s="541"/>
      <c r="AC333" s="542" t="e">
        <f>IF(NFI_Expiration=1,IF(#REF!&lt;VLOOKUP(L$5,NFI,5,0),1,0)*Table_NFI[[#This Row],[NFI Core Kit]],Table_NFI[NFI Core Kit])</f>
        <v>#REF!</v>
      </c>
      <c r="AD333" s="542" t="e">
        <f>IF(NFI_Expiration=1,IF(#REF!&lt;VLOOKUP(M$5,NFI,5,0),1,0)*Table_NFI[[#This Row],[Sanitary Kit]],Table_NFI[Sanitary Kit])</f>
        <v>#REF!</v>
      </c>
      <c r="AE333" s="542" t="e">
        <f>IF(NFI_Expiration=1,IF(#REF!&lt;VLOOKUP(N$5,NFI,5,0),1,0)*Table_NFI[[#This Row],[Mosquito net]],Table_NFI[Mosquito net])</f>
        <v>#REF!</v>
      </c>
      <c r="AF333" s="542" t="e">
        <f>IF(NFI_Expiration=1,IF(#REF!&lt;VLOOKUP(O$5,NFI,5,0),1,0)*Table_NFI[[#This Row],[Tarpaulin]],Table_NFI[[#This Row],[Tarpaulin]])</f>
        <v>#REF!</v>
      </c>
      <c r="AG333" s="542" t="e">
        <f>IF(NFI_Expiration=1,IF(#REF!&lt;VLOOKUP(P$5,NFI,5,0),1,0)*Table_NFI[[#This Row],[Blanket]],Table_NFI[[#This Row],[Blanket]])</f>
        <v>#REF!</v>
      </c>
      <c r="AH333" s="542" t="e">
        <f>IF(NFI_Expiration=1,IF(#REF!&lt;VLOOKUP(Q$5,NFI,5,0),1,0)*Table_NFI[[#This Row],[Kitchen Set]],Table_NFI[Kitchen Set])</f>
        <v>#REF!</v>
      </c>
      <c r="AI333" s="542" t="e">
        <f>IF(NFI_Expiration=1,IF(#REF!&lt;VLOOKUP(R$5,NFI,5,0),1,0)*Table_NFI[[#This Row],[Clothes Kit]],Table_NFI[Clothes Kit])</f>
        <v>#REF!</v>
      </c>
      <c r="AJ333" s="542" t="e">
        <f>IF(NFI_Expiration=1,IF(#REF!&lt;VLOOKUP(S$5,NFI,5,0),1,0)*Table_NFI[[#This Row],[Plastic Bucket]],Table_NFI[Plastic Bucket])</f>
        <v>#REF!</v>
      </c>
      <c r="AK333" s="542" t="e">
        <f>IF(NFI_Expiration=1,IF(#REF!&lt;VLOOKUP(T$5,NFI,5,0),1,0)*Table_NFI[[#This Row],[Plastic Mat]],Table_NFI[Plastic Mat])*IF(Table_NFI[[#This Row],[Distribution Date]]&gt;"2014-04-01",1,2.5)</f>
        <v>#REF!</v>
      </c>
      <c r="AL333" s="542" t="e">
        <f>IF(NFI_Expiration=1,IF(#REF!&lt;VLOOKUP(U$5,NFI,5,0),1,0)*Table_NFI[[#This Row],[Winter Clothes Adult]],Table_NFI[Winter Clothes Adult])</f>
        <v>#REF!</v>
      </c>
      <c r="AM333" s="542"/>
      <c r="AN333" s="542"/>
      <c r="AO333" s="542"/>
      <c r="AP333" s="542">
        <f>IF(Table_NFI[[#This Row],[Winter Clothes Adult]]+Table_NFI[[#This Row],[Winter Clothes Children]]+Table_NFI[[#This Row],[Winter Items Other]]+Table_NFI[[#This Row],[Winter Blanket]]&gt;0,1,0)</f>
        <v>0</v>
      </c>
      <c r="AQ333" s="542"/>
      <c r="AR333" s="542"/>
      <c r="AS333" s="542"/>
      <c r="AT333" s="205" t="str">
        <f>IFERROR(VLOOKUP(Table_NFI[[#This Row],[Location]],CL,2,0),"")</f>
        <v>MMR001CMP262</v>
      </c>
      <c r="AU333" s="183"/>
    </row>
    <row r="334" spans="2:47" x14ac:dyDescent="0.25">
      <c r="B334" s="540">
        <v>43311</v>
      </c>
      <c r="C334" s="540" t="str">
        <f>MONTH(Table_NFI[[#This Row],[Distribution Date]]) &amp; "/" &amp; YEAR(Table_NFI[[#This Row],[Distribution Date]])</f>
        <v>7/2018</v>
      </c>
      <c r="D334" s="198" t="s">
        <v>420</v>
      </c>
      <c r="E334" s="198"/>
      <c r="F334" s="198" t="s">
        <v>378</v>
      </c>
      <c r="G334" s="197" t="s">
        <v>173</v>
      </c>
      <c r="H334" s="177" t="s">
        <v>1728</v>
      </c>
      <c r="I334" s="183"/>
      <c r="J334" s="541"/>
      <c r="K334" s="541"/>
      <c r="L334" s="541"/>
      <c r="M334" s="541"/>
      <c r="N334" s="541">
        <v>6</v>
      </c>
      <c r="O334" s="541"/>
      <c r="P334" s="541"/>
      <c r="Q334" s="541"/>
      <c r="R334" s="541"/>
      <c r="S334" s="541"/>
      <c r="T334" s="541">
        <v>21</v>
      </c>
      <c r="U334" s="541"/>
      <c r="V334" s="541"/>
      <c r="W334" s="541"/>
      <c r="X334" s="541"/>
      <c r="Y334" s="541"/>
      <c r="Z334" s="541"/>
      <c r="AA334" s="541"/>
      <c r="AB334" s="541"/>
      <c r="AC334" s="542" t="e">
        <f>IF(NFI_Expiration=1,IF(#REF!&lt;VLOOKUP(L$5,NFI,5,0),1,0)*Table_NFI[[#This Row],[NFI Core Kit]],Table_NFI[NFI Core Kit])</f>
        <v>#REF!</v>
      </c>
      <c r="AD334" s="542" t="e">
        <f>IF(NFI_Expiration=1,IF(#REF!&lt;VLOOKUP(M$5,NFI,5,0),1,0)*Table_NFI[[#This Row],[Sanitary Kit]],Table_NFI[Sanitary Kit])</f>
        <v>#REF!</v>
      </c>
      <c r="AE334" s="542" t="e">
        <f>IF(NFI_Expiration=1,IF(#REF!&lt;VLOOKUP(N$5,NFI,5,0),1,0)*Table_NFI[[#This Row],[Mosquito net]],Table_NFI[Mosquito net])</f>
        <v>#REF!</v>
      </c>
      <c r="AF334" s="542" t="e">
        <f>IF(NFI_Expiration=1,IF(#REF!&lt;VLOOKUP(O$5,NFI,5,0),1,0)*Table_NFI[[#This Row],[Tarpaulin]],Table_NFI[[#This Row],[Tarpaulin]])</f>
        <v>#REF!</v>
      </c>
      <c r="AG334" s="542" t="e">
        <f>IF(NFI_Expiration=1,IF(#REF!&lt;VLOOKUP(P$5,NFI,5,0),1,0)*Table_NFI[[#This Row],[Blanket]],Table_NFI[[#This Row],[Blanket]])</f>
        <v>#REF!</v>
      </c>
      <c r="AH334" s="542" t="e">
        <f>IF(NFI_Expiration=1,IF(#REF!&lt;VLOOKUP(Q$5,NFI,5,0),1,0)*Table_NFI[[#This Row],[Kitchen Set]],Table_NFI[Kitchen Set])</f>
        <v>#REF!</v>
      </c>
      <c r="AI334" s="542" t="e">
        <f>IF(NFI_Expiration=1,IF(#REF!&lt;VLOOKUP(R$5,NFI,5,0),1,0)*Table_NFI[[#This Row],[Clothes Kit]],Table_NFI[Clothes Kit])</f>
        <v>#REF!</v>
      </c>
      <c r="AJ334" s="542" t="e">
        <f>IF(NFI_Expiration=1,IF(#REF!&lt;VLOOKUP(S$5,NFI,5,0),1,0)*Table_NFI[[#This Row],[Plastic Bucket]],Table_NFI[Plastic Bucket])</f>
        <v>#REF!</v>
      </c>
      <c r="AK334" s="542" t="e">
        <f>IF(NFI_Expiration=1,IF(#REF!&lt;VLOOKUP(T$5,NFI,5,0),1,0)*Table_NFI[[#This Row],[Plastic Mat]],Table_NFI[Plastic Mat])*IF(Table_NFI[[#This Row],[Distribution Date]]&gt;"2014-04-01",1,2.5)</f>
        <v>#REF!</v>
      </c>
      <c r="AL334" s="542" t="e">
        <f>IF(NFI_Expiration=1,IF(#REF!&lt;VLOOKUP(U$5,NFI,5,0),1,0)*Table_NFI[[#This Row],[Winter Clothes Adult]],Table_NFI[Winter Clothes Adult])</f>
        <v>#REF!</v>
      </c>
      <c r="AM334" s="542"/>
      <c r="AN334" s="542"/>
      <c r="AO334" s="542"/>
      <c r="AP334" s="542">
        <f>IF(Table_NFI[[#This Row],[Winter Clothes Adult]]+Table_NFI[[#This Row],[Winter Clothes Children]]+Table_NFI[[#This Row],[Winter Items Other]]+Table_NFI[[#This Row],[Winter Blanket]]&gt;0,1,0)</f>
        <v>0</v>
      </c>
      <c r="AQ334" s="542"/>
      <c r="AR334" s="542"/>
      <c r="AS334" s="542"/>
      <c r="AT334" s="205" t="str">
        <f>IFERROR(VLOOKUP(Table_NFI[[#This Row],[Location]],CL,2,0),"")</f>
        <v>MMR001CMP261</v>
      </c>
      <c r="AU334" s="183"/>
    </row>
    <row r="335" spans="2:47" x14ac:dyDescent="0.25">
      <c r="B335" s="540">
        <v>43311</v>
      </c>
      <c r="C335" s="540" t="str">
        <f>MONTH(Table_NFI[[#This Row],[Distribution Date]]) &amp; "/" &amp; YEAR(Table_NFI[[#This Row],[Distribution Date]])</f>
        <v>7/2018</v>
      </c>
      <c r="D335" s="198" t="s">
        <v>420</v>
      </c>
      <c r="E335" s="198" t="s">
        <v>424</v>
      </c>
      <c r="F335" s="198" t="s">
        <v>506</v>
      </c>
      <c r="G335" s="197" t="s">
        <v>146</v>
      </c>
      <c r="H335" s="198" t="s">
        <v>149</v>
      </c>
      <c r="I335" s="183"/>
      <c r="J335" s="541"/>
      <c r="K335" s="541"/>
      <c r="L335" s="541"/>
      <c r="M335" s="541"/>
      <c r="N335" s="541"/>
      <c r="O335" s="541"/>
      <c r="P335" s="541">
        <v>20</v>
      </c>
      <c r="Q335" s="541"/>
      <c r="R335" s="541"/>
      <c r="S335" s="541"/>
      <c r="T335" s="541">
        <v>37</v>
      </c>
      <c r="U335" s="541"/>
      <c r="V335" s="541"/>
      <c r="W335" s="541"/>
      <c r="X335" s="541"/>
      <c r="Y335" s="541"/>
      <c r="Z335" s="541"/>
      <c r="AA335" s="541"/>
      <c r="AB335" s="541"/>
      <c r="AC335" s="542" t="e">
        <f>IF(NFI_Expiration=1,IF(#REF!&lt;VLOOKUP(L$5,NFI,5,0),1,0)*Table_NFI[[#This Row],[NFI Core Kit]],Table_NFI[NFI Core Kit])</f>
        <v>#REF!</v>
      </c>
      <c r="AD335" s="542" t="e">
        <f>IF(NFI_Expiration=1,IF(#REF!&lt;VLOOKUP(M$5,NFI,5,0),1,0)*Table_NFI[[#This Row],[Sanitary Kit]],Table_NFI[Sanitary Kit])</f>
        <v>#REF!</v>
      </c>
      <c r="AE335" s="542" t="e">
        <f>IF(NFI_Expiration=1,IF(#REF!&lt;VLOOKUP(N$5,NFI,5,0),1,0)*Table_NFI[[#This Row],[Mosquito net]],Table_NFI[Mosquito net])</f>
        <v>#REF!</v>
      </c>
      <c r="AF335" s="542" t="e">
        <f>IF(NFI_Expiration=1,IF(#REF!&lt;VLOOKUP(O$5,NFI,5,0),1,0)*Table_NFI[[#This Row],[Tarpaulin]],Table_NFI[[#This Row],[Tarpaulin]])</f>
        <v>#REF!</v>
      </c>
      <c r="AG335" s="542" t="e">
        <f>IF(NFI_Expiration=1,IF(#REF!&lt;VLOOKUP(P$5,NFI,5,0),1,0)*Table_NFI[[#This Row],[Blanket]],Table_NFI[[#This Row],[Blanket]])</f>
        <v>#REF!</v>
      </c>
      <c r="AH335" s="542" t="e">
        <f>IF(NFI_Expiration=1,IF(#REF!&lt;VLOOKUP(Q$5,NFI,5,0),1,0)*Table_NFI[[#This Row],[Kitchen Set]],Table_NFI[Kitchen Set])</f>
        <v>#REF!</v>
      </c>
      <c r="AI335" s="542" t="e">
        <f>IF(NFI_Expiration=1,IF(#REF!&lt;VLOOKUP(R$5,NFI,5,0),1,0)*Table_NFI[[#This Row],[Clothes Kit]],Table_NFI[Clothes Kit])</f>
        <v>#REF!</v>
      </c>
      <c r="AJ335" s="542" t="e">
        <f>IF(NFI_Expiration=1,IF(#REF!&lt;VLOOKUP(S$5,NFI,5,0),1,0)*Table_NFI[[#This Row],[Plastic Bucket]],Table_NFI[Plastic Bucket])</f>
        <v>#REF!</v>
      </c>
      <c r="AK335" s="542" t="e">
        <f>IF(NFI_Expiration=1,IF(#REF!&lt;VLOOKUP(T$5,NFI,5,0),1,0)*Table_NFI[[#This Row],[Plastic Mat]],Table_NFI[Plastic Mat])*IF(Table_NFI[[#This Row],[Distribution Date]]&gt;"2014-04-01",1,2.5)</f>
        <v>#REF!</v>
      </c>
      <c r="AL335" s="542" t="e">
        <f>IF(NFI_Expiration=1,IF(#REF!&lt;VLOOKUP(U$5,NFI,5,0),1,0)*Table_NFI[[#This Row],[Winter Clothes Adult]],Table_NFI[Winter Clothes Adult])</f>
        <v>#REF!</v>
      </c>
      <c r="AM335" s="542"/>
      <c r="AN335" s="542"/>
      <c r="AO335" s="542"/>
      <c r="AP335" s="542">
        <f>IF(Table_NFI[[#This Row],[Winter Clothes Adult]]+Table_NFI[[#This Row],[Winter Clothes Children]]+Table_NFI[[#This Row],[Winter Items Other]]+Table_NFI[[#This Row],[Winter Blanket]]&gt;0,1,0)</f>
        <v>0</v>
      </c>
      <c r="AQ335" s="542"/>
      <c r="AR335" s="542"/>
      <c r="AS335" s="542"/>
      <c r="AT335" s="205" t="str">
        <f>IFERROR(VLOOKUP(Table_NFI[[#This Row],[Location]],CL,2,0),"")</f>
        <v>MMR015CMP007</v>
      </c>
      <c r="AU335" s="183"/>
    </row>
    <row r="336" spans="2:47" x14ac:dyDescent="0.25">
      <c r="B336" s="540">
        <v>43311</v>
      </c>
      <c r="C336" s="540" t="str">
        <f>MONTH(Table_NFI[[#This Row],[Distribution Date]]) &amp; "/" &amp; YEAR(Table_NFI[[#This Row],[Distribution Date]])</f>
        <v>7/2018</v>
      </c>
      <c r="D336" s="198" t="s">
        <v>420</v>
      </c>
      <c r="E336" s="198" t="s">
        <v>424</v>
      </c>
      <c r="F336" s="198" t="s">
        <v>506</v>
      </c>
      <c r="G336" s="197" t="s">
        <v>146</v>
      </c>
      <c r="H336" s="198" t="s">
        <v>1614</v>
      </c>
      <c r="I336" s="183"/>
      <c r="J336" s="541"/>
      <c r="K336" s="541"/>
      <c r="L336" s="541"/>
      <c r="M336" s="541"/>
      <c r="N336" s="541"/>
      <c r="O336" s="541"/>
      <c r="P336" s="541">
        <v>20</v>
      </c>
      <c r="Q336" s="541"/>
      <c r="R336" s="541"/>
      <c r="S336" s="541"/>
      <c r="T336" s="541">
        <v>56</v>
      </c>
      <c r="U336" s="541"/>
      <c r="V336" s="541"/>
      <c r="W336" s="541"/>
      <c r="X336" s="541"/>
      <c r="Y336" s="541"/>
      <c r="Z336" s="541"/>
      <c r="AA336" s="541"/>
      <c r="AB336" s="541"/>
      <c r="AC336" s="542" t="e">
        <f>IF(NFI_Expiration=1,IF(#REF!&lt;VLOOKUP(L$5,NFI,5,0),1,0)*Table_NFI[[#This Row],[NFI Core Kit]],Table_NFI[NFI Core Kit])</f>
        <v>#REF!</v>
      </c>
      <c r="AD336" s="542" t="e">
        <f>IF(NFI_Expiration=1,IF(#REF!&lt;VLOOKUP(M$5,NFI,5,0),1,0)*Table_NFI[[#This Row],[Sanitary Kit]],Table_NFI[Sanitary Kit])</f>
        <v>#REF!</v>
      </c>
      <c r="AE336" s="542" t="e">
        <f>IF(NFI_Expiration=1,IF(#REF!&lt;VLOOKUP(N$5,NFI,5,0),1,0)*Table_NFI[[#This Row],[Mosquito net]],Table_NFI[Mosquito net])</f>
        <v>#REF!</v>
      </c>
      <c r="AF336" s="542" t="e">
        <f>IF(NFI_Expiration=1,IF(#REF!&lt;VLOOKUP(O$5,NFI,5,0),1,0)*Table_NFI[[#This Row],[Tarpaulin]],Table_NFI[[#This Row],[Tarpaulin]])</f>
        <v>#REF!</v>
      </c>
      <c r="AG336" s="542" t="e">
        <f>IF(NFI_Expiration=1,IF(#REF!&lt;VLOOKUP(P$5,NFI,5,0),1,0)*Table_NFI[[#This Row],[Blanket]],Table_NFI[[#This Row],[Blanket]])</f>
        <v>#REF!</v>
      </c>
      <c r="AH336" s="542" t="e">
        <f>IF(NFI_Expiration=1,IF(#REF!&lt;VLOOKUP(Q$5,NFI,5,0),1,0)*Table_NFI[[#This Row],[Kitchen Set]],Table_NFI[Kitchen Set])</f>
        <v>#REF!</v>
      </c>
      <c r="AI336" s="542" t="e">
        <f>IF(NFI_Expiration=1,IF(#REF!&lt;VLOOKUP(R$5,NFI,5,0),1,0)*Table_NFI[[#This Row],[Clothes Kit]],Table_NFI[Clothes Kit])</f>
        <v>#REF!</v>
      </c>
      <c r="AJ336" s="542" t="e">
        <f>IF(NFI_Expiration=1,IF(#REF!&lt;VLOOKUP(S$5,NFI,5,0),1,0)*Table_NFI[[#This Row],[Plastic Bucket]],Table_NFI[Plastic Bucket])</f>
        <v>#REF!</v>
      </c>
      <c r="AK336" s="542" t="e">
        <f>IF(NFI_Expiration=1,IF(#REF!&lt;VLOOKUP(T$5,NFI,5,0),1,0)*Table_NFI[[#This Row],[Plastic Mat]],Table_NFI[Plastic Mat])*IF(Table_NFI[[#This Row],[Distribution Date]]&gt;"2014-04-01",1,2.5)</f>
        <v>#REF!</v>
      </c>
      <c r="AL336" s="542" t="e">
        <f>IF(NFI_Expiration=1,IF(#REF!&lt;VLOOKUP(U$5,NFI,5,0),1,0)*Table_NFI[[#This Row],[Winter Clothes Adult]],Table_NFI[Winter Clothes Adult])</f>
        <v>#REF!</v>
      </c>
      <c r="AM336" s="542"/>
      <c r="AN336" s="542"/>
      <c r="AO336" s="542"/>
      <c r="AP336" s="542">
        <f>IF(Table_NFI[[#This Row],[Winter Clothes Adult]]+Table_NFI[[#This Row],[Winter Clothes Children]]+Table_NFI[[#This Row],[Winter Items Other]]+Table_NFI[[#This Row],[Winter Blanket]]&gt;0,1,0)</f>
        <v>0</v>
      </c>
      <c r="AQ336" s="542"/>
      <c r="AR336" s="542"/>
      <c r="AS336" s="542"/>
      <c r="AT336" s="205" t="str">
        <f>IFERROR(VLOOKUP(Table_NFI[[#This Row],[Location]],CL,2,0),"")</f>
        <v>MMR015CMP018</v>
      </c>
      <c r="AU336" s="183"/>
    </row>
    <row r="337" spans="2:47" x14ac:dyDescent="0.25">
      <c r="B337" s="540">
        <v>43311</v>
      </c>
      <c r="C337" s="540" t="str">
        <f>MONTH(Table_NFI[[#This Row],[Distribution Date]]) &amp; "/" &amp; YEAR(Table_NFI[[#This Row],[Distribution Date]])</f>
        <v>7/2018</v>
      </c>
      <c r="D337" s="198" t="s">
        <v>420</v>
      </c>
      <c r="E337" s="198" t="s">
        <v>424</v>
      </c>
      <c r="F337" s="198" t="s">
        <v>506</v>
      </c>
      <c r="G337" s="197" t="s">
        <v>146</v>
      </c>
      <c r="H337" s="198" t="s">
        <v>1615</v>
      </c>
      <c r="I337" s="183"/>
      <c r="J337" s="541"/>
      <c r="K337" s="541"/>
      <c r="L337" s="541"/>
      <c r="M337" s="541"/>
      <c r="N337" s="541"/>
      <c r="O337" s="541"/>
      <c r="P337" s="541">
        <v>30</v>
      </c>
      <c r="Q337" s="541"/>
      <c r="R337" s="541"/>
      <c r="S337" s="541"/>
      <c r="T337" s="541">
        <v>55</v>
      </c>
      <c r="U337" s="541"/>
      <c r="V337" s="541"/>
      <c r="W337" s="541"/>
      <c r="X337" s="541"/>
      <c r="Y337" s="541"/>
      <c r="Z337" s="541"/>
      <c r="AA337" s="541"/>
      <c r="AB337" s="541"/>
      <c r="AC337" s="542" t="e">
        <f>IF(NFI_Expiration=1,IF(#REF!&lt;VLOOKUP(L$5,NFI,5,0),1,0)*Table_NFI[[#This Row],[NFI Core Kit]],Table_NFI[NFI Core Kit])</f>
        <v>#REF!</v>
      </c>
      <c r="AD337" s="542" t="e">
        <f>IF(NFI_Expiration=1,IF(#REF!&lt;VLOOKUP(M$5,NFI,5,0),1,0)*Table_NFI[[#This Row],[Sanitary Kit]],Table_NFI[Sanitary Kit])</f>
        <v>#REF!</v>
      </c>
      <c r="AE337" s="542" t="e">
        <f>IF(NFI_Expiration=1,IF(#REF!&lt;VLOOKUP(N$5,NFI,5,0),1,0)*Table_NFI[[#This Row],[Mosquito net]],Table_NFI[Mosquito net])</f>
        <v>#REF!</v>
      </c>
      <c r="AF337" s="542" t="e">
        <f>IF(NFI_Expiration=1,IF(#REF!&lt;VLOOKUP(O$5,NFI,5,0),1,0)*Table_NFI[[#This Row],[Tarpaulin]],Table_NFI[[#This Row],[Tarpaulin]])</f>
        <v>#REF!</v>
      </c>
      <c r="AG337" s="542" t="e">
        <f>IF(NFI_Expiration=1,IF(#REF!&lt;VLOOKUP(P$5,NFI,5,0),1,0)*Table_NFI[[#This Row],[Blanket]],Table_NFI[[#This Row],[Blanket]])</f>
        <v>#REF!</v>
      </c>
      <c r="AH337" s="542" t="e">
        <f>IF(NFI_Expiration=1,IF(#REF!&lt;VLOOKUP(Q$5,NFI,5,0),1,0)*Table_NFI[[#This Row],[Kitchen Set]],Table_NFI[Kitchen Set])</f>
        <v>#REF!</v>
      </c>
      <c r="AI337" s="542" t="e">
        <f>IF(NFI_Expiration=1,IF(#REF!&lt;VLOOKUP(R$5,NFI,5,0),1,0)*Table_NFI[[#This Row],[Clothes Kit]],Table_NFI[Clothes Kit])</f>
        <v>#REF!</v>
      </c>
      <c r="AJ337" s="542" t="e">
        <f>IF(NFI_Expiration=1,IF(#REF!&lt;VLOOKUP(S$5,NFI,5,0),1,0)*Table_NFI[[#This Row],[Plastic Bucket]],Table_NFI[Plastic Bucket])</f>
        <v>#REF!</v>
      </c>
      <c r="AK337" s="542" t="e">
        <f>IF(NFI_Expiration=1,IF(#REF!&lt;VLOOKUP(T$5,NFI,5,0),1,0)*Table_NFI[[#This Row],[Plastic Mat]],Table_NFI[Plastic Mat])*IF(Table_NFI[[#This Row],[Distribution Date]]&gt;"2014-04-01",1,2.5)</f>
        <v>#REF!</v>
      </c>
      <c r="AL337" s="542" t="e">
        <f>IF(NFI_Expiration=1,IF(#REF!&lt;VLOOKUP(U$5,NFI,5,0),1,0)*Table_NFI[[#This Row],[Winter Clothes Adult]],Table_NFI[Winter Clothes Adult])</f>
        <v>#REF!</v>
      </c>
      <c r="AM337" s="542"/>
      <c r="AN337" s="542"/>
      <c r="AO337" s="542"/>
      <c r="AP337" s="542">
        <f>IF(Table_NFI[[#This Row],[Winter Clothes Adult]]+Table_NFI[[#This Row],[Winter Clothes Children]]+Table_NFI[[#This Row],[Winter Items Other]]+Table_NFI[[#This Row],[Winter Blanket]]&gt;0,1,0)</f>
        <v>0</v>
      </c>
      <c r="AQ337" s="542"/>
      <c r="AR337" s="542"/>
      <c r="AS337" s="542"/>
      <c r="AT337" s="205" t="str">
        <f>IFERROR(VLOOKUP(Table_NFI[[#This Row],[Location]],CL,2,0),"")</f>
        <v>MMR015CMP220</v>
      </c>
      <c r="AU337" s="183"/>
    </row>
    <row r="338" spans="2:47" x14ac:dyDescent="0.25">
      <c r="B338" s="540">
        <v>43311</v>
      </c>
      <c r="C338" s="540" t="str">
        <f>MONTH(Table_NFI[[#This Row],[Distribution Date]]) &amp; "/" &amp; YEAR(Table_NFI[[#This Row],[Distribution Date]])</f>
        <v>7/2018</v>
      </c>
      <c r="D338" s="198" t="s">
        <v>420</v>
      </c>
      <c r="E338" s="198" t="s">
        <v>424</v>
      </c>
      <c r="F338" s="198" t="s">
        <v>506</v>
      </c>
      <c r="G338" s="197" t="s">
        <v>146</v>
      </c>
      <c r="H338" s="198" t="s">
        <v>367</v>
      </c>
      <c r="I338" s="183"/>
      <c r="J338" s="541"/>
      <c r="K338" s="541"/>
      <c r="L338" s="541"/>
      <c r="M338" s="541"/>
      <c r="N338" s="541"/>
      <c r="O338" s="541"/>
      <c r="P338" s="541">
        <v>20</v>
      </c>
      <c r="Q338" s="541"/>
      <c r="R338" s="541"/>
      <c r="S338" s="541"/>
      <c r="T338" s="541">
        <v>33</v>
      </c>
      <c r="U338" s="541"/>
      <c r="V338" s="541"/>
      <c r="W338" s="541"/>
      <c r="X338" s="541"/>
      <c r="Y338" s="541"/>
      <c r="Z338" s="541"/>
      <c r="AA338" s="541"/>
      <c r="AB338" s="541"/>
      <c r="AC338" s="542" t="e">
        <f>IF(NFI_Expiration=1,IF(#REF!&lt;VLOOKUP(L$5,NFI,5,0),1,0)*Table_NFI[[#This Row],[NFI Core Kit]],Table_NFI[NFI Core Kit])</f>
        <v>#REF!</v>
      </c>
      <c r="AD338" s="542" t="e">
        <f>IF(NFI_Expiration=1,IF(#REF!&lt;VLOOKUP(M$5,NFI,5,0),1,0)*Table_NFI[[#This Row],[Sanitary Kit]],Table_NFI[Sanitary Kit])</f>
        <v>#REF!</v>
      </c>
      <c r="AE338" s="542" t="e">
        <f>IF(NFI_Expiration=1,IF(#REF!&lt;VLOOKUP(N$5,NFI,5,0),1,0)*Table_NFI[[#This Row],[Mosquito net]],Table_NFI[Mosquito net])</f>
        <v>#REF!</v>
      </c>
      <c r="AF338" s="542" t="e">
        <f>IF(NFI_Expiration=1,IF(#REF!&lt;VLOOKUP(O$5,NFI,5,0),1,0)*Table_NFI[[#This Row],[Tarpaulin]],Table_NFI[[#This Row],[Tarpaulin]])</f>
        <v>#REF!</v>
      </c>
      <c r="AG338" s="542" t="e">
        <f>IF(NFI_Expiration=1,IF(#REF!&lt;VLOOKUP(P$5,NFI,5,0),1,0)*Table_NFI[[#This Row],[Blanket]],Table_NFI[[#This Row],[Blanket]])</f>
        <v>#REF!</v>
      </c>
      <c r="AH338" s="542" t="e">
        <f>IF(NFI_Expiration=1,IF(#REF!&lt;VLOOKUP(Q$5,NFI,5,0),1,0)*Table_NFI[[#This Row],[Kitchen Set]],Table_NFI[Kitchen Set])</f>
        <v>#REF!</v>
      </c>
      <c r="AI338" s="542" t="e">
        <f>IF(NFI_Expiration=1,IF(#REF!&lt;VLOOKUP(R$5,NFI,5,0),1,0)*Table_NFI[[#This Row],[Clothes Kit]],Table_NFI[Clothes Kit])</f>
        <v>#REF!</v>
      </c>
      <c r="AJ338" s="542" t="e">
        <f>IF(NFI_Expiration=1,IF(#REF!&lt;VLOOKUP(S$5,NFI,5,0),1,0)*Table_NFI[[#This Row],[Plastic Bucket]],Table_NFI[Plastic Bucket])</f>
        <v>#REF!</v>
      </c>
      <c r="AK338" s="542" t="e">
        <f>IF(NFI_Expiration=1,IF(#REF!&lt;VLOOKUP(T$5,NFI,5,0),1,0)*Table_NFI[[#This Row],[Plastic Mat]],Table_NFI[Plastic Mat])*IF(Table_NFI[[#This Row],[Distribution Date]]&gt;"2014-04-01",1,2.5)</f>
        <v>#REF!</v>
      </c>
      <c r="AL338" s="542" t="e">
        <f>IF(NFI_Expiration=1,IF(#REF!&lt;VLOOKUP(U$5,NFI,5,0),1,0)*Table_NFI[[#This Row],[Winter Clothes Adult]],Table_NFI[Winter Clothes Adult])</f>
        <v>#REF!</v>
      </c>
      <c r="AM338" s="542"/>
      <c r="AN338" s="542"/>
      <c r="AO338" s="542"/>
      <c r="AP338" s="542">
        <f>IF(Table_NFI[[#This Row],[Winter Clothes Adult]]+Table_NFI[[#This Row],[Winter Clothes Children]]+Table_NFI[[#This Row],[Winter Items Other]]+Table_NFI[[#This Row],[Winter Blanket]]&gt;0,1,0)</f>
        <v>0</v>
      </c>
      <c r="AQ338" s="542"/>
      <c r="AR338" s="542"/>
      <c r="AS338" s="542"/>
      <c r="AT338" s="205" t="str">
        <f>IFERROR(VLOOKUP(Table_NFI[[#This Row],[Location]],CL,2,0),"")</f>
        <v>MMR015CMP016</v>
      </c>
      <c r="AU338" s="183"/>
    </row>
    <row r="339" spans="2:47" x14ac:dyDescent="0.25">
      <c r="B339" s="540">
        <v>43311</v>
      </c>
      <c r="C339" s="540" t="str">
        <f>MONTH(Table_NFI[[#This Row],[Distribution Date]]) &amp; "/" &amp; YEAR(Table_NFI[[#This Row],[Distribution Date]])</f>
        <v>7/2018</v>
      </c>
      <c r="D339" s="198" t="s">
        <v>420</v>
      </c>
      <c r="E339" s="198" t="s">
        <v>424</v>
      </c>
      <c r="F339" s="198" t="s">
        <v>506</v>
      </c>
      <c r="G339" s="197" t="s">
        <v>146</v>
      </c>
      <c r="H339" s="177" t="s">
        <v>1231</v>
      </c>
      <c r="I339" s="183"/>
      <c r="J339" s="541"/>
      <c r="K339" s="541"/>
      <c r="L339" s="541"/>
      <c r="M339" s="541"/>
      <c r="N339" s="541"/>
      <c r="O339" s="541"/>
      <c r="P339" s="541">
        <v>15</v>
      </c>
      <c r="Q339" s="541"/>
      <c r="R339" s="541"/>
      <c r="S339" s="541"/>
      <c r="T339" s="541">
        <v>22</v>
      </c>
      <c r="U339" s="541"/>
      <c r="V339" s="541"/>
      <c r="W339" s="541"/>
      <c r="X339" s="541"/>
      <c r="Y339" s="541"/>
      <c r="Z339" s="541"/>
      <c r="AA339" s="541"/>
      <c r="AB339" s="541"/>
      <c r="AC339" s="542" t="e">
        <f>IF(NFI_Expiration=1,IF(#REF!&lt;VLOOKUP(L$5,NFI,5,0),1,0)*Table_NFI[[#This Row],[NFI Core Kit]],Table_NFI[NFI Core Kit])</f>
        <v>#REF!</v>
      </c>
      <c r="AD339" s="542" t="e">
        <f>IF(NFI_Expiration=1,IF(#REF!&lt;VLOOKUP(M$5,NFI,5,0),1,0)*Table_NFI[[#This Row],[Sanitary Kit]],Table_NFI[Sanitary Kit])</f>
        <v>#REF!</v>
      </c>
      <c r="AE339" s="542" t="e">
        <f>IF(NFI_Expiration=1,IF(#REF!&lt;VLOOKUP(N$5,NFI,5,0),1,0)*Table_NFI[[#This Row],[Mosquito net]],Table_NFI[Mosquito net])</f>
        <v>#REF!</v>
      </c>
      <c r="AF339" s="542" t="e">
        <f>IF(NFI_Expiration=1,IF(#REF!&lt;VLOOKUP(O$5,NFI,5,0),1,0)*Table_NFI[[#This Row],[Tarpaulin]],Table_NFI[[#This Row],[Tarpaulin]])</f>
        <v>#REF!</v>
      </c>
      <c r="AG339" s="542" t="e">
        <f>IF(NFI_Expiration=1,IF(#REF!&lt;VLOOKUP(P$5,NFI,5,0),1,0)*Table_NFI[[#This Row],[Blanket]],Table_NFI[[#This Row],[Blanket]])</f>
        <v>#REF!</v>
      </c>
      <c r="AH339" s="542" t="e">
        <f>IF(NFI_Expiration=1,IF(#REF!&lt;VLOOKUP(Q$5,NFI,5,0),1,0)*Table_NFI[[#This Row],[Kitchen Set]],Table_NFI[Kitchen Set])</f>
        <v>#REF!</v>
      </c>
      <c r="AI339" s="542" t="e">
        <f>IF(NFI_Expiration=1,IF(#REF!&lt;VLOOKUP(R$5,NFI,5,0),1,0)*Table_NFI[[#This Row],[Clothes Kit]],Table_NFI[Clothes Kit])</f>
        <v>#REF!</v>
      </c>
      <c r="AJ339" s="542" t="e">
        <f>IF(NFI_Expiration=1,IF(#REF!&lt;VLOOKUP(S$5,NFI,5,0),1,0)*Table_NFI[[#This Row],[Plastic Bucket]],Table_NFI[Plastic Bucket])</f>
        <v>#REF!</v>
      </c>
      <c r="AK339" s="542" t="e">
        <f>IF(NFI_Expiration=1,IF(#REF!&lt;VLOOKUP(T$5,NFI,5,0),1,0)*Table_NFI[[#This Row],[Plastic Mat]],Table_NFI[Plastic Mat])*IF(Table_NFI[[#This Row],[Distribution Date]]&gt;"2014-04-01",1,2.5)</f>
        <v>#REF!</v>
      </c>
      <c r="AL339" s="542" t="e">
        <f>IF(NFI_Expiration=1,IF(#REF!&lt;VLOOKUP(U$5,NFI,5,0),1,0)*Table_NFI[[#This Row],[Winter Clothes Adult]],Table_NFI[Winter Clothes Adult])</f>
        <v>#REF!</v>
      </c>
      <c r="AM339" s="542"/>
      <c r="AN339" s="542"/>
      <c r="AO339" s="542"/>
      <c r="AP339" s="542">
        <f>IF(Table_NFI[[#This Row],[Winter Clothes Adult]]+Table_NFI[[#This Row],[Winter Clothes Children]]+Table_NFI[[#This Row],[Winter Items Other]]+Table_NFI[[#This Row],[Winter Blanket]]&gt;0,1,0)</f>
        <v>0</v>
      </c>
      <c r="AQ339" s="542"/>
      <c r="AR339" s="542"/>
      <c r="AS339" s="542"/>
      <c r="AT339" s="205" t="str">
        <f>IFERROR(VLOOKUP(Table_NFI[[#This Row],[Location]],CL,2,0),"")</f>
        <v>MMR015CMP245</v>
      </c>
      <c r="AU339" s="183"/>
    </row>
    <row r="340" spans="2:47" x14ac:dyDescent="0.25">
      <c r="B340" s="540">
        <v>43311</v>
      </c>
      <c r="C340" s="540" t="str">
        <f>MONTH(Table_NFI[[#This Row],[Distribution Date]]) &amp; "/" &amp; YEAR(Table_NFI[[#This Row],[Distribution Date]])</f>
        <v>7/2018</v>
      </c>
      <c r="D340" s="198" t="s">
        <v>420</v>
      </c>
      <c r="E340" s="198" t="s">
        <v>424</v>
      </c>
      <c r="F340" s="198" t="s">
        <v>506</v>
      </c>
      <c r="G340" s="197" t="s">
        <v>146</v>
      </c>
      <c r="H340" s="198" t="s">
        <v>371</v>
      </c>
      <c r="I340" s="183"/>
      <c r="J340" s="541"/>
      <c r="K340" s="541"/>
      <c r="L340" s="541"/>
      <c r="M340" s="541"/>
      <c r="N340" s="541"/>
      <c r="O340" s="541"/>
      <c r="P340" s="541">
        <v>42</v>
      </c>
      <c r="Q340" s="541"/>
      <c r="R340" s="541"/>
      <c r="S340" s="541"/>
      <c r="T340" s="541">
        <v>16</v>
      </c>
      <c r="U340" s="541"/>
      <c r="V340" s="541"/>
      <c r="W340" s="541"/>
      <c r="X340" s="541"/>
      <c r="Y340" s="541"/>
      <c r="Z340" s="541"/>
      <c r="AA340" s="541"/>
      <c r="AB340" s="541"/>
      <c r="AC340" s="542" t="e">
        <f>IF(NFI_Expiration=1,IF(#REF!&lt;VLOOKUP(L$5,NFI,5,0),1,0)*Table_NFI[[#This Row],[NFI Core Kit]],Table_NFI[NFI Core Kit])</f>
        <v>#REF!</v>
      </c>
      <c r="AD340" s="542" t="e">
        <f>IF(NFI_Expiration=1,IF(#REF!&lt;VLOOKUP(M$5,NFI,5,0),1,0)*Table_NFI[[#This Row],[Sanitary Kit]],Table_NFI[Sanitary Kit])</f>
        <v>#REF!</v>
      </c>
      <c r="AE340" s="542" t="e">
        <f>IF(NFI_Expiration=1,IF(#REF!&lt;VLOOKUP(N$5,NFI,5,0),1,0)*Table_NFI[[#This Row],[Mosquito net]],Table_NFI[Mosquito net])</f>
        <v>#REF!</v>
      </c>
      <c r="AF340" s="542" t="e">
        <f>IF(NFI_Expiration=1,IF(#REF!&lt;VLOOKUP(O$5,NFI,5,0),1,0)*Table_NFI[[#This Row],[Tarpaulin]],Table_NFI[[#This Row],[Tarpaulin]])</f>
        <v>#REF!</v>
      </c>
      <c r="AG340" s="542" t="e">
        <f>IF(NFI_Expiration=1,IF(#REF!&lt;VLOOKUP(P$5,NFI,5,0),1,0)*Table_NFI[[#This Row],[Blanket]],Table_NFI[[#This Row],[Blanket]])</f>
        <v>#REF!</v>
      </c>
      <c r="AH340" s="542" t="e">
        <f>IF(NFI_Expiration=1,IF(#REF!&lt;VLOOKUP(Q$5,NFI,5,0),1,0)*Table_NFI[[#This Row],[Kitchen Set]],Table_NFI[Kitchen Set])</f>
        <v>#REF!</v>
      </c>
      <c r="AI340" s="542" t="e">
        <f>IF(NFI_Expiration=1,IF(#REF!&lt;VLOOKUP(R$5,NFI,5,0),1,0)*Table_NFI[[#This Row],[Clothes Kit]],Table_NFI[Clothes Kit])</f>
        <v>#REF!</v>
      </c>
      <c r="AJ340" s="542" t="e">
        <f>IF(NFI_Expiration=1,IF(#REF!&lt;VLOOKUP(S$5,NFI,5,0),1,0)*Table_NFI[[#This Row],[Plastic Bucket]],Table_NFI[Plastic Bucket])</f>
        <v>#REF!</v>
      </c>
      <c r="AK340" s="542" t="e">
        <f>IF(NFI_Expiration=1,IF(#REF!&lt;VLOOKUP(T$5,NFI,5,0),1,0)*Table_NFI[[#This Row],[Plastic Mat]],Table_NFI[Plastic Mat])*IF(Table_NFI[[#This Row],[Distribution Date]]&gt;"2014-04-01",1,2.5)</f>
        <v>#REF!</v>
      </c>
      <c r="AL340" s="542" t="e">
        <f>IF(NFI_Expiration=1,IF(#REF!&lt;VLOOKUP(U$5,NFI,5,0),1,0)*Table_NFI[[#This Row],[Winter Clothes Adult]],Table_NFI[Winter Clothes Adult])</f>
        <v>#REF!</v>
      </c>
      <c r="AM340" s="542"/>
      <c r="AN340" s="542"/>
      <c r="AO340" s="542"/>
      <c r="AP340" s="542">
        <f>IF(Table_NFI[[#This Row],[Winter Clothes Adult]]+Table_NFI[[#This Row],[Winter Clothes Children]]+Table_NFI[[#This Row],[Winter Items Other]]+Table_NFI[[#This Row],[Winter Blanket]]&gt;0,1,0)</f>
        <v>0</v>
      </c>
      <c r="AQ340" s="542"/>
      <c r="AR340" s="542"/>
      <c r="AS340" s="542"/>
      <c r="AT340" s="205" t="str">
        <f>IFERROR(VLOOKUP(Table_NFI[[#This Row],[Location]],CL,2,0),"")</f>
        <v>MMR015CMP020</v>
      </c>
      <c r="AU340" s="183"/>
    </row>
    <row r="341" spans="2:47" x14ac:dyDescent="0.25">
      <c r="B341" s="540">
        <v>43311</v>
      </c>
      <c r="C341" s="540" t="str">
        <f>MONTH(Table_NFI[[#This Row],[Distribution Date]]) &amp; "/" &amp; YEAR(Table_NFI[[#This Row],[Distribution Date]])</f>
        <v>7/2018</v>
      </c>
      <c r="D341" s="198" t="s">
        <v>420</v>
      </c>
      <c r="E341" s="198" t="s">
        <v>424</v>
      </c>
      <c r="F341" s="198" t="s">
        <v>506</v>
      </c>
      <c r="G341" s="197" t="s">
        <v>146</v>
      </c>
      <c r="H341" s="198" t="s">
        <v>369</v>
      </c>
      <c r="I341" s="183"/>
      <c r="J341" s="541"/>
      <c r="K341" s="541"/>
      <c r="L341" s="541"/>
      <c r="M341" s="541">
        <v>25</v>
      </c>
      <c r="N341" s="541"/>
      <c r="O341" s="541"/>
      <c r="P341" s="541">
        <v>15</v>
      </c>
      <c r="Q341" s="541"/>
      <c r="R341" s="541"/>
      <c r="S341" s="541">
        <v>26</v>
      </c>
      <c r="T341" s="541">
        <v>44</v>
      </c>
      <c r="U341" s="541"/>
      <c r="V341" s="541"/>
      <c r="W341" s="541"/>
      <c r="X341" s="541"/>
      <c r="Y341" s="541"/>
      <c r="Z341" s="541"/>
      <c r="AA341" s="541"/>
      <c r="AB341" s="541"/>
      <c r="AC341" s="542" t="e">
        <f>IF(NFI_Expiration=1,IF(#REF!&lt;VLOOKUP(L$5,NFI,5,0),1,0)*Table_NFI[[#This Row],[NFI Core Kit]],Table_NFI[NFI Core Kit])</f>
        <v>#REF!</v>
      </c>
      <c r="AD341" s="542" t="e">
        <f>IF(NFI_Expiration=1,IF(#REF!&lt;VLOOKUP(M$5,NFI,5,0),1,0)*Table_NFI[[#This Row],[Sanitary Kit]],Table_NFI[Sanitary Kit])</f>
        <v>#REF!</v>
      </c>
      <c r="AE341" s="542" t="e">
        <f>IF(NFI_Expiration=1,IF(#REF!&lt;VLOOKUP(N$5,NFI,5,0),1,0)*Table_NFI[[#This Row],[Mosquito net]],Table_NFI[Mosquito net])</f>
        <v>#REF!</v>
      </c>
      <c r="AF341" s="542" t="e">
        <f>IF(NFI_Expiration=1,IF(#REF!&lt;VLOOKUP(O$5,NFI,5,0),1,0)*Table_NFI[[#This Row],[Tarpaulin]],Table_NFI[[#This Row],[Tarpaulin]])</f>
        <v>#REF!</v>
      </c>
      <c r="AG341" s="542" t="e">
        <f>IF(NFI_Expiration=1,IF(#REF!&lt;VLOOKUP(P$5,NFI,5,0),1,0)*Table_NFI[[#This Row],[Blanket]],Table_NFI[[#This Row],[Blanket]])</f>
        <v>#REF!</v>
      </c>
      <c r="AH341" s="542" t="e">
        <f>IF(NFI_Expiration=1,IF(#REF!&lt;VLOOKUP(Q$5,NFI,5,0),1,0)*Table_NFI[[#This Row],[Kitchen Set]],Table_NFI[Kitchen Set])</f>
        <v>#REF!</v>
      </c>
      <c r="AI341" s="542" t="e">
        <f>IF(NFI_Expiration=1,IF(#REF!&lt;VLOOKUP(R$5,NFI,5,0),1,0)*Table_NFI[[#This Row],[Clothes Kit]],Table_NFI[Clothes Kit])</f>
        <v>#REF!</v>
      </c>
      <c r="AJ341" s="542" t="e">
        <f>IF(NFI_Expiration=1,IF(#REF!&lt;VLOOKUP(S$5,NFI,5,0),1,0)*Table_NFI[[#This Row],[Plastic Bucket]],Table_NFI[Plastic Bucket])</f>
        <v>#REF!</v>
      </c>
      <c r="AK341" s="542" t="e">
        <f>IF(NFI_Expiration=1,IF(#REF!&lt;VLOOKUP(T$5,NFI,5,0),1,0)*Table_NFI[[#This Row],[Plastic Mat]],Table_NFI[Plastic Mat])*IF(Table_NFI[[#This Row],[Distribution Date]]&gt;"2014-04-01",1,2.5)</f>
        <v>#REF!</v>
      </c>
      <c r="AL341" s="542" t="e">
        <f>IF(NFI_Expiration=1,IF(#REF!&lt;VLOOKUP(U$5,NFI,5,0),1,0)*Table_NFI[[#This Row],[Winter Clothes Adult]],Table_NFI[Winter Clothes Adult])</f>
        <v>#REF!</v>
      </c>
      <c r="AM341" s="542"/>
      <c r="AN341" s="542"/>
      <c r="AO341" s="542"/>
      <c r="AP341" s="542">
        <f>IF(Table_NFI[[#This Row],[Winter Clothes Adult]]+Table_NFI[[#This Row],[Winter Clothes Children]]+Table_NFI[[#This Row],[Winter Items Other]]+Table_NFI[[#This Row],[Winter Blanket]]&gt;0,1,0)</f>
        <v>0</v>
      </c>
      <c r="AQ341" s="542"/>
      <c r="AR341" s="542"/>
      <c r="AS341" s="542"/>
      <c r="AT341" s="205" t="str">
        <f>IFERROR(VLOOKUP(Table_NFI[[#This Row],[Location]],CL,2,0),"")</f>
        <v>MMR015CMP006</v>
      </c>
      <c r="AU341" s="183"/>
    </row>
    <row r="342" spans="2:47" x14ac:dyDescent="0.25">
      <c r="B342" s="540">
        <v>43311</v>
      </c>
      <c r="C342" s="540" t="str">
        <f>MONTH(Table_NFI[[#This Row],[Distribution Date]]) &amp; "/" &amp; YEAR(Table_NFI[[#This Row],[Distribution Date]])</f>
        <v>7/2018</v>
      </c>
      <c r="D342" s="198" t="s">
        <v>420</v>
      </c>
      <c r="E342" s="198" t="s">
        <v>424</v>
      </c>
      <c r="F342" s="198" t="s">
        <v>506</v>
      </c>
      <c r="G342" s="197" t="s">
        <v>146</v>
      </c>
      <c r="H342" s="198" t="s">
        <v>1059</v>
      </c>
      <c r="I342" s="183"/>
      <c r="J342" s="541"/>
      <c r="K342" s="541"/>
      <c r="L342" s="541">
        <v>20</v>
      </c>
      <c r="M342" s="541"/>
      <c r="N342" s="541"/>
      <c r="O342" s="541"/>
      <c r="P342" s="541">
        <v>10</v>
      </c>
      <c r="Q342" s="541"/>
      <c r="R342" s="541"/>
      <c r="S342" s="541"/>
      <c r="T342" s="541">
        <v>24</v>
      </c>
      <c r="U342" s="541"/>
      <c r="V342" s="541"/>
      <c r="W342" s="541"/>
      <c r="X342" s="541"/>
      <c r="Y342" s="541"/>
      <c r="Z342" s="541"/>
      <c r="AA342" s="541"/>
      <c r="AB342" s="541"/>
      <c r="AC342" s="542" t="e">
        <f>IF(NFI_Expiration=1,IF(#REF!&lt;VLOOKUP(L$5,NFI,5,0),1,0)*Table_NFI[[#This Row],[NFI Core Kit]],Table_NFI[NFI Core Kit])</f>
        <v>#REF!</v>
      </c>
      <c r="AD342" s="542" t="e">
        <f>IF(NFI_Expiration=1,IF(#REF!&lt;VLOOKUP(M$5,NFI,5,0),1,0)*Table_NFI[[#This Row],[Sanitary Kit]],Table_NFI[Sanitary Kit])</f>
        <v>#REF!</v>
      </c>
      <c r="AE342" s="542" t="e">
        <f>IF(NFI_Expiration=1,IF(#REF!&lt;VLOOKUP(N$5,NFI,5,0),1,0)*Table_NFI[[#This Row],[Mosquito net]],Table_NFI[Mosquito net])</f>
        <v>#REF!</v>
      </c>
      <c r="AF342" s="542" t="e">
        <f>IF(NFI_Expiration=1,IF(#REF!&lt;VLOOKUP(O$5,NFI,5,0),1,0)*Table_NFI[[#This Row],[Tarpaulin]],Table_NFI[[#This Row],[Tarpaulin]])</f>
        <v>#REF!</v>
      </c>
      <c r="AG342" s="542" t="e">
        <f>IF(NFI_Expiration=1,IF(#REF!&lt;VLOOKUP(P$5,NFI,5,0),1,0)*Table_NFI[[#This Row],[Blanket]],Table_NFI[[#This Row],[Blanket]])</f>
        <v>#REF!</v>
      </c>
      <c r="AH342" s="542" t="e">
        <f>IF(NFI_Expiration=1,IF(#REF!&lt;VLOOKUP(Q$5,NFI,5,0),1,0)*Table_NFI[[#This Row],[Kitchen Set]],Table_NFI[Kitchen Set])</f>
        <v>#REF!</v>
      </c>
      <c r="AI342" s="542" t="e">
        <f>IF(NFI_Expiration=1,IF(#REF!&lt;VLOOKUP(R$5,NFI,5,0),1,0)*Table_NFI[[#This Row],[Clothes Kit]],Table_NFI[Clothes Kit])</f>
        <v>#REF!</v>
      </c>
      <c r="AJ342" s="542" t="e">
        <f>IF(NFI_Expiration=1,IF(#REF!&lt;VLOOKUP(S$5,NFI,5,0),1,0)*Table_NFI[[#This Row],[Plastic Bucket]],Table_NFI[Plastic Bucket])</f>
        <v>#REF!</v>
      </c>
      <c r="AK342" s="542" t="e">
        <f>IF(NFI_Expiration=1,IF(#REF!&lt;VLOOKUP(T$5,NFI,5,0),1,0)*Table_NFI[[#This Row],[Plastic Mat]],Table_NFI[Plastic Mat])*IF(Table_NFI[[#This Row],[Distribution Date]]&gt;"2014-04-01",1,2.5)</f>
        <v>#REF!</v>
      </c>
      <c r="AL342" s="542" t="e">
        <f>IF(NFI_Expiration=1,IF(#REF!&lt;VLOOKUP(U$5,NFI,5,0),1,0)*Table_NFI[[#This Row],[Winter Clothes Adult]],Table_NFI[Winter Clothes Adult])</f>
        <v>#REF!</v>
      </c>
      <c r="AM342" s="542"/>
      <c r="AN342" s="542"/>
      <c r="AO342" s="542"/>
      <c r="AP342" s="542">
        <f>IF(Table_NFI[[#This Row],[Winter Clothes Adult]]+Table_NFI[[#This Row],[Winter Clothes Children]]+Table_NFI[[#This Row],[Winter Items Other]]+Table_NFI[[#This Row],[Winter Blanket]]&gt;0,1,0)</f>
        <v>0</v>
      </c>
      <c r="AQ342" s="542"/>
      <c r="AR342" s="542"/>
      <c r="AS342" s="542"/>
      <c r="AT342" s="205" t="str">
        <f>IFERROR(VLOOKUP(Table_NFI[[#This Row],[Location]],CL,2,0),"")</f>
        <v>MMR015CMP218</v>
      </c>
      <c r="AU342" s="183"/>
    </row>
    <row r="343" spans="2:47" x14ac:dyDescent="0.25">
      <c r="B343" s="540">
        <v>43311</v>
      </c>
      <c r="C343" s="540" t="str">
        <f>MONTH(Table_NFI[[#This Row],[Distribution Date]]) &amp; "/" &amp; YEAR(Table_NFI[[#This Row],[Distribution Date]])</f>
        <v>7/2018</v>
      </c>
      <c r="D343" s="198" t="s">
        <v>420</v>
      </c>
      <c r="E343" s="198" t="s">
        <v>424</v>
      </c>
      <c r="F343" s="198" t="s">
        <v>506</v>
      </c>
      <c r="G343" s="197" t="s">
        <v>297</v>
      </c>
      <c r="H343" s="177" t="s">
        <v>759</v>
      </c>
      <c r="I343" s="183"/>
      <c r="J343" s="541"/>
      <c r="K343" s="541"/>
      <c r="L343" s="541"/>
      <c r="M343" s="541"/>
      <c r="N343" s="541"/>
      <c r="O343" s="541"/>
      <c r="P343" s="541">
        <v>15</v>
      </c>
      <c r="Q343" s="541"/>
      <c r="R343" s="541"/>
      <c r="S343" s="541"/>
      <c r="T343" s="541">
        <v>25</v>
      </c>
      <c r="U343" s="541"/>
      <c r="V343" s="541"/>
      <c r="W343" s="541"/>
      <c r="X343" s="541"/>
      <c r="Y343" s="541"/>
      <c r="Z343" s="541"/>
      <c r="AA343" s="541"/>
      <c r="AB343" s="541"/>
      <c r="AC343" s="542" t="e">
        <f>IF(NFI_Expiration=1,IF(#REF!&lt;VLOOKUP(L$5,NFI,5,0),1,0)*Table_NFI[[#This Row],[NFI Core Kit]],Table_NFI[NFI Core Kit])</f>
        <v>#REF!</v>
      </c>
      <c r="AD343" s="542" t="e">
        <f>IF(NFI_Expiration=1,IF(#REF!&lt;VLOOKUP(M$5,NFI,5,0),1,0)*Table_NFI[[#This Row],[Sanitary Kit]],Table_NFI[Sanitary Kit])</f>
        <v>#REF!</v>
      </c>
      <c r="AE343" s="542" t="e">
        <f>IF(NFI_Expiration=1,IF(#REF!&lt;VLOOKUP(N$5,NFI,5,0),1,0)*Table_NFI[[#This Row],[Mosquito net]],Table_NFI[Mosquito net])</f>
        <v>#REF!</v>
      </c>
      <c r="AF343" s="542" t="e">
        <f>IF(NFI_Expiration=1,IF(#REF!&lt;VLOOKUP(O$5,NFI,5,0),1,0)*Table_NFI[[#This Row],[Tarpaulin]],Table_NFI[[#This Row],[Tarpaulin]])</f>
        <v>#REF!</v>
      </c>
      <c r="AG343" s="542" t="e">
        <f>IF(NFI_Expiration=1,IF(#REF!&lt;VLOOKUP(P$5,NFI,5,0),1,0)*Table_NFI[[#This Row],[Blanket]],Table_NFI[[#This Row],[Blanket]])</f>
        <v>#REF!</v>
      </c>
      <c r="AH343" s="542" t="e">
        <f>IF(NFI_Expiration=1,IF(#REF!&lt;VLOOKUP(Q$5,NFI,5,0),1,0)*Table_NFI[[#This Row],[Kitchen Set]],Table_NFI[Kitchen Set])</f>
        <v>#REF!</v>
      </c>
      <c r="AI343" s="542" t="e">
        <f>IF(NFI_Expiration=1,IF(#REF!&lt;VLOOKUP(R$5,NFI,5,0),1,0)*Table_NFI[[#This Row],[Clothes Kit]],Table_NFI[Clothes Kit])</f>
        <v>#REF!</v>
      </c>
      <c r="AJ343" s="542" t="e">
        <f>IF(NFI_Expiration=1,IF(#REF!&lt;VLOOKUP(S$5,NFI,5,0),1,0)*Table_NFI[[#This Row],[Plastic Bucket]],Table_NFI[Plastic Bucket])</f>
        <v>#REF!</v>
      </c>
      <c r="AK343" s="542" t="e">
        <f>IF(NFI_Expiration=1,IF(#REF!&lt;VLOOKUP(T$5,NFI,5,0),1,0)*Table_NFI[[#This Row],[Plastic Mat]],Table_NFI[Plastic Mat])*IF(Table_NFI[[#This Row],[Distribution Date]]&gt;"2014-04-01",1,2.5)</f>
        <v>#REF!</v>
      </c>
      <c r="AL343" s="542" t="e">
        <f>IF(NFI_Expiration=1,IF(#REF!&lt;VLOOKUP(U$5,NFI,5,0),1,0)*Table_NFI[[#This Row],[Winter Clothes Adult]],Table_NFI[Winter Clothes Adult])</f>
        <v>#REF!</v>
      </c>
      <c r="AM343" s="542"/>
      <c r="AN343" s="542"/>
      <c r="AO343" s="542"/>
      <c r="AP343" s="542">
        <f>IF(Table_NFI[[#This Row],[Winter Clothes Adult]]+Table_NFI[[#This Row],[Winter Clothes Children]]+Table_NFI[[#This Row],[Winter Items Other]]+Table_NFI[[#This Row],[Winter Blanket]]&gt;0,1,0)</f>
        <v>0</v>
      </c>
      <c r="AQ343" s="542"/>
      <c r="AR343" s="542"/>
      <c r="AS343" s="542"/>
      <c r="AT343" s="205" t="str">
        <f>IFERROR(VLOOKUP(Table_NFI[[#This Row],[Location]],CL,2,0),"")</f>
        <v>MMR015CMP014</v>
      </c>
      <c r="AU343" s="183"/>
    </row>
    <row r="344" spans="2:47" x14ac:dyDescent="0.25">
      <c r="B344" s="540">
        <v>43311</v>
      </c>
      <c r="C344" s="540" t="str">
        <f>MONTH(Table_NFI[[#This Row],[Distribution Date]]) &amp; "/" &amp; YEAR(Table_NFI[[#This Row],[Distribution Date]])</f>
        <v>7/2018</v>
      </c>
      <c r="D344" s="198" t="s">
        <v>420</v>
      </c>
      <c r="E344" s="198" t="s">
        <v>424</v>
      </c>
      <c r="F344" s="198" t="s">
        <v>506</v>
      </c>
      <c r="G344" s="197" t="s">
        <v>166</v>
      </c>
      <c r="H344" s="177" t="s">
        <v>167</v>
      </c>
      <c r="I344" s="183"/>
      <c r="J344" s="541"/>
      <c r="K344" s="541"/>
      <c r="L344" s="541"/>
      <c r="M344" s="541"/>
      <c r="N344" s="541"/>
      <c r="O344" s="541"/>
      <c r="P344" s="541">
        <v>20</v>
      </c>
      <c r="Q344" s="541"/>
      <c r="R344" s="541"/>
      <c r="S344" s="541"/>
      <c r="T344" s="541">
        <v>24</v>
      </c>
      <c r="U344" s="541"/>
      <c r="V344" s="541"/>
      <c r="W344" s="541"/>
      <c r="X344" s="541"/>
      <c r="Y344" s="541"/>
      <c r="Z344" s="541"/>
      <c r="AA344" s="541"/>
      <c r="AB344" s="541"/>
      <c r="AC344" s="542" t="e">
        <f>IF(NFI_Expiration=1,IF(#REF!&lt;VLOOKUP(L$5,NFI,5,0),1,0)*Table_NFI[[#This Row],[NFI Core Kit]],Table_NFI[NFI Core Kit])</f>
        <v>#REF!</v>
      </c>
      <c r="AD344" s="542" t="e">
        <f>IF(NFI_Expiration=1,IF(#REF!&lt;VLOOKUP(M$5,NFI,5,0),1,0)*Table_NFI[[#This Row],[Sanitary Kit]],Table_NFI[Sanitary Kit])</f>
        <v>#REF!</v>
      </c>
      <c r="AE344" s="542" t="e">
        <f>IF(NFI_Expiration=1,IF(#REF!&lt;VLOOKUP(N$5,NFI,5,0),1,0)*Table_NFI[[#This Row],[Mosquito net]],Table_NFI[Mosquito net])</f>
        <v>#REF!</v>
      </c>
      <c r="AF344" s="542" t="e">
        <f>IF(NFI_Expiration=1,IF(#REF!&lt;VLOOKUP(O$5,NFI,5,0),1,0)*Table_NFI[[#This Row],[Tarpaulin]],Table_NFI[[#This Row],[Tarpaulin]])</f>
        <v>#REF!</v>
      </c>
      <c r="AG344" s="542" t="e">
        <f>IF(NFI_Expiration=1,IF(#REF!&lt;VLOOKUP(P$5,NFI,5,0),1,0)*Table_NFI[[#This Row],[Blanket]],Table_NFI[[#This Row],[Blanket]])</f>
        <v>#REF!</v>
      </c>
      <c r="AH344" s="542" t="e">
        <f>IF(NFI_Expiration=1,IF(#REF!&lt;VLOOKUP(Q$5,NFI,5,0),1,0)*Table_NFI[[#This Row],[Kitchen Set]],Table_NFI[Kitchen Set])</f>
        <v>#REF!</v>
      </c>
      <c r="AI344" s="542" t="e">
        <f>IF(NFI_Expiration=1,IF(#REF!&lt;VLOOKUP(R$5,NFI,5,0),1,0)*Table_NFI[[#This Row],[Clothes Kit]],Table_NFI[Clothes Kit])</f>
        <v>#REF!</v>
      </c>
      <c r="AJ344" s="542" t="e">
        <f>IF(NFI_Expiration=1,IF(#REF!&lt;VLOOKUP(S$5,NFI,5,0),1,0)*Table_NFI[[#This Row],[Plastic Bucket]],Table_NFI[Plastic Bucket])</f>
        <v>#REF!</v>
      </c>
      <c r="AK344" s="542" t="e">
        <f>IF(NFI_Expiration=1,IF(#REF!&lt;VLOOKUP(T$5,NFI,5,0),1,0)*Table_NFI[[#This Row],[Plastic Mat]],Table_NFI[Plastic Mat])*IF(Table_NFI[[#This Row],[Distribution Date]]&gt;"2014-04-01",1,2.5)</f>
        <v>#REF!</v>
      </c>
      <c r="AL344" s="542" t="e">
        <f>IF(NFI_Expiration=1,IF(#REF!&lt;VLOOKUP(U$5,NFI,5,0),1,0)*Table_NFI[[#This Row],[Winter Clothes Adult]],Table_NFI[Winter Clothes Adult])</f>
        <v>#REF!</v>
      </c>
      <c r="AM344" s="542"/>
      <c r="AN344" s="542"/>
      <c r="AO344" s="542"/>
      <c r="AP344" s="542">
        <f>IF(Table_NFI[[#This Row],[Winter Clothes Adult]]+Table_NFI[[#This Row],[Winter Clothes Children]]+Table_NFI[[#This Row],[Winter Items Other]]+Table_NFI[[#This Row],[Winter Blanket]]&gt;0,1,0)</f>
        <v>0</v>
      </c>
      <c r="AQ344" s="542"/>
      <c r="AR344" s="542"/>
      <c r="AS344" s="542"/>
      <c r="AT344" s="205" t="str">
        <f>IFERROR(VLOOKUP(Table_NFI[[#This Row],[Location]],CL,2,0),"")</f>
        <v>MMR015CMP009</v>
      </c>
      <c r="AU344" s="183"/>
    </row>
    <row r="345" spans="2:47" x14ac:dyDescent="0.25">
      <c r="B345" s="540">
        <v>43311</v>
      </c>
      <c r="C345" s="540" t="str">
        <f>MONTH(Table_NFI[[#This Row],[Distribution Date]]) &amp; "/" &amp; YEAR(Table_NFI[[#This Row],[Distribution Date]])</f>
        <v>7/2018</v>
      </c>
      <c r="D345" s="198" t="s">
        <v>420</v>
      </c>
      <c r="E345" s="198" t="s">
        <v>424</v>
      </c>
      <c r="F345" s="198" t="s">
        <v>506</v>
      </c>
      <c r="G345" s="197" t="s">
        <v>146</v>
      </c>
      <c r="H345" s="177" t="s">
        <v>1238</v>
      </c>
      <c r="I345" s="183"/>
      <c r="J345" s="541"/>
      <c r="K345" s="541"/>
      <c r="L345" s="541"/>
      <c r="M345" s="541"/>
      <c r="N345" s="541"/>
      <c r="O345" s="541"/>
      <c r="P345" s="541">
        <v>10</v>
      </c>
      <c r="Q345" s="541"/>
      <c r="R345" s="541"/>
      <c r="S345" s="541"/>
      <c r="T345" s="541">
        <v>13</v>
      </c>
      <c r="U345" s="541"/>
      <c r="V345" s="541"/>
      <c r="W345" s="541"/>
      <c r="X345" s="541"/>
      <c r="Y345" s="541"/>
      <c r="Z345" s="541"/>
      <c r="AA345" s="541"/>
      <c r="AB345" s="541"/>
      <c r="AC345" s="542" t="e">
        <f>IF(NFI_Expiration=1,IF(#REF!&lt;VLOOKUP(L$5,NFI,5,0),1,0)*Table_NFI[[#This Row],[NFI Core Kit]],Table_NFI[NFI Core Kit])</f>
        <v>#REF!</v>
      </c>
      <c r="AD345" s="542" t="e">
        <f>IF(NFI_Expiration=1,IF(#REF!&lt;VLOOKUP(M$5,NFI,5,0),1,0)*Table_NFI[[#This Row],[Sanitary Kit]],Table_NFI[Sanitary Kit])</f>
        <v>#REF!</v>
      </c>
      <c r="AE345" s="542" t="e">
        <f>IF(NFI_Expiration=1,IF(#REF!&lt;VLOOKUP(N$5,NFI,5,0),1,0)*Table_NFI[[#This Row],[Mosquito net]],Table_NFI[Mosquito net])</f>
        <v>#REF!</v>
      </c>
      <c r="AF345" s="542" t="e">
        <f>IF(NFI_Expiration=1,IF(#REF!&lt;VLOOKUP(O$5,NFI,5,0),1,0)*Table_NFI[[#This Row],[Tarpaulin]],Table_NFI[[#This Row],[Tarpaulin]])</f>
        <v>#REF!</v>
      </c>
      <c r="AG345" s="542" t="e">
        <f>IF(NFI_Expiration=1,IF(#REF!&lt;VLOOKUP(P$5,NFI,5,0),1,0)*Table_NFI[[#This Row],[Blanket]],Table_NFI[[#This Row],[Blanket]])</f>
        <v>#REF!</v>
      </c>
      <c r="AH345" s="542" t="e">
        <f>IF(NFI_Expiration=1,IF(#REF!&lt;VLOOKUP(Q$5,NFI,5,0),1,0)*Table_NFI[[#This Row],[Kitchen Set]],Table_NFI[Kitchen Set])</f>
        <v>#REF!</v>
      </c>
      <c r="AI345" s="542" t="e">
        <f>IF(NFI_Expiration=1,IF(#REF!&lt;VLOOKUP(R$5,NFI,5,0),1,0)*Table_NFI[[#This Row],[Clothes Kit]],Table_NFI[Clothes Kit])</f>
        <v>#REF!</v>
      </c>
      <c r="AJ345" s="542" t="e">
        <f>IF(NFI_Expiration=1,IF(#REF!&lt;VLOOKUP(S$5,NFI,5,0),1,0)*Table_NFI[[#This Row],[Plastic Bucket]],Table_NFI[Plastic Bucket])</f>
        <v>#REF!</v>
      </c>
      <c r="AK345" s="542" t="e">
        <f>IF(NFI_Expiration=1,IF(#REF!&lt;VLOOKUP(T$5,NFI,5,0),1,0)*Table_NFI[[#This Row],[Plastic Mat]],Table_NFI[Plastic Mat])*IF(Table_NFI[[#This Row],[Distribution Date]]&gt;"2014-04-01",1,2.5)</f>
        <v>#REF!</v>
      </c>
      <c r="AL345" s="542" t="e">
        <f>IF(NFI_Expiration=1,IF(#REF!&lt;VLOOKUP(U$5,NFI,5,0),1,0)*Table_NFI[[#This Row],[Winter Clothes Adult]],Table_NFI[Winter Clothes Adult])</f>
        <v>#REF!</v>
      </c>
      <c r="AM345" s="542"/>
      <c r="AN345" s="542"/>
      <c r="AO345" s="542"/>
      <c r="AP345" s="542">
        <f>IF(Table_NFI[[#This Row],[Winter Clothes Adult]]+Table_NFI[[#This Row],[Winter Clothes Children]]+Table_NFI[[#This Row],[Winter Items Other]]+Table_NFI[[#This Row],[Winter Blanket]]&gt;0,1,0)</f>
        <v>0</v>
      </c>
      <c r="AQ345" s="542"/>
      <c r="AR345" s="542"/>
      <c r="AS345" s="542"/>
      <c r="AT345" s="205" t="str">
        <f>IFERROR(VLOOKUP(Table_NFI[[#This Row],[Location]],CL,2,0),"")</f>
        <v>MMR015CMP246</v>
      </c>
      <c r="AU345" s="183"/>
    </row>
    <row r="346" spans="2:47" x14ac:dyDescent="0.25">
      <c r="B346" s="540">
        <v>43311</v>
      </c>
      <c r="C346" s="540" t="str">
        <f>MONTH(Table_NFI[[#This Row],[Distribution Date]]) &amp; "/" &amp; YEAR(Table_NFI[[#This Row],[Distribution Date]])</f>
        <v>7/2018</v>
      </c>
      <c r="D346" s="198" t="s">
        <v>420</v>
      </c>
      <c r="E346" s="198" t="s">
        <v>424</v>
      </c>
      <c r="F346" s="198" t="s">
        <v>506</v>
      </c>
      <c r="G346" s="197" t="s">
        <v>237</v>
      </c>
      <c r="H346" s="198" t="s">
        <v>1761</v>
      </c>
      <c r="I346" s="183"/>
      <c r="J346" s="541"/>
      <c r="K346" s="541"/>
      <c r="L346" s="541"/>
      <c r="M346" s="541"/>
      <c r="N346" s="541"/>
      <c r="O346" s="541"/>
      <c r="P346" s="541"/>
      <c r="Q346" s="541">
        <v>35</v>
      </c>
      <c r="R346" s="541"/>
      <c r="S346" s="541">
        <v>28</v>
      </c>
      <c r="T346" s="541">
        <v>40</v>
      </c>
      <c r="U346" s="541"/>
      <c r="V346" s="541"/>
      <c r="W346" s="541"/>
      <c r="X346" s="541"/>
      <c r="Y346" s="541"/>
      <c r="Z346" s="541"/>
      <c r="AA346" s="541"/>
      <c r="AB346" s="541"/>
      <c r="AC346" s="542" t="e">
        <f>IF(NFI_Expiration=1,IF(#REF!&lt;VLOOKUP(L$5,NFI,5,0),1,0)*Table_NFI[[#This Row],[NFI Core Kit]],Table_NFI[NFI Core Kit])</f>
        <v>#REF!</v>
      </c>
      <c r="AD346" s="542" t="e">
        <f>IF(NFI_Expiration=1,IF(#REF!&lt;VLOOKUP(M$5,NFI,5,0),1,0)*Table_NFI[[#This Row],[Sanitary Kit]],Table_NFI[Sanitary Kit])</f>
        <v>#REF!</v>
      </c>
      <c r="AE346" s="542" t="e">
        <f>IF(NFI_Expiration=1,IF(#REF!&lt;VLOOKUP(N$5,NFI,5,0),1,0)*Table_NFI[[#This Row],[Mosquito net]],Table_NFI[Mosquito net])</f>
        <v>#REF!</v>
      </c>
      <c r="AF346" s="542" t="e">
        <f>IF(NFI_Expiration=1,IF(#REF!&lt;VLOOKUP(O$5,NFI,5,0),1,0)*Table_NFI[[#This Row],[Tarpaulin]],Table_NFI[[#This Row],[Tarpaulin]])</f>
        <v>#REF!</v>
      </c>
      <c r="AG346" s="542" t="e">
        <f>IF(NFI_Expiration=1,IF(#REF!&lt;VLOOKUP(P$5,NFI,5,0),1,0)*Table_NFI[[#This Row],[Blanket]],Table_NFI[[#This Row],[Blanket]])</f>
        <v>#REF!</v>
      </c>
      <c r="AH346" s="542" t="e">
        <f>IF(NFI_Expiration=1,IF(#REF!&lt;VLOOKUP(Q$5,NFI,5,0),1,0)*Table_NFI[[#This Row],[Kitchen Set]],Table_NFI[Kitchen Set])</f>
        <v>#REF!</v>
      </c>
      <c r="AI346" s="542" t="e">
        <f>IF(NFI_Expiration=1,IF(#REF!&lt;VLOOKUP(R$5,NFI,5,0),1,0)*Table_NFI[[#This Row],[Clothes Kit]],Table_NFI[Clothes Kit])</f>
        <v>#REF!</v>
      </c>
      <c r="AJ346" s="542" t="e">
        <f>IF(NFI_Expiration=1,IF(#REF!&lt;VLOOKUP(S$5,NFI,5,0),1,0)*Table_NFI[[#This Row],[Plastic Bucket]],Table_NFI[Plastic Bucket])</f>
        <v>#REF!</v>
      </c>
      <c r="AK346" s="542" t="e">
        <f>IF(NFI_Expiration=1,IF(#REF!&lt;VLOOKUP(T$5,NFI,5,0),1,0)*Table_NFI[[#This Row],[Plastic Mat]],Table_NFI[Plastic Mat])*IF(Table_NFI[[#This Row],[Distribution Date]]&gt;"2014-04-01",1,2.5)</f>
        <v>#REF!</v>
      </c>
      <c r="AL346" s="542" t="e">
        <f>IF(NFI_Expiration=1,IF(#REF!&lt;VLOOKUP(U$5,NFI,5,0),1,0)*Table_NFI[[#This Row],[Winter Clothes Adult]],Table_NFI[Winter Clothes Adult])</f>
        <v>#REF!</v>
      </c>
      <c r="AM346" s="542"/>
      <c r="AN346" s="542"/>
      <c r="AO346" s="542"/>
      <c r="AP346" s="542">
        <f>IF(Table_NFI[[#This Row],[Winter Clothes Adult]]+Table_NFI[[#This Row],[Winter Clothes Children]]+Table_NFI[[#This Row],[Winter Items Other]]+Table_NFI[[#This Row],[Winter Blanket]]&gt;0,1,0)</f>
        <v>0</v>
      </c>
      <c r="AQ346" s="542"/>
      <c r="AR346" s="542"/>
      <c r="AS346" s="542"/>
      <c r="AT346" s="205" t="str">
        <f>IFERROR(VLOOKUP(Table_NFI[[#This Row],[Location]],CL,2,0),"")</f>
        <v/>
      </c>
      <c r="AU346" s="183"/>
    </row>
    <row r="347" spans="2:47" x14ac:dyDescent="0.25">
      <c r="B347" s="540">
        <v>43311</v>
      </c>
      <c r="C347" s="540" t="str">
        <f>MONTH(Table_NFI[[#This Row],[Distribution Date]]) &amp; "/" &amp; YEAR(Table_NFI[[#This Row],[Distribution Date]])</f>
        <v>7/2018</v>
      </c>
      <c r="D347" s="198" t="s">
        <v>420</v>
      </c>
      <c r="E347" s="198" t="s">
        <v>424</v>
      </c>
      <c r="F347" s="198" t="s">
        <v>506</v>
      </c>
      <c r="G347" s="197" t="s">
        <v>146</v>
      </c>
      <c r="H347" s="198" t="s">
        <v>1762</v>
      </c>
      <c r="I347" s="183"/>
      <c r="J347" s="541"/>
      <c r="K347" s="541"/>
      <c r="L347" s="541"/>
      <c r="M347" s="541"/>
      <c r="N347" s="541">
        <v>2</v>
      </c>
      <c r="O347" s="541">
        <v>1</v>
      </c>
      <c r="P347" s="541"/>
      <c r="Q347" s="541">
        <v>14</v>
      </c>
      <c r="R347" s="541"/>
      <c r="S347" s="541"/>
      <c r="T347" s="541">
        <v>32</v>
      </c>
      <c r="U347" s="541"/>
      <c r="V347" s="541"/>
      <c r="W347" s="541"/>
      <c r="X347" s="541"/>
      <c r="Y347" s="541">
        <v>15</v>
      </c>
      <c r="Z347" s="541"/>
      <c r="AA347" s="541"/>
      <c r="AB347" s="541"/>
      <c r="AC347" s="542" t="e">
        <f>IF(NFI_Expiration=1,IF(#REF!&lt;VLOOKUP(L$5,NFI,5,0),1,0)*Table_NFI[[#This Row],[NFI Core Kit]],Table_NFI[NFI Core Kit])</f>
        <v>#REF!</v>
      </c>
      <c r="AD347" s="542" t="e">
        <f>IF(NFI_Expiration=1,IF(#REF!&lt;VLOOKUP(M$5,NFI,5,0),1,0)*Table_NFI[[#This Row],[Sanitary Kit]],Table_NFI[Sanitary Kit])</f>
        <v>#REF!</v>
      </c>
      <c r="AE347" s="542" t="e">
        <f>IF(NFI_Expiration=1,IF(#REF!&lt;VLOOKUP(N$5,NFI,5,0),1,0)*Table_NFI[[#This Row],[Mosquito net]],Table_NFI[Mosquito net])</f>
        <v>#REF!</v>
      </c>
      <c r="AF347" s="542" t="e">
        <f>IF(NFI_Expiration=1,IF(#REF!&lt;VLOOKUP(O$5,NFI,5,0),1,0)*Table_NFI[[#This Row],[Tarpaulin]],Table_NFI[[#This Row],[Tarpaulin]])</f>
        <v>#REF!</v>
      </c>
      <c r="AG347" s="542" t="e">
        <f>IF(NFI_Expiration=1,IF(#REF!&lt;VLOOKUP(P$5,NFI,5,0),1,0)*Table_NFI[[#This Row],[Blanket]],Table_NFI[[#This Row],[Blanket]])</f>
        <v>#REF!</v>
      </c>
      <c r="AH347" s="542" t="e">
        <f>IF(NFI_Expiration=1,IF(#REF!&lt;VLOOKUP(Q$5,NFI,5,0),1,0)*Table_NFI[[#This Row],[Kitchen Set]],Table_NFI[Kitchen Set])</f>
        <v>#REF!</v>
      </c>
      <c r="AI347" s="542" t="e">
        <f>IF(NFI_Expiration=1,IF(#REF!&lt;VLOOKUP(R$5,NFI,5,0),1,0)*Table_NFI[[#This Row],[Clothes Kit]],Table_NFI[Clothes Kit])</f>
        <v>#REF!</v>
      </c>
      <c r="AJ347" s="542" t="e">
        <f>IF(NFI_Expiration=1,IF(#REF!&lt;VLOOKUP(S$5,NFI,5,0),1,0)*Table_NFI[[#This Row],[Plastic Bucket]],Table_NFI[Plastic Bucket])</f>
        <v>#REF!</v>
      </c>
      <c r="AK347" s="542" t="e">
        <f>IF(NFI_Expiration=1,IF(#REF!&lt;VLOOKUP(T$5,NFI,5,0),1,0)*Table_NFI[[#This Row],[Plastic Mat]],Table_NFI[Plastic Mat])*IF(Table_NFI[[#This Row],[Distribution Date]]&gt;"2014-04-01",1,2.5)</f>
        <v>#REF!</v>
      </c>
      <c r="AL347" s="542" t="e">
        <f>IF(NFI_Expiration=1,IF(#REF!&lt;VLOOKUP(U$5,NFI,5,0),1,0)*Table_NFI[[#This Row],[Winter Clothes Adult]],Table_NFI[Winter Clothes Adult])</f>
        <v>#REF!</v>
      </c>
      <c r="AM347" s="542"/>
      <c r="AN347" s="542"/>
      <c r="AO347" s="542"/>
      <c r="AP347" s="542">
        <f>IF(Table_NFI[[#This Row],[Winter Clothes Adult]]+Table_NFI[[#This Row],[Winter Clothes Children]]+Table_NFI[[#This Row],[Winter Items Other]]+Table_NFI[[#This Row],[Winter Blanket]]&gt;0,1,0)</f>
        <v>0</v>
      </c>
      <c r="AQ347" s="542"/>
      <c r="AR347" s="542"/>
      <c r="AS347" s="542"/>
      <c r="AT347" s="205" t="str">
        <f>IFERROR(VLOOKUP(Table_NFI[[#This Row],[Location]],CL,2,0),"")</f>
        <v/>
      </c>
      <c r="AU347" s="183"/>
    </row>
    <row r="348" spans="2:47" x14ac:dyDescent="0.25">
      <c r="B348" s="540">
        <v>43311</v>
      </c>
      <c r="C348" s="540" t="str">
        <f>MONTH(Table_NFI[[#This Row],[Distribution Date]]) &amp; "/" &amp; YEAR(Table_NFI[[#This Row],[Distribution Date]])</f>
        <v>7/2018</v>
      </c>
      <c r="D348" s="198" t="s">
        <v>420</v>
      </c>
      <c r="E348" s="198" t="s">
        <v>424</v>
      </c>
      <c r="F348" s="198" t="s">
        <v>506</v>
      </c>
      <c r="G348" s="197" t="s">
        <v>146</v>
      </c>
      <c r="H348" s="177" t="s">
        <v>1570</v>
      </c>
      <c r="I348" s="183"/>
      <c r="J348" s="541"/>
      <c r="K348" s="541"/>
      <c r="L348" s="541"/>
      <c r="M348" s="541"/>
      <c r="N348" s="541"/>
      <c r="O348" s="541"/>
      <c r="P348" s="541">
        <v>10</v>
      </c>
      <c r="Q348" s="541"/>
      <c r="R348" s="541"/>
      <c r="S348" s="541"/>
      <c r="T348" s="541">
        <v>28</v>
      </c>
      <c r="U348" s="541"/>
      <c r="V348" s="541"/>
      <c r="W348" s="541"/>
      <c r="X348" s="541"/>
      <c r="Y348" s="541"/>
      <c r="Z348" s="541"/>
      <c r="AA348" s="541"/>
      <c r="AB348" s="541"/>
      <c r="AC348" s="542" t="e">
        <f>IF(NFI_Expiration=1,IF(#REF!&lt;VLOOKUP(L$5,NFI,5,0),1,0)*Table_NFI[[#This Row],[NFI Core Kit]],Table_NFI[NFI Core Kit])</f>
        <v>#REF!</v>
      </c>
      <c r="AD348" s="542" t="e">
        <f>IF(NFI_Expiration=1,IF(#REF!&lt;VLOOKUP(M$5,NFI,5,0),1,0)*Table_NFI[[#This Row],[Sanitary Kit]],Table_NFI[Sanitary Kit])</f>
        <v>#REF!</v>
      </c>
      <c r="AE348" s="542" t="e">
        <f>IF(NFI_Expiration=1,IF(#REF!&lt;VLOOKUP(N$5,NFI,5,0),1,0)*Table_NFI[[#This Row],[Mosquito net]],Table_NFI[Mosquito net])</f>
        <v>#REF!</v>
      </c>
      <c r="AF348" s="542" t="e">
        <f>IF(NFI_Expiration=1,IF(#REF!&lt;VLOOKUP(O$5,NFI,5,0),1,0)*Table_NFI[[#This Row],[Tarpaulin]],Table_NFI[[#This Row],[Tarpaulin]])</f>
        <v>#REF!</v>
      </c>
      <c r="AG348" s="542" t="e">
        <f>IF(NFI_Expiration=1,IF(#REF!&lt;VLOOKUP(P$5,NFI,5,0),1,0)*Table_NFI[[#This Row],[Blanket]],Table_NFI[[#This Row],[Blanket]])</f>
        <v>#REF!</v>
      </c>
      <c r="AH348" s="542" t="e">
        <f>IF(NFI_Expiration=1,IF(#REF!&lt;VLOOKUP(Q$5,NFI,5,0),1,0)*Table_NFI[[#This Row],[Kitchen Set]],Table_NFI[Kitchen Set])</f>
        <v>#REF!</v>
      </c>
      <c r="AI348" s="542" t="e">
        <f>IF(NFI_Expiration=1,IF(#REF!&lt;VLOOKUP(R$5,NFI,5,0),1,0)*Table_NFI[[#This Row],[Clothes Kit]],Table_NFI[Clothes Kit])</f>
        <v>#REF!</v>
      </c>
      <c r="AJ348" s="542" t="e">
        <f>IF(NFI_Expiration=1,IF(#REF!&lt;VLOOKUP(S$5,NFI,5,0),1,0)*Table_NFI[[#This Row],[Plastic Bucket]],Table_NFI[Plastic Bucket])</f>
        <v>#REF!</v>
      </c>
      <c r="AK348" s="542" t="e">
        <f>IF(NFI_Expiration=1,IF(#REF!&lt;VLOOKUP(T$5,NFI,5,0),1,0)*Table_NFI[[#This Row],[Plastic Mat]],Table_NFI[Plastic Mat])*IF(Table_NFI[[#This Row],[Distribution Date]]&gt;"2014-04-01",1,2.5)</f>
        <v>#REF!</v>
      </c>
      <c r="AL348" s="542" t="e">
        <f>IF(NFI_Expiration=1,IF(#REF!&lt;VLOOKUP(U$5,NFI,5,0),1,0)*Table_NFI[[#This Row],[Winter Clothes Adult]],Table_NFI[Winter Clothes Adult])</f>
        <v>#REF!</v>
      </c>
      <c r="AM348" s="542"/>
      <c r="AN348" s="542"/>
      <c r="AO348" s="542"/>
      <c r="AP348" s="542">
        <f>IF(Table_NFI[[#This Row],[Winter Clothes Adult]]+Table_NFI[[#This Row],[Winter Clothes Children]]+Table_NFI[[#This Row],[Winter Items Other]]+Table_NFI[[#This Row],[Winter Blanket]]&gt;0,1,0)</f>
        <v>0</v>
      </c>
      <c r="AQ348" s="542"/>
      <c r="AR348" s="542"/>
      <c r="AS348" s="542"/>
      <c r="AT348" s="205" t="str">
        <f>IFERROR(VLOOKUP(Table_NFI[[#This Row],[Location]],CL,2,0),"")</f>
        <v>MMR015CMP225</v>
      </c>
      <c r="AU348" s="183"/>
    </row>
    <row r="349" spans="2:47" x14ac:dyDescent="0.25">
      <c r="B349" s="540">
        <v>43311</v>
      </c>
      <c r="C349" s="540" t="str">
        <f>MONTH(Table_NFI[[#This Row],[Distribution Date]]) &amp; "/" &amp; YEAR(Table_NFI[[#This Row],[Distribution Date]])</f>
        <v>7/2018</v>
      </c>
      <c r="D349" s="198" t="s">
        <v>420</v>
      </c>
      <c r="E349" s="198" t="s">
        <v>424</v>
      </c>
      <c r="F349" s="198" t="s">
        <v>506</v>
      </c>
      <c r="G349" s="197" t="s">
        <v>230</v>
      </c>
      <c r="H349" s="177" t="s">
        <v>716</v>
      </c>
      <c r="I349" s="183"/>
      <c r="J349" s="541"/>
      <c r="K349" s="541"/>
      <c r="L349" s="541"/>
      <c r="M349" s="541"/>
      <c r="N349" s="541">
        <v>76</v>
      </c>
      <c r="O349" s="541">
        <v>1</v>
      </c>
      <c r="P349" s="541">
        <v>153</v>
      </c>
      <c r="Q349" s="541"/>
      <c r="R349" s="541"/>
      <c r="S349" s="541"/>
      <c r="T349" s="541">
        <v>77</v>
      </c>
      <c r="U349" s="541">
        <v>156</v>
      </c>
      <c r="V349" s="541"/>
      <c r="W349" s="541"/>
      <c r="X349" s="541"/>
      <c r="Y349" s="541"/>
      <c r="Z349" s="541"/>
      <c r="AA349" s="541"/>
      <c r="AB349" s="541"/>
      <c r="AC349" s="542" t="e">
        <f>IF(NFI_Expiration=1,IF(#REF!&lt;VLOOKUP(L$5,NFI,5,0),1,0)*Table_NFI[[#This Row],[NFI Core Kit]],Table_NFI[NFI Core Kit])</f>
        <v>#REF!</v>
      </c>
      <c r="AD349" s="542" t="e">
        <f>IF(NFI_Expiration=1,IF(#REF!&lt;VLOOKUP(M$5,NFI,5,0),1,0)*Table_NFI[[#This Row],[Sanitary Kit]],Table_NFI[Sanitary Kit])</f>
        <v>#REF!</v>
      </c>
      <c r="AE349" s="542" t="e">
        <f>IF(NFI_Expiration=1,IF(#REF!&lt;VLOOKUP(N$5,NFI,5,0),1,0)*Table_NFI[[#This Row],[Mosquito net]],Table_NFI[Mosquito net])</f>
        <v>#REF!</v>
      </c>
      <c r="AF349" s="542" t="e">
        <f>IF(NFI_Expiration=1,IF(#REF!&lt;VLOOKUP(O$5,NFI,5,0),1,0)*Table_NFI[[#This Row],[Tarpaulin]],Table_NFI[[#This Row],[Tarpaulin]])</f>
        <v>#REF!</v>
      </c>
      <c r="AG349" s="542" t="e">
        <f>IF(NFI_Expiration=1,IF(#REF!&lt;VLOOKUP(P$5,NFI,5,0),1,0)*Table_NFI[[#This Row],[Blanket]],Table_NFI[[#This Row],[Blanket]])</f>
        <v>#REF!</v>
      </c>
      <c r="AH349" s="542" t="e">
        <f>IF(NFI_Expiration=1,IF(#REF!&lt;VLOOKUP(Q$5,NFI,5,0),1,0)*Table_NFI[[#This Row],[Kitchen Set]],Table_NFI[Kitchen Set])</f>
        <v>#REF!</v>
      </c>
      <c r="AI349" s="542" t="e">
        <f>IF(NFI_Expiration=1,IF(#REF!&lt;VLOOKUP(R$5,NFI,5,0),1,0)*Table_NFI[[#This Row],[Clothes Kit]],Table_NFI[Clothes Kit])</f>
        <v>#REF!</v>
      </c>
      <c r="AJ349" s="542" t="e">
        <f>IF(NFI_Expiration=1,IF(#REF!&lt;VLOOKUP(S$5,NFI,5,0),1,0)*Table_NFI[[#This Row],[Plastic Bucket]],Table_NFI[Plastic Bucket])</f>
        <v>#REF!</v>
      </c>
      <c r="AK349" s="542" t="e">
        <f>IF(NFI_Expiration=1,IF(#REF!&lt;VLOOKUP(T$5,NFI,5,0),1,0)*Table_NFI[[#This Row],[Plastic Mat]],Table_NFI[Plastic Mat])*IF(Table_NFI[[#This Row],[Distribution Date]]&gt;"2014-04-01",1,2.5)</f>
        <v>#REF!</v>
      </c>
      <c r="AL349" s="542" t="e">
        <f>IF(NFI_Expiration=1,IF(#REF!&lt;VLOOKUP(U$5,NFI,5,0),1,0)*Table_NFI[[#This Row],[Winter Clothes Adult]],Table_NFI[Winter Clothes Adult])</f>
        <v>#REF!</v>
      </c>
      <c r="AM349" s="542"/>
      <c r="AN349" s="542"/>
      <c r="AO349" s="542"/>
      <c r="AP349" s="542">
        <f>IF(Table_NFI[[#This Row],[Winter Clothes Adult]]+Table_NFI[[#This Row],[Winter Clothes Children]]+Table_NFI[[#This Row],[Winter Items Other]]+Table_NFI[[#This Row],[Winter Blanket]]&gt;0,1,0)</f>
        <v>1</v>
      </c>
      <c r="AQ349" s="542"/>
      <c r="AR349" s="542"/>
      <c r="AS349" s="542"/>
      <c r="AT349" s="205" t="str">
        <f>IFERROR(VLOOKUP(Table_NFI[[#This Row],[Location]],CL,2,0),"")</f>
        <v>MMR015CMP247</v>
      </c>
      <c r="AU349" s="183"/>
    </row>
    <row r="350" spans="2:47" x14ac:dyDescent="0.25">
      <c r="B350" s="540">
        <v>43311</v>
      </c>
      <c r="C350" s="540" t="str">
        <f>MONTH(Table_NFI[[#This Row],[Distribution Date]]) &amp; "/" &amp; YEAR(Table_NFI[[#This Row],[Distribution Date]])</f>
        <v>7/2018</v>
      </c>
      <c r="D350" s="198" t="s">
        <v>420</v>
      </c>
      <c r="E350" s="198" t="s">
        <v>424</v>
      </c>
      <c r="F350" s="198" t="s">
        <v>506</v>
      </c>
      <c r="G350" s="197" t="s">
        <v>288</v>
      </c>
      <c r="H350" s="177" t="s">
        <v>916</v>
      </c>
      <c r="I350" s="183"/>
      <c r="J350" s="541"/>
      <c r="K350" s="541"/>
      <c r="L350" s="541"/>
      <c r="M350" s="541"/>
      <c r="N350" s="541">
        <v>58</v>
      </c>
      <c r="O350" s="541"/>
      <c r="P350" s="541">
        <v>115</v>
      </c>
      <c r="Q350" s="541"/>
      <c r="R350" s="541"/>
      <c r="S350" s="541">
        <v>115</v>
      </c>
      <c r="T350" s="541">
        <v>77</v>
      </c>
      <c r="U350" s="541"/>
      <c r="V350" s="541"/>
      <c r="W350" s="541"/>
      <c r="X350" s="541"/>
      <c r="Y350" s="541"/>
      <c r="Z350" s="541"/>
      <c r="AA350" s="541"/>
      <c r="AB350" s="541"/>
      <c r="AC350" s="542" t="e">
        <f>IF(NFI_Expiration=1,IF(#REF!&lt;VLOOKUP(L$5,NFI,5,0),1,0)*Table_NFI[[#This Row],[NFI Core Kit]],Table_NFI[NFI Core Kit])</f>
        <v>#REF!</v>
      </c>
      <c r="AD350" s="542" t="e">
        <f>IF(NFI_Expiration=1,IF(#REF!&lt;VLOOKUP(M$5,NFI,5,0),1,0)*Table_NFI[[#This Row],[Sanitary Kit]],Table_NFI[Sanitary Kit])</f>
        <v>#REF!</v>
      </c>
      <c r="AE350" s="542" t="e">
        <f>IF(NFI_Expiration=1,IF(#REF!&lt;VLOOKUP(N$5,NFI,5,0),1,0)*Table_NFI[[#This Row],[Mosquito net]],Table_NFI[Mosquito net])</f>
        <v>#REF!</v>
      </c>
      <c r="AF350" s="542" t="e">
        <f>IF(NFI_Expiration=1,IF(#REF!&lt;VLOOKUP(O$5,NFI,5,0),1,0)*Table_NFI[[#This Row],[Tarpaulin]],Table_NFI[[#This Row],[Tarpaulin]])</f>
        <v>#REF!</v>
      </c>
      <c r="AG350" s="542" t="e">
        <f>IF(NFI_Expiration=1,IF(#REF!&lt;VLOOKUP(P$5,NFI,5,0),1,0)*Table_NFI[[#This Row],[Blanket]],Table_NFI[[#This Row],[Blanket]])</f>
        <v>#REF!</v>
      </c>
      <c r="AH350" s="542" t="e">
        <f>IF(NFI_Expiration=1,IF(#REF!&lt;VLOOKUP(Q$5,NFI,5,0),1,0)*Table_NFI[[#This Row],[Kitchen Set]],Table_NFI[Kitchen Set])</f>
        <v>#REF!</v>
      </c>
      <c r="AI350" s="542" t="e">
        <f>IF(NFI_Expiration=1,IF(#REF!&lt;VLOOKUP(R$5,NFI,5,0),1,0)*Table_NFI[[#This Row],[Clothes Kit]],Table_NFI[Clothes Kit])</f>
        <v>#REF!</v>
      </c>
      <c r="AJ350" s="542" t="e">
        <f>IF(NFI_Expiration=1,IF(#REF!&lt;VLOOKUP(S$5,NFI,5,0),1,0)*Table_NFI[[#This Row],[Plastic Bucket]],Table_NFI[Plastic Bucket])</f>
        <v>#REF!</v>
      </c>
      <c r="AK350" s="542" t="e">
        <f>IF(NFI_Expiration=1,IF(#REF!&lt;VLOOKUP(T$5,NFI,5,0),1,0)*Table_NFI[[#This Row],[Plastic Mat]],Table_NFI[Plastic Mat])*IF(Table_NFI[[#This Row],[Distribution Date]]&gt;"2014-04-01",1,2.5)</f>
        <v>#REF!</v>
      </c>
      <c r="AL350" s="542" t="e">
        <f>IF(NFI_Expiration=1,IF(#REF!&lt;VLOOKUP(U$5,NFI,5,0),1,0)*Table_NFI[[#This Row],[Winter Clothes Adult]],Table_NFI[Winter Clothes Adult])</f>
        <v>#REF!</v>
      </c>
      <c r="AM350" s="542"/>
      <c r="AN350" s="542"/>
      <c r="AO350" s="542"/>
      <c r="AP350" s="542">
        <f>IF(Table_NFI[[#This Row],[Winter Clothes Adult]]+Table_NFI[[#This Row],[Winter Clothes Children]]+Table_NFI[[#This Row],[Winter Items Other]]+Table_NFI[[#This Row],[Winter Blanket]]&gt;0,1,0)</f>
        <v>0</v>
      </c>
      <c r="AQ350" s="542"/>
      <c r="AR350" s="542"/>
      <c r="AS350" s="542"/>
      <c r="AT350" s="205" t="str">
        <f>IFERROR(VLOOKUP(Table_NFI[[#This Row],[Location]],CL,2,0),"")</f>
        <v>MMR015CMP215</v>
      </c>
      <c r="AU350" s="183"/>
    </row>
    <row r="351" spans="2:47" x14ac:dyDescent="0.25">
      <c r="B351" s="540">
        <v>43311</v>
      </c>
      <c r="C351" s="540" t="str">
        <f>MONTH(Table_NFI[[#This Row],[Distribution Date]]) &amp; "/" &amp; YEAR(Table_NFI[[#This Row],[Distribution Date]])</f>
        <v>7/2018</v>
      </c>
      <c r="D351" s="198" t="s">
        <v>420</v>
      </c>
      <c r="E351" s="198" t="s">
        <v>424</v>
      </c>
      <c r="F351" s="198" t="s">
        <v>506</v>
      </c>
      <c r="G351" s="197" t="s">
        <v>288</v>
      </c>
      <c r="H351" s="177" t="s">
        <v>291</v>
      </c>
      <c r="I351" s="183"/>
      <c r="J351" s="541"/>
      <c r="K351" s="541"/>
      <c r="L351" s="541"/>
      <c r="M351" s="541"/>
      <c r="N351" s="541">
        <v>80</v>
      </c>
      <c r="O351" s="541">
        <v>17</v>
      </c>
      <c r="P351" s="541">
        <v>76</v>
      </c>
      <c r="Q351" s="541"/>
      <c r="R351" s="541"/>
      <c r="S351" s="541">
        <v>63</v>
      </c>
      <c r="T351" s="541"/>
      <c r="U351" s="541"/>
      <c r="V351" s="541"/>
      <c r="W351" s="541"/>
      <c r="X351" s="541"/>
      <c r="Y351" s="541">
        <v>15</v>
      </c>
      <c r="Z351" s="541"/>
      <c r="AA351" s="541"/>
      <c r="AB351" s="541"/>
      <c r="AC351" s="542" t="e">
        <f>IF(NFI_Expiration=1,IF(#REF!&lt;VLOOKUP(L$5,NFI,5,0),1,0)*Table_NFI[[#This Row],[NFI Core Kit]],Table_NFI[NFI Core Kit])</f>
        <v>#REF!</v>
      </c>
      <c r="AD351" s="542" t="e">
        <f>IF(NFI_Expiration=1,IF(#REF!&lt;VLOOKUP(M$5,NFI,5,0),1,0)*Table_NFI[[#This Row],[Sanitary Kit]],Table_NFI[Sanitary Kit])</f>
        <v>#REF!</v>
      </c>
      <c r="AE351" s="542" t="e">
        <f>IF(NFI_Expiration=1,IF(#REF!&lt;VLOOKUP(N$5,NFI,5,0),1,0)*Table_NFI[[#This Row],[Mosquito net]],Table_NFI[Mosquito net])</f>
        <v>#REF!</v>
      </c>
      <c r="AF351" s="542" t="e">
        <f>IF(NFI_Expiration=1,IF(#REF!&lt;VLOOKUP(O$5,NFI,5,0),1,0)*Table_NFI[[#This Row],[Tarpaulin]],Table_NFI[[#This Row],[Tarpaulin]])</f>
        <v>#REF!</v>
      </c>
      <c r="AG351" s="542" t="e">
        <f>IF(NFI_Expiration=1,IF(#REF!&lt;VLOOKUP(P$5,NFI,5,0),1,0)*Table_NFI[[#This Row],[Blanket]],Table_NFI[[#This Row],[Blanket]])</f>
        <v>#REF!</v>
      </c>
      <c r="AH351" s="542" t="e">
        <f>IF(NFI_Expiration=1,IF(#REF!&lt;VLOOKUP(Q$5,NFI,5,0),1,0)*Table_NFI[[#This Row],[Kitchen Set]],Table_NFI[Kitchen Set])</f>
        <v>#REF!</v>
      </c>
      <c r="AI351" s="542" t="e">
        <f>IF(NFI_Expiration=1,IF(#REF!&lt;VLOOKUP(R$5,NFI,5,0),1,0)*Table_NFI[[#This Row],[Clothes Kit]],Table_NFI[Clothes Kit])</f>
        <v>#REF!</v>
      </c>
      <c r="AJ351" s="542" t="e">
        <f>IF(NFI_Expiration=1,IF(#REF!&lt;VLOOKUP(S$5,NFI,5,0),1,0)*Table_NFI[[#This Row],[Plastic Bucket]],Table_NFI[Plastic Bucket])</f>
        <v>#REF!</v>
      </c>
      <c r="AK351" s="542" t="e">
        <f>IF(NFI_Expiration=1,IF(#REF!&lt;VLOOKUP(T$5,NFI,5,0),1,0)*Table_NFI[[#This Row],[Plastic Mat]],Table_NFI[Plastic Mat])*IF(Table_NFI[[#This Row],[Distribution Date]]&gt;"2014-04-01",1,2.5)</f>
        <v>#REF!</v>
      </c>
      <c r="AL351" s="542" t="e">
        <f>IF(NFI_Expiration=1,IF(#REF!&lt;VLOOKUP(U$5,NFI,5,0),1,0)*Table_NFI[[#This Row],[Winter Clothes Adult]],Table_NFI[Winter Clothes Adult])</f>
        <v>#REF!</v>
      </c>
      <c r="AM351" s="542"/>
      <c r="AN351" s="542"/>
      <c r="AO351" s="542"/>
      <c r="AP351" s="542">
        <f>IF(Table_NFI[[#This Row],[Winter Clothes Adult]]+Table_NFI[[#This Row],[Winter Clothes Children]]+Table_NFI[[#This Row],[Winter Items Other]]+Table_NFI[[#This Row],[Winter Blanket]]&gt;0,1,0)</f>
        <v>0</v>
      </c>
      <c r="AQ351" s="542"/>
      <c r="AR351" s="542"/>
      <c r="AS351" s="542"/>
      <c r="AT351" s="205" t="str">
        <f>IFERROR(VLOOKUP(Table_NFI[[#This Row],[Location]],CL,2,0),"")</f>
        <v>MMR015CMP004</v>
      </c>
      <c r="AU351" s="183"/>
    </row>
    <row r="352" spans="2:47" x14ac:dyDescent="0.25">
      <c r="B352" s="540">
        <v>43311</v>
      </c>
      <c r="C352" s="540" t="str">
        <f>MONTH(Table_NFI[[#This Row],[Distribution Date]]) &amp; "/" &amp; YEAR(Table_NFI[[#This Row],[Distribution Date]])</f>
        <v>7/2018</v>
      </c>
      <c r="D352" s="198" t="s">
        <v>420</v>
      </c>
      <c r="E352" s="198" t="s">
        <v>424</v>
      </c>
      <c r="F352" s="198" t="s">
        <v>378</v>
      </c>
      <c r="G352" s="197" t="s">
        <v>151</v>
      </c>
      <c r="H352" s="177" t="s">
        <v>160</v>
      </c>
      <c r="I352" s="183"/>
      <c r="J352" s="541"/>
      <c r="K352" s="541"/>
      <c r="L352" s="541"/>
      <c r="M352" s="541"/>
      <c r="N352" s="541">
        <v>66</v>
      </c>
      <c r="O352" s="541">
        <v>4</v>
      </c>
      <c r="P352" s="541">
        <v>61</v>
      </c>
      <c r="Q352" s="541"/>
      <c r="R352" s="541"/>
      <c r="S352" s="541"/>
      <c r="T352" s="541">
        <v>177</v>
      </c>
      <c r="U352" s="541">
        <v>128</v>
      </c>
      <c r="V352" s="541"/>
      <c r="W352" s="541"/>
      <c r="X352" s="541"/>
      <c r="Y352" s="541"/>
      <c r="Z352" s="541"/>
      <c r="AA352" s="541"/>
      <c r="AB352" s="541"/>
      <c r="AC352" s="542" t="e">
        <f>IF(NFI_Expiration=1,IF(#REF!&lt;VLOOKUP(L$5,NFI,5,0),1,0)*Table_NFI[[#This Row],[NFI Core Kit]],Table_NFI[NFI Core Kit])</f>
        <v>#REF!</v>
      </c>
      <c r="AD352" s="542" t="e">
        <f>IF(NFI_Expiration=1,IF(#REF!&lt;VLOOKUP(M$5,NFI,5,0),1,0)*Table_NFI[[#This Row],[Sanitary Kit]],Table_NFI[Sanitary Kit])</f>
        <v>#REF!</v>
      </c>
      <c r="AE352" s="542" t="e">
        <f>IF(NFI_Expiration=1,IF(#REF!&lt;VLOOKUP(N$5,NFI,5,0),1,0)*Table_NFI[[#This Row],[Mosquito net]],Table_NFI[Mosquito net])</f>
        <v>#REF!</v>
      </c>
      <c r="AF352" s="542" t="e">
        <f>IF(NFI_Expiration=1,IF(#REF!&lt;VLOOKUP(O$5,NFI,5,0),1,0)*Table_NFI[[#This Row],[Tarpaulin]],Table_NFI[[#This Row],[Tarpaulin]])</f>
        <v>#REF!</v>
      </c>
      <c r="AG352" s="542" t="e">
        <f>IF(NFI_Expiration=1,IF(#REF!&lt;VLOOKUP(P$5,NFI,5,0),1,0)*Table_NFI[[#This Row],[Blanket]],Table_NFI[[#This Row],[Blanket]])</f>
        <v>#REF!</v>
      </c>
      <c r="AH352" s="542" t="e">
        <f>IF(NFI_Expiration=1,IF(#REF!&lt;VLOOKUP(Q$5,NFI,5,0),1,0)*Table_NFI[[#This Row],[Kitchen Set]],Table_NFI[Kitchen Set])</f>
        <v>#REF!</v>
      </c>
      <c r="AI352" s="542" t="e">
        <f>IF(NFI_Expiration=1,IF(#REF!&lt;VLOOKUP(R$5,NFI,5,0),1,0)*Table_NFI[[#This Row],[Clothes Kit]],Table_NFI[Clothes Kit])</f>
        <v>#REF!</v>
      </c>
      <c r="AJ352" s="542" t="e">
        <f>IF(NFI_Expiration=1,IF(#REF!&lt;VLOOKUP(S$5,NFI,5,0),1,0)*Table_NFI[[#This Row],[Plastic Bucket]],Table_NFI[Plastic Bucket])</f>
        <v>#REF!</v>
      </c>
      <c r="AK352" s="542" t="e">
        <f>IF(NFI_Expiration=1,IF(#REF!&lt;VLOOKUP(T$5,NFI,5,0),1,0)*Table_NFI[[#This Row],[Plastic Mat]],Table_NFI[Plastic Mat])*IF(Table_NFI[[#This Row],[Distribution Date]]&gt;"2014-04-01",1,2.5)</f>
        <v>#REF!</v>
      </c>
      <c r="AL352" s="542" t="e">
        <f>IF(NFI_Expiration=1,IF(#REF!&lt;VLOOKUP(U$5,NFI,5,0),1,0)*Table_NFI[[#This Row],[Winter Clothes Adult]],Table_NFI[Winter Clothes Adult])</f>
        <v>#REF!</v>
      </c>
      <c r="AM352" s="542"/>
      <c r="AN352" s="542"/>
      <c r="AO352" s="542"/>
      <c r="AP352" s="542">
        <f>IF(Table_NFI[[#This Row],[Winter Clothes Adult]]+Table_NFI[[#This Row],[Winter Clothes Children]]+Table_NFI[[#This Row],[Winter Items Other]]+Table_NFI[[#This Row],[Winter Blanket]]&gt;0,1,0)</f>
        <v>1</v>
      </c>
      <c r="AQ352" s="542"/>
      <c r="AR352" s="542"/>
      <c r="AS352" s="542"/>
      <c r="AT352" s="205" t="str">
        <f>IFERROR(VLOOKUP(Table_NFI[[#This Row],[Location]],CL,2,0),"")</f>
        <v>MMR001CMP133</v>
      </c>
      <c r="AU352" s="183"/>
    </row>
    <row r="353" spans="2:47" x14ac:dyDescent="0.25">
      <c r="B353" s="540">
        <v>43311</v>
      </c>
      <c r="C353" s="540" t="str">
        <f>MONTH(Table_NFI[[#This Row],[Distribution Date]]) &amp; "/" &amp; YEAR(Table_NFI[[#This Row],[Distribution Date]])</f>
        <v>7/2018</v>
      </c>
      <c r="D353" s="198" t="s">
        <v>420</v>
      </c>
      <c r="E353" s="198" t="s">
        <v>424</v>
      </c>
      <c r="F353" s="198" t="s">
        <v>378</v>
      </c>
      <c r="G353" s="197" t="s">
        <v>151</v>
      </c>
      <c r="H353" s="177" t="s">
        <v>937</v>
      </c>
      <c r="I353" s="183"/>
      <c r="J353" s="541"/>
      <c r="K353" s="541"/>
      <c r="L353" s="541">
        <v>25</v>
      </c>
      <c r="M353" s="541"/>
      <c r="N353" s="541">
        <v>78</v>
      </c>
      <c r="O353" s="541"/>
      <c r="P353" s="541">
        <v>156</v>
      </c>
      <c r="Q353" s="541"/>
      <c r="R353" s="541"/>
      <c r="S353" s="541"/>
      <c r="T353" s="541">
        <v>82</v>
      </c>
      <c r="U353" s="541">
        <v>155</v>
      </c>
      <c r="V353" s="541"/>
      <c r="W353" s="541"/>
      <c r="X353" s="541"/>
      <c r="Y353" s="541"/>
      <c r="Z353" s="541"/>
      <c r="AA353" s="541"/>
      <c r="AB353" s="541"/>
      <c r="AC353" s="542" t="e">
        <f>IF(NFI_Expiration=1,IF(#REF!&lt;VLOOKUP(L$5,NFI,5,0),1,0)*Table_NFI[[#This Row],[NFI Core Kit]],Table_NFI[NFI Core Kit])</f>
        <v>#REF!</v>
      </c>
      <c r="AD353" s="542" t="e">
        <f>IF(NFI_Expiration=1,IF(#REF!&lt;VLOOKUP(M$5,NFI,5,0),1,0)*Table_NFI[[#This Row],[Sanitary Kit]],Table_NFI[Sanitary Kit])</f>
        <v>#REF!</v>
      </c>
      <c r="AE353" s="542" t="e">
        <f>IF(NFI_Expiration=1,IF(#REF!&lt;VLOOKUP(N$5,NFI,5,0),1,0)*Table_NFI[[#This Row],[Mosquito net]],Table_NFI[Mosquito net])</f>
        <v>#REF!</v>
      </c>
      <c r="AF353" s="542" t="e">
        <f>IF(NFI_Expiration=1,IF(#REF!&lt;VLOOKUP(O$5,NFI,5,0),1,0)*Table_NFI[[#This Row],[Tarpaulin]],Table_NFI[[#This Row],[Tarpaulin]])</f>
        <v>#REF!</v>
      </c>
      <c r="AG353" s="542" t="e">
        <f>IF(NFI_Expiration=1,IF(#REF!&lt;VLOOKUP(P$5,NFI,5,0),1,0)*Table_NFI[[#This Row],[Blanket]],Table_NFI[[#This Row],[Blanket]])</f>
        <v>#REF!</v>
      </c>
      <c r="AH353" s="542" t="e">
        <f>IF(NFI_Expiration=1,IF(#REF!&lt;VLOOKUP(Q$5,NFI,5,0),1,0)*Table_NFI[[#This Row],[Kitchen Set]],Table_NFI[Kitchen Set])</f>
        <v>#REF!</v>
      </c>
      <c r="AI353" s="542" t="e">
        <f>IF(NFI_Expiration=1,IF(#REF!&lt;VLOOKUP(R$5,NFI,5,0),1,0)*Table_NFI[[#This Row],[Clothes Kit]],Table_NFI[Clothes Kit])</f>
        <v>#REF!</v>
      </c>
      <c r="AJ353" s="542" t="e">
        <f>IF(NFI_Expiration=1,IF(#REF!&lt;VLOOKUP(S$5,NFI,5,0),1,0)*Table_NFI[[#This Row],[Plastic Bucket]],Table_NFI[Plastic Bucket])</f>
        <v>#REF!</v>
      </c>
      <c r="AK353" s="542" t="e">
        <f>IF(NFI_Expiration=1,IF(#REF!&lt;VLOOKUP(T$5,NFI,5,0),1,0)*Table_NFI[[#This Row],[Plastic Mat]],Table_NFI[Plastic Mat])*IF(Table_NFI[[#This Row],[Distribution Date]]&gt;"2014-04-01",1,2.5)</f>
        <v>#REF!</v>
      </c>
      <c r="AL353" s="542" t="e">
        <f>IF(NFI_Expiration=1,IF(#REF!&lt;VLOOKUP(U$5,NFI,5,0),1,0)*Table_NFI[[#This Row],[Winter Clothes Adult]],Table_NFI[Winter Clothes Adult])</f>
        <v>#REF!</v>
      </c>
      <c r="AM353" s="542"/>
      <c r="AN353" s="542"/>
      <c r="AO353" s="542"/>
      <c r="AP353" s="542">
        <f>IF(Table_NFI[[#This Row],[Winter Clothes Adult]]+Table_NFI[[#This Row],[Winter Clothes Children]]+Table_NFI[[#This Row],[Winter Items Other]]+Table_NFI[[#This Row],[Winter Blanket]]&gt;0,1,0)</f>
        <v>1</v>
      </c>
      <c r="AQ353" s="542"/>
      <c r="AR353" s="542"/>
      <c r="AS353" s="542"/>
      <c r="AT353" s="205" t="str">
        <f>IFERROR(VLOOKUP(Table_NFI[[#This Row],[Location]],CL,2,0),"")</f>
        <v>MMR001CMP230</v>
      </c>
      <c r="AU353" s="183"/>
    </row>
    <row r="354" spans="2:47" x14ac:dyDescent="0.25">
      <c r="B354" s="540">
        <v>43311</v>
      </c>
      <c r="C354" s="540" t="str">
        <f>MONTH(Table_NFI[[#This Row],[Distribution Date]]) &amp; "/" &amp; YEAR(Table_NFI[[#This Row],[Distribution Date]])</f>
        <v>7/2018</v>
      </c>
      <c r="D354" s="198" t="s">
        <v>420</v>
      </c>
      <c r="E354" s="198" t="s">
        <v>424</v>
      </c>
      <c r="F354" s="198" t="s">
        <v>506</v>
      </c>
      <c r="G354" s="197" t="s">
        <v>230</v>
      </c>
      <c r="H354" s="177" t="s">
        <v>902</v>
      </c>
      <c r="I354" s="183"/>
      <c r="J354" s="541"/>
      <c r="K354" s="541"/>
      <c r="L354" s="541">
        <v>24</v>
      </c>
      <c r="M354" s="541"/>
      <c r="N354" s="541">
        <v>41</v>
      </c>
      <c r="O354" s="541"/>
      <c r="P354" s="541"/>
      <c r="Q354" s="541"/>
      <c r="R354" s="541"/>
      <c r="S354" s="541"/>
      <c r="T354" s="541">
        <v>55</v>
      </c>
      <c r="U354" s="541">
        <v>17</v>
      </c>
      <c r="V354" s="541"/>
      <c r="W354" s="541"/>
      <c r="X354" s="541"/>
      <c r="Y354" s="541"/>
      <c r="Z354" s="541"/>
      <c r="AA354" s="541"/>
      <c r="AB354" s="541"/>
      <c r="AC354" s="542" t="e">
        <f>IF(NFI_Expiration=1,IF(#REF!&lt;VLOOKUP(L$5,NFI,5,0),1,0)*Table_NFI[[#This Row],[NFI Core Kit]],Table_NFI[NFI Core Kit])</f>
        <v>#REF!</v>
      </c>
      <c r="AD354" s="542" t="e">
        <f>IF(NFI_Expiration=1,IF(#REF!&lt;VLOOKUP(M$5,NFI,5,0),1,0)*Table_NFI[[#This Row],[Sanitary Kit]],Table_NFI[Sanitary Kit])</f>
        <v>#REF!</v>
      </c>
      <c r="AE354" s="542" t="e">
        <f>IF(NFI_Expiration=1,IF(#REF!&lt;VLOOKUP(N$5,NFI,5,0),1,0)*Table_NFI[[#This Row],[Mosquito net]],Table_NFI[Mosquito net])</f>
        <v>#REF!</v>
      </c>
      <c r="AF354" s="542" t="e">
        <f>IF(NFI_Expiration=1,IF(#REF!&lt;VLOOKUP(O$5,NFI,5,0),1,0)*Table_NFI[[#This Row],[Tarpaulin]],Table_NFI[[#This Row],[Tarpaulin]])</f>
        <v>#REF!</v>
      </c>
      <c r="AG354" s="542" t="e">
        <f>IF(NFI_Expiration=1,IF(#REF!&lt;VLOOKUP(P$5,NFI,5,0),1,0)*Table_NFI[[#This Row],[Blanket]],Table_NFI[[#This Row],[Blanket]])</f>
        <v>#REF!</v>
      </c>
      <c r="AH354" s="542" t="e">
        <f>IF(NFI_Expiration=1,IF(#REF!&lt;VLOOKUP(Q$5,NFI,5,0),1,0)*Table_NFI[[#This Row],[Kitchen Set]],Table_NFI[Kitchen Set])</f>
        <v>#REF!</v>
      </c>
      <c r="AI354" s="542" t="e">
        <f>IF(NFI_Expiration=1,IF(#REF!&lt;VLOOKUP(R$5,NFI,5,0),1,0)*Table_NFI[[#This Row],[Clothes Kit]],Table_NFI[Clothes Kit])</f>
        <v>#REF!</v>
      </c>
      <c r="AJ354" s="542" t="e">
        <f>IF(NFI_Expiration=1,IF(#REF!&lt;VLOOKUP(S$5,NFI,5,0),1,0)*Table_NFI[[#This Row],[Plastic Bucket]],Table_NFI[Plastic Bucket])</f>
        <v>#REF!</v>
      </c>
      <c r="AK354" s="542" t="e">
        <f>IF(NFI_Expiration=1,IF(#REF!&lt;VLOOKUP(T$5,NFI,5,0),1,0)*Table_NFI[[#This Row],[Plastic Mat]],Table_NFI[Plastic Mat])*IF(Table_NFI[[#This Row],[Distribution Date]]&gt;"2014-04-01",1,2.5)</f>
        <v>#REF!</v>
      </c>
      <c r="AL354" s="542" t="e">
        <f>IF(NFI_Expiration=1,IF(#REF!&lt;VLOOKUP(U$5,NFI,5,0),1,0)*Table_NFI[[#This Row],[Winter Clothes Adult]],Table_NFI[Winter Clothes Adult])</f>
        <v>#REF!</v>
      </c>
      <c r="AM354" s="542"/>
      <c r="AN354" s="542"/>
      <c r="AO354" s="542"/>
      <c r="AP354" s="542">
        <f>IF(Table_NFI[[#This Row],[Winter Clothes Adult]]+Table_NFI[[#This Row],[Winter Clothes Children]]+Table_NFI[[#This Row],[Winter Items Other]]+Table_NFI[[#This Row],[Winter Blanket]]&gt;0,1,0)</f>
        <v>1</v>
      </c>
      <c r="AQ354" s="542"/>
      <c r="AR354" s="542"/>
      <c r="AS354" s="542"/>
      <c r="AT354" s="205" t="str">
        <f>IFERROR(VLOOKUP(Table_NFI[[#This Row],[Location]],CL,2,0),"")</f>
        <v>MMR015CMP213</v>
      </c>
      <c r="AU354" s="183"/>
    </row>
    <row r="355" spans="2:47" x14ac:dyDescent="0.25">
      <c r="B355" s="540">
        <v>43311</v>
      </c>
      <c r="C355" s="540" t="str">
        <f>MONTH(Table_NFI[[#This Row],[Distribution Date]]) &amp; "/" &amp; YEAR(Table_NFI[[#This Row],[Distribution Date]])</f>
        <v>7/2018</v>
      </c>
      <c r="D355" s="198" t="s">
        <v>420</v>
      </c>
      <c r="E355" s="198" t="s">
        <v>424</v>
      </c>
      <c r="F355" s="198" t="s">
        <v>506</v>
      </c>
      <c r="G355" s="197" t="s">
        <v>288</v>
      </c>
      <c r="H355" s="177" t="s">
        <v>289</v>
      </c>
      <c r="I355" s="183"/>
      <c r="J355" s="541"/>
      <c r="K355" s="541"/>
      <c r="L355" s="541">
        <v>67</v>
      </c>
      <c r="M355" s="541"/>
      <c r="N355" s="541">
        <v>68</v>
      </c>
      <c r="O355" s="541"/>
      <c r="P355" s="541"/>
      <c r="Q355" s="541"/>
      <c r="R355" s="541"/>
      <c r="S355" s="541"/>
      <c r="T355" s="541">
        <v>95</v>
      </c>
      <c r="U355" s="541"/>
      <c r="V355" s="541"/>
      <c r="W355" s="541"/>
      <c r="X355" s="541"/>
      <c r="Y355" s="541"/>
      <c r="Z355" s="541"/>
      <c r="AA355" s="541"/>
      <c r="AB355" s="541"/>
      <c r="AC355" s="542" t="e">
        <f>IF(NFI_Expiration=1,IF(#REF!&lt;VLOOKUP(L$5,NFI,5,0),1,0)*Table_NFI[[#This Row],[NFI Core Kit]],Table_NFI[NFI Core Kit])</f>
        <v>#REF!</v>
      </c>
      <c r="AD355" s="542" t="e">
        <f>IF(NFI_Expiration=1,IF(#REF!&lt;VLOOKUP(M$5,NFI,5,0),1,0)*Table_NFI[[#This Row],[Sanitary Kit]],Table_NFI[Sanitary Kit])</f>
        <v>#REF!</v>
      </c>
      <c r="AE355" s="542" t="e">
        <f>IF(NFI_Expiration=1,IF(#REF!&lt;VLOOKUP(N$5,NFI,5,0),1,0)*Table_NFI[[#This Row],[Mosquito net]],Table_NFI[Mosquito net])</f>
        <v>#REF!</v>
      </c>
      <c r="AF355" s="542" t="e">
        <f>IF(NFI_Expiration=1,IF(#REF!&lt;VLOOKUP(O$5,NFI,5,0),1,0)*Table_NFI[[#This Row],[Tarpaulin]],Table_NFI[[#This Row],[Tarpaulin]])</f>
        <v>#REF!</v>
      </c>
      <c r="AG355" s="542" t="e">
        <f>IF(NFI_Expiration=1,IF(#REF!&lt;VLOOKUP(P$5,NFI,5,0),1,0)*Table_NFI[[#This Row],[Blanket]],Table_NFI[[#This Row],[Blanket]])</f>
        <v>#REF!</v>
      </c>
      <c r="AH355" s="542" t="e">
        <f>IF(NFI_Expiration=1,IF(#REF!&lt;VLOOKUP(Q$5,NFI,5,0),1,0)*Table_NFI[[#This Row],[Kitchen Set]],Table_NFI[Kitchen Set])</f>
        <v>#REF!</v>
      </c>
      <c r="AI355" s="542" t="e">
        <f>IF(NFI_Expiration=1,IF(#REF!&lt;VLOOKUP(R$5,NFI,5,0),1,0)*Table_NFI[[#This Row],[Clothes Kit]],Table_NFI[Clothes Kit])</f>
        <v>#REF!</v>
      </c>
      <c r="AJ355" s="542" t="e">
        <f>IF(NFI_Expiration=1,IF(#REF!&lt;VLOOKUP(S$5,NFI,5,0),1,0)*Table_NFI[[#This Row],[Plastic Bucket]],Table_NFI[Plastic Bucket])</f>
        <v>#REF!</v>
      </c>
      <c r="AK355" s="542" t="e">
        <f>IF(NFI_Expiration=1,IF(#REF!&lt;VLOOKUP(T$5,NFI,5,0),1,0)*Table_NFI[[#This Row],[Plastic Mat]],Table_NFI[Plastic Mat])*IF(Table_NFI[[#This Row],[Distribution Date]]&gt;"2014-04-01",1,2.5)</f>
        <v>#REF!</v>
      </c>
      <c r="AL355" s="542" t="e">
        <f>IF(NFI_Expiration=1,IF(#REF!&lt;VLOOKUP(U$5,NFI,5,0),1,0)*Table_NFI[[#This Row],[Winter Clothes Adult]],Table_NFI[Winter Clothes Adult])</f>
        <v>#REF!</v>
      </c>
      <c r="AM355" s="542"/>
      <c r="AN355" s="542"/>
      <c r="AO355" s="542"/>
      <c r="AP355" s="542">
        <f>IF(Table_NFI[[#This Row],[Winter Clothes Adult]]+Table_NFI[[#This Row],[Winter Clothes Children]]+Table_NFI[[#This Row],[Winter Items Other]]+Table_NFI[[#This Row],[Winter Blanket]]&gt;0,1,0)</f>
        <v>0</v>
      </c>
      <c r="AQ355" s="542"/>
      <c r="AR355" s="542"/>
      <c r="AS355" s="542"/>
      <c r="AT355" s="205" t="str">
        <f>IFERROR(VLOOKUP(Table_NFI[[#This Row],[Location]],CL,2,0),"")</f>
        <v>MMR015CMP001</v>
      </c>
      <c r="AU355" s="183"/>
    </row>
    <row r="356" spans="2:47" x14ac:dyDescent="0.25">
      <c r="B356" s="540">
        <v>43311</v>
      </c>
      <c r="C356" s="540" t="str">
        <f>MONTH(Table_NFI[[#This Row],[Distribution Date]]) &amp; "/" &amp; YEAR(Table_NFI[[#This Row],[Distribution Date]])</f>
        <v>7/2018</v>
      </c>
      <c r="D356" s="198" t="s">
        <v>420</v>
      </c>
      <c r="E356" s="198" t="s">
        <v>424</v>
      </c>
      <c r="F356" s="198" t="s">
        <v>506</v>
      </c>
      <c r="G356" s="197" t="s">
        <v>288</v>
      </c>
      <c r="H356" s="177" t="s">
        <v>904</v>
      </c>
      <c r="I356" s="183"/>
      <c r="J356" s="541"/>
      <c r="K356" s="541"/>
      <c r="L356" s="541">
        <v>38</v>
      </c>
      <c r="M356" s="541"/>
      <c r="N356" s="541">
        <v>38</v>
      </c>
      <c r="O356" s="541"/>
      <c r="P356" s="541"/>
      <c r="Q356" s="541"/>
      <c r="R356" s="541"/>
      <c r="S356" s="541"/>
      <c r="T356" s="541">
        <v>54</v>
      </c>
      <c r="U356" s="541"/>
      <c r="V356" s="541"/>
      <c r="W356" s="541"/>
      <c r="X356" s="541"/>
      <c r="Y356" s="541"/>
      <c r="Z356" s="541"/>
      <c r="AA356" s="541"/>
      <c r="AB356" s="541"/>
      <c r="AC356" s="542" t="e">
        <f>IF(NFI_Expiration=1,IF(#REF!&lt;VLOOKUP(L$5,NFI,5,0),1,0)*Table_NFI[[#This Row],[NFI Core Kit]],Table_NFI[NFI Core Kit])</f>
        <v>#REF!</v>
      </c>
      <c r="AD356" s="542" t="e">
        <f>IF(NFI_Expiration=1,IF(#REF!&lt;VLOOKUP(M$5,NFI,5,0),1,0)*Table_NFI[[#This Row],[Sanitary Kit]],Table_NFI[Sanitary Kit])</f>
        <v>#REF!</v>
      </c>
      <c r="AE356" s="542" t="e">
        <f>IF(NFI_Expiration=1,IF(#REF!&lt;VLOOKUP(N$5,NFI,5,0),1,0)*Table_NFI[[#This Row],[Mosquito net]],Table_NFI[Mosquito net])</f>
        <v>#REF!</v>
      </c>
      <c r="AF356" s="542" t="e">
        <f>IF(NFI_Expiration=1,IF(#REF!&lt;VLOOKUP(O$5,NFI,5,0),1,0)*Table_NFI[[#This Row],[Tarpaulin]],Table_NFI[[#This Row],[Tarpaulin]])</f>
        <v>#REF!</v>
      </c>
      <c r="AG356" s="542" t="e">
        <f>IF(NFI_Expiration=1,IF(#REF!&lt;VLOOKUP(P$5,NFI,5,0),1,0)*Table_NFI[[#This Row],[Blanket]],Table_NFI[[#This Row],[Blanket]])</f>
        <v>#REF!</v>
      </c>
      <c r="AH356" s="542" t="e">
        <f>IF(NFI_Expiration=1,IF(#REF!&lt;VLOOKUP(Q$5,NFI,5,0),1,0)*Table_NFI[[#This Row],[Kitchen Set]],Table_NFI[Kitchen Set])</f>
        <v>#REF!</v>
      </c>
      <c r="AI356" s="542" t="e">
        <f>IF(NFI_Expiration=1,IF(#REF!&lt;VLOOKUP(R$5,NFI,5,0),1,0)*Table_NFI[[#This Row],[Clothes Kit]],Table_NFI[Clothes Kit])</f>
        <v>#REF!</v>
      </c>
      <c r="AJ356" s="542" t="e">
        <f>IF(NFI_Expiration=1,IF(#REF!&lt;VLOOKUP(S$5,NFI,5,0),1,0)*Table_NFI[[#This Row],[Plastic Bucket]],Table_NFI[Plastic Bucket])</f>
        <v>#REF!</v>
      </c>
      <c r="AK356" s="542" t="e">
        <f>IF(NFI_Expiration=1,IF(#REF!&lt;VLOOKUP(T$5,NFI,5,0),1,0)*Table_NFI[[#This Row],[Plastic Mat]],Table_NFI[Plastic Mat])*IF(Table_NFI[[#This Row],[Distribution Date]]&gt;"2014-04-01",1,2.5)</f>
        <v>#REF!</v>
      </c>
      <c r="AL356" s="542" t="e">
        <f>IF(NFI_Expiration=1,IF(#REF!&lt;VLOOKUP(U$5,NFI,5,0),1,0)*Table_NFI[[#This Row],[Winter Clothes Adult]],Table_NFI[Winter Clothes Adult])</f>
        <v>#REF!</v>
      </c>
      <c r="AM356" s="542"/>
      <c r="AN356" s="542"/>
      <c r="AO356" s="542"/>
      <c r="AP356" s="542">
        <f>IF(Table_NFI[[#This Row],[Winter Clothes Adult]]+Table_NFI[[#This Row],[Winter Clothes Children]]+Table_NFI[[#This Row],[Winter Items Other]]+Table_NFI[[#This Row],[Winter Blanket]]&gt;0,1,0)</f>
        <v>0</v>
      </c>
      <c r="AQ356" s="542"/>
      <c r="AR356" s="542"/>
      <c r="AS356" s="542"/>
      <c r="AT356" s="205" t="str">
        <f>IFERROR(VLOOKUP(Table_NFI[[#This Row],[Location]],CL,2,0),"")</f>
        <v>MMR015CMP214</v>
      </c>
      <c r="AU356" s="183"/>
    </row>
    <row r="357" spans="2:47" x14ac:dyDescent="0.25">
      <c r="B357" s="540">
        <v>43299</v>
      </c>
      <c r="C357" s="540" t="str">
        <f>MONTH(Table_NFI[[#This Row],[Distribution Date]]) &amp; "/" &amp; YEAR(Table_NFI[[#This Row],[Distribution Date]])</f>
        <v>7/2018</v>
      </c>
      <c r="D357" s="198" t="s">
        <v>1258</v>
      </c>
      <c r="E357" s="198" t="s">
        <v>1258</v>
      </c>
      <c r="F357" s="198" t="s">
        <v>378</v>
      </c>
      <c r="G357" s="198" t="s">
        <v>173</v>
      </c>
      <c r="H357" s="198" t="s">
        <v>1662</v>
      </c>
      <c r="I357" s="183"/>
      <c r="J357" s="541"/>
      <c r="K357" s="541"/>
      <c r="L357" s="541"/>
      <c r="M357" s="541"/>
      <c r="N357" s="541"/>
      <c r="O357" s="541"/>
      <c r="P357" s="541"/>
      <c r="Q357" s="541"/>
      <c r="R357" s="541"/>
      <c r="S357" s="541"/>
      <c r="T357" s="541">
        <v>125</v>
      </c>
      <c r="U357" s="541"/>
      <c r="V357" s="541"/>
      <c r="W357" s="541"/>
      <c r="X357" s="541"/>
      <c r="Y357" s="541"/>
      <c r="Z357" s="541"/>
      <c r="AA357" s="541"/>
      <c r="AB357" s="541"/>
      <c r="AC357" s="542" t="e">
        <f>IF(NFI_Expiration=1,IF(#REF!&lt;VLOOKUP(L$5,NFI,5,0),1,0)*Table_NFI[[#This Row],[NFI Core Kit]],Table_NFI[NFI Core Kit])</f>
        <v>#REF!</v>
      </c>
      <c r="AD357" s="542" t="e">
        <f>IF(NFI_Expiration=1,IF(#REF!&lt;VLOOKUP(M$5,NFI,5,0),1,0)*Table_NFI[[#This Row],[Sanitary Kit]],Table_NFI[Sanitary Kit])</f>
        <v>#REF!</v>
      </c>
      <c r="AE357" s="542" t="e">
        <f>IF(NFI_Expiration=1,IF(#REF!&lt;VLOOKUP(N$5,NFI,5,0),1,0)*Table_NFI[[#This Row],[Mosquito net]],Table_NFI[Mosquito net])</f>
        <v>#REF!</v>
      </c>
      <c r="AF357" s="542" t="e">
        <f>IF(NFI_Expiration=1,IF(#REF!&lt;VLOOKUP(O$5,NFI,5,0),1,0)*Table_NFI[[#This Row],[Tarpaulin]],Table_NFI[[#This Row],[Tarpaulin]])</f>
        <v>#REF!</v>
      </c>
      <c r="AG357" s="542" t="e">
        <f>IF(NFI_Expiration=1,IF(#REF!&lt;VLOOKUP(P$5,NFI,5,0),1,0)*Table_NFI[[#This Row],[Blanket]],Table_NFI[[#This Row],[Blanket]])</f>
        <v>#REF!</v>
      </c>
      <c r="AH357" s="542" t="e">
        <f>IF(NFI_Expiration=1,IF(#REF!&lt;VLOOKUP(Q$5,NFI,5,0),1,0)*Table_NFI[[#This Row],[Kitchen Set]],Table_NFI[Kitchen Set])</f>
        <v>#REF!</v>
      </c>
      <c r="AI357" s="542" t="e">
        <f>IF(NFI_Expiration=1,IF(#REF!&lt;VLOOKUP(R$5,NFI,5,0),1,0)*Table_NFI[[#This Row],[Clothes Kit]],Table_NFI[Clothes Kit])</f>
        <v>#REF!</v>
      </c>
      <c r="AJ357" s="542" t="e">
        <f>IF(NFI_Expiration=1,IF(#REF!&lt;VLOOKUP(S$5,NFI,5,0),1,0)*Table_NFI[[#This Row],[Plastic Bucket]],Table_NFI[Plastic Bucket])</f>
        <v>#REF!</v>
      </c>
      <c r="AK357" s="542" t="e">
        <f>IF(NFI_Expiration=1,IF(#REF!&lt;VLOOKUP(T$5,NFI,5,0),1,0)*Table_NFI[[#This Row],[Plastic Mat]],Table_NFI[Plastic Mat])*IF(Table_NFI[[#This Row],[Distribution Date]]&gt;"2014-04-01",1,2.5)</f>
        <v>#REF!</v>
      </c>
      <c r="AL357" s="542" t="e">
        <f>IF(NFI_Expiration=1,IF(#REF!&lt;VLOOKUP(U$5,NFI,5,0),1,0)*Table_NFI[[#This Row],[Winter Clothes Adult]],Table_NFI[Winter Clothes Adult])</f>
        <v>#REF!</v>
      </c>
      <c r="AM357" s="542"/>
      <c r="AN357" s="542"/>
      <c r="AO357" s="542"/>
      <c r="AP357" s="542">
        <f>IF(Table_NFI[[#This Row],[Winter Clothes Adult]]+Table_NFI[[#This Row],[Winter Clothes Children]]+Table_NFI[[#This Row],[Winter Items Other]]+Table_NFI[[#This Row],[Winter Blanket]]&gt;0,1,0)</f>
        <v>0</v>
      </c>
      <c r="AQ357" s="542"/>
      <c r="AR357" s="542"/>
      <c r="AS357" s="542"/>
      <c r="AT357" s="205" t="str">
        <f>IFERROR(VLOOKUP(Table_NFI[[#This Row],[Location]],CL,2,0),"")</f>
        <v>MMR001CMP260</v>
      </c>
      <c r="AU357" s="183"/>
    </row>
    <row r="358" spans="2:47" x14ac:dyDescent="0.25">
      <c r="B358" s="540">
        <v>43300</v>
      </c>
      <c r="C358" s="540" t="str">
        <f>MONTH(Table_NFI[[#This Row],[Distribution Date]]) &amp; "/" &amp; YEAR(Table_NFI[[#This Row],[Distribution Date]])</f>
        <v>7/2018</v>
      </c>
      <c r="D358" s="198" t="s">
        <v>1258</v>
      </c>
      <c r="E358" s="198" t="s">
        <v>1258</v>
      </c>
      <c r="F358" s="198" t="s">
        <v>378</v>
      </c>
      <c r="G358" s="197" t="s">
        <v>309</v>
      </c>
      <c r="H358" s="198" t="s">
        <v>1745</v>
      </c>
      <c r="I358" s="183"/>
      <c r="J358" s="541"/>
      <c r="K358" s="541"/>
      <c r="L358" s="541"/>
      <c r="M358" s="541"/>
      <c r="N358" s="541"/>
      <c r="O358" s="541"/>
      <c r="P358" s="541"/>
      <c r="Q358" s="541">
        <v>72</v>
      </c>
      <c r="R358" s="541"/>
      <c r="S358" s="541"/>
      <c r="T358" s="541"/>
      <c r="U358" s="541"/>
      <c r="V358" s="541"/>
      <c r="W358" s="541">
        <v>9</v>
      </c>
      <c r="X358" s="541"/>
      <c r="Y358" s="541"/>
      <c r="Z358" s="541"/>
      <c r="AA358" s="541"/>
      <c r="AB358" s="541"/>
      <c r="AC358" s="542" t="e">
        <f>IF(NFI_Expiration=1,IF(#REF!&lt;VLOOKUP(L$5,NFI,5,0),1,0)*Table_NFI[[#This Row],[NFI Core Kit]],Table_NFI[NFI Core Kit])</f>
        <v>#REF!</v>
      </c>
      <c r="AD358" s="542" t="e">
        <f>IF(NFI_Expiration=1,IF(#REF!&lt;VLOOKUP(M$5,NFI,5,0),1,0)*Table_NFI[[#This Row],[Sanitary Kit]],Table_NFI[Sanitary Kit])</f>
        <v>#REF!</v>
      </c>
      <c r="AE358" s="542" t="e">
        <f>IF(NFI_Expiration=1,IF(#REF!&lt;VLOOKUP(N$5,NFI,5,0),1,0)*Table_NFI[[#This Row],[Mosquito net]],Table_NFI[Mosquito net])</f>
        <v>#REF!</v>
      </c>
      <c r="AF358" s="542" t="e">
        <f>IF(NFI_Expiration=1,IF(#REF!&lt;VLOOKUP(O$5,NFI,5,0),1,0)*Table_NFI[[#This Row],[Tarpaulin]],Table_NFI[[#This Row],[Tarpaulin]])</f>
        <v>#REF!</v>
      </c>
      <c r="AG358" s="542" t="e">
        <f>IF(NFI_Expiration=1,IF(#REF!&lt;VLOOKUP(P$5,NFI,5,0),1,0)*Table_NFI[[#This Row],[Blanket]],Table_NFI[[#This Row],[Blanket]])</f>
        <v>#REF!</v>
      </c>
      <c r="AH358" s="542" t="e">
        <f>IF(NFI_Expiration=1,IF(#REF!&lt;VLOOKUP(Q$5,NFI,5,0),1,0)*Table_NFI[[#This Row],[Kitchen Set]],Table_NFI[Kitchen Set])</f>
        <v>#REF!</v>
      </c>
      <c r="AI358" s="542" t="e">
        <f>IF(NFI_Expiration=1,IF(#REF!&lt;VLOOKUP(R$5,NFI,5,0),1,0)*Table_NFI[[#This Row],[Clothes Kit]],Table_NFI[Clothes Kit])</f>
        <v>#REF!</v>
      </c>
      <c r="AJ358" s="542" t="e">
        <f>IF(NFI_Expiration=1,IF(#REF!&lt;VLOOKUP(S$5,NFI,5,0),1,0)*Table_NFI[[#This Row],[Plastic Bucket]],Table_NFI[Plastic Bucket])</f>
        <v>#REF!</v>
      </c>
      <c r="AK358" s="542" t="e">
        <f>IF(NFI_Expiration=1,IF(#REF!&lt;VLOOKUP(T$5,NFI,5,0),1,0)*Table_NFI[[#This Row],[Plastic Mat]],Table_NFI[Plastic Mat])*IF(Table_NFI[[#This Row],[Distribution Date]]&gt;"2014-04-01",1,2.5)</f>
        <v>#REF!</v>
      </c>
      <c r="AL358" s="542" t="e">
        <f>IF(NFI_Expiration=1,IF(#REF!&lt;VLOOKUP(U$5,NFI,5,0),1,0)*Table_NFI[[#This Row],[Winter Clothes Adult]],Table_NFI[Winter Clothes Adult])</f>
        <v>#REF!</v>
      </c>
      <c r="AM358" s="542"/>
      <c r="AN358" s="542"/>
      <c r="AO358" s="542"/>
      <c r="AP358" s="542">
        <f>IF(Table_NFI[[#This Row],[Winter Clothes Adult]]+Table_NFI[[#This Row],[Winter Clothes Children]]+Table_NFI[[#This Row],[Winter Items Other]]+Table_NFI[[#This Row],[Winter Blanket]]&gt;0,1,0)</f>
        <v>1</v>
      </c>
      <c r="AQ358" s="542"/>
      <c r="AR358" s="542"/>
      <c r="AS358" s="542"/>
      <c r="AT358" s="205" t="str">
        <f>IFERROR(VLOOKUP(Table_NFI[[#This Row],[Location]],CL,2,0),"")</f>
        <v>MMR001CMP269</v>
      </c>
      <c r="AU358" s="183"/>
    </row>
    <row r="359" spans="2:47" x14ac:dyDescent="0.25">
      <c r="B359" s="540">
        <v>43325</v>
      </c>
      <c r="C359" s="540" t="str">
        <f>MONTH(Table_NFI[[#This Row],[Distribution Date]]) &amp; "/" &amp; YEAR(Table_NFI[[#This Row],[Distribution Date]])</f>
        <v>8/2018</v>
      </c>
      <c r="D359" s="198" t="s">
        <v>420</v>
      </c>
      <c r="E359" s="198" t="s">
        <v>462</v>
      </c>
      <c r="F359" s="198" t="s">
        <v>378</v>
      </c>
      <c r="G359" s="197" t="s">
        <v>309</v>
      </c>
      <c r="H359" s="306" t="s">
        <v>337</v>
      </c>
      <c r="I359" s="183"/>
      <c r="J359" s="541"/>
      <c r="K359" s="541"/>
      <c r="L359" s="541"/>
      <c r="M359" s="541"/>
      <c r="N359" s="541"/>
      <c r="O359" s="541">
        <v>19</v>
      </c>
      <c r="P359" s="541"/>
      <c r="Q359" s="541"/>
      <c r="R359" s="541"/>
      <c r="S359" s="541"/>
      <c r="T359" s="541"/>
      <c r="U359" s="541"/>
      <c r="V359" s="541"/>
      <c r="W359" s="541"/>
      <c r="X359" s="541"/>
      <c r="Y359" s="541"/>
      <c r="Z359" s="541"/>
      <c r="AA359" s="541"/>
      <c r="AB359" s="541"/>
      <c r="AC359" s="542" t="e">
        <f>IF(NFI_Expiration=1,IF(#REF!&lt;VLOOKUP(L$5,NFI,5,0),1,0)*Table_NFI[[#This Row],[NFI Core Kit]],Table_NFI[NFI Core Kit])</f>
        <v>#REF!</v>
      </c>
      <c r="AD359" s="542" t="e">
        <f>IF(NFI_Expiration=1,IF(#REF!&lt;VLOOKUP(M$5,NFI,5,0),1,0)*Table_NFI[[#This Row],[Sanitary Kit]],Table_NFI[Sanitary Kit])</f>
        <v>#REF!</v>
      </c>
      <c r="AE359" s="542" t="e">
        <f>IF(NFI_Expiration=1,IF(#REF!&lt;VLOOKUP(N$5,NFI,5,0),1,0)*Table_NFI[[#This Row],[Mosquito net]],Table_NFI[Mosquito net])</f>
        <v>#REF!</v>
      </c>
      <c r="AF359" s="542" t="e">
        <f>IF(NFI_Expiration=1,IF(#REF!&lt;VLOOKUP(O$5,NFI,5,0),1,0)*Table_NFI[[#This Row],[Tarpaulin]],Table_NFI[[#This Row],[Tarpaulin]])</f>
        <v>#REF!</v>
      </c>
      <c r="AG359" s="542" t="e">
        <f>IF(NFI_Expiration=1,IF(#REF!&lt;VLOOKUP(P$5,NFI,5,0),1,0)*Table_NFI[[#This Row],[Blanket]],Table_NFI[[#This Row],[Blanket]])</f>
        <v>#REF!</v>
      </c>
      <c r="AH359" s="542" t="e">
        <f>IF(NFI_Expiration=1,IF(#REF!&lt;VLOOKUP(Q$5,NFI,5,0),1,0)*Table_NFI[[#This Row],[Kitchen Set]],Table_NFI[Kitchen Set])</f>
        <v>#REF!</v>
      </c>
      <c r="AI359" s="542" t="e">
        <f>IF(NFI_Expiration=1,IF(#REF!&lt;VLOOKUP(R$5,NFI,5,0),1,0)*Table_NFI[[#This Row],[Clothes Kit]],Table_NFI[Clothes Kit])</f>
        <v>#REF!</v>
      </c>
      <c r="AJ359" s="542" t="e">
        <f>IF(NFI_Expiration=1,IF(#REF!&lt;VLOOKUP(S$5,NFI,5,0),1,0)*Table_NFI[[#This Row],[Plastic Bucket]],Table_NFI[Plastic Bucket])</f>
        <v>#REF!</v>
      </c>
      <c r="AK359" s="542" t="e">
        <f>IF(NFI_Expiration=1,IF(#REF!&lt;VLOOKUP(T$5,NFI,5,0),1,0)*Table_NFI[[#This Row],[Plastic Mat]],Table_NFI[Plastic Mat])*IF(Table_NFI[[#This Row],[Distribution Date]]&gt;"2014-04-01",1,2.5)</f>
        <v>#REF!</v>
      </c>
      <c r="AL359" s="542" t="e">
        <f>IF(NFI_Expiration=1,IF(#REF!&lt;VLOOKUP(U$5,NFI,5,0),1,0)*Table_NFI[[#This Row],[Winter Clothes Adult]],Table_NFI[Winter Clothes Adult])</f>
        <v>#REF!</v>
      </c>
      <c r="AM359" s="542"/>
      <c r="AN359" s="542"/>
      <c r="AO359" s="542"/>
      <c r="AP359" s="542">
        <f>IF(Table_NFI[[#This Row],[Winter Clothes Adult]]+Table_NFI[[#This Row],[Winter Clothes Children]]+Table_NFI[[#This Row],[Winter Items Other]]+Table_NFI[[#This Row],[Winter Blanket]]&gt;0,1,0)</f>
        <v>0</v>
      </c>
      <c r="AQ359" s="542"/>
      <c r="AR359" s="542"/>
      <c r="AS359" s="542"/>
      <c r="AT359" s="205" t="str">
        <f>IFERROR(VLOOKUP(Table_NFI[[#This Row],[Location]],CL,2,0),"")</f>
        <v>MMR001CMP030</v>
      </c>
      <c r="AU359" s="183"/>
    </row>
    <row r="360" spans="2:47" x14ac:dyDescent="0.25">
      <c r="B360" s="540">
        <v>43325</v>
      </c>
      <c r="C360" s="540" t="str">
        <f>MONTH(Table_NFI[[#This Row],[Distribution Date]]) &amp; "/" &amp; YEAR(Table_NFI[[#This Row],[Distribution Date]])</f>
        <v>8/2018</v>
      </c>
      <c r="D360" s="198" t="s">
        <v>420</v>
      </c>
      <c r="E360" s="198" t="s">
        <v>462</v>
      </c>
      <c r="F360" s="198" t="s">
        <v>378</v>
      </c>
      <c r="G360" s="197" t="s">
        <v>237</v>
      </c>
      <c r="H360" s="177" t="s">
        <v>278</v>
      </c>
      <c r="I360" s="183"/>
      <c r="J360" s="541"/>
      <c r="K360" s="541"/>
      <c r="L360" s="541"/>
      <c r="M360" s="541"/>
      <c r="N360" s="541"/>
      <c r="O360" s="541">
        <v>1</v>
      </c>
      <c r="P360" s="541"/>
      <c r="Q360" s="541"/>
      <c r="R360" s="541"/>
      <c r="S360" s="541"/>
      <c r="T360" s="541"/>
      <c r="U360" s="541"/>
      <c r="V360" s="541"/>
      <c r="W360" s="541"/>
      <c r="X360" s="541"/>
      <c r="Y360" s="541"/>
      <c r="Z360" s="541"/>
      <c r="AA360" s="541"/>
      <c r="AB360" s="541"/>
      <c r="AC360" s="542" t="e">
        <f>IF(NFI_Expiration=1,IF(#REF!&lt;VLOOKUP(L$5,NFI,5,0),1,0)*Table_NFI[[#This Row],[NFI Core Kit]],Table_NFI[NFI Core Kit])</f>
        <v>#REF!</v>
      </c>
      <c r="AD360" s="542" t="e">
        <f>IF(NFI_Expiration=1,IF(#REF!&lt;VLOOKUP(M$5,NFI,5,0),1,0)*Table_NFI[[#This Row],[Sanitary Kit]],Table_NFI[Sanitary Kit])</f>
        <v>#REF!</v>
      </c>
      <c r="AE360" s="542" t="e">
        <f>IF(NFI_Expiration=1,IF(#REF!&lt;VLOOKUP(N$5,NFI,5,0),1,0)*Table_NFI[[#This Row],[Mosquito net]],Table_NFI[Mosquito net])</f>
        <v>#REF!</v>
      </c>
      <c r="AF360" s="542" t="e">
        <f>IF(NFI_Expiration=1,IF(#REF!&lt;VLOOKUP(O$5,NFI,5,0),1,0)*Table_NFI[[#This Row],[Tarpaulin]],Table_NFI[[#This Row],[Tarpaulin]])</f>
        <v>#REF!</v>
      </c>
      <c r="AG360" s="542" t="e">
        <f>IF(NFI_Expiration=1,IF(#REF!&lt;VLOOKUP(P$5,NFI,5,0),1,0)*Table_NFI[[#This Row],[Blanket]],Table_NFI[[#This Row],[Blanket]])</f>
        <v>#REF!</v>
      </c>
      <c r="AH360" s="542" t="e">
        <f>IF(NFI_Expiration=1,IF(#REF!&lt;VLOOKUP(Q$5,NFI,5,0),1,0)*Table_NFI[[#This Row],[Kitchen Set]],Table_NFI[Kitchen Set])</f>
        <v>#REF!</v>
      </c>
      <c r="AI360" s="542" t="e">
        <f>IF(NFI_Expiration=1,IF(#REF!&lt;VLOOKUP(R$5,NFI,5,0),1,0)*Table_NFI[[#This Row],[Clothes Kit]],Table_NFI[Clothes Kit])</f>
        <v>#REF!</v>
      </c>
      <c r="AJ360" s="542" t="e">
        <f>IF(NFI_Expiration=1,IF(#REF!&lt;VLOOKUP(S$5,NFI,5,0),1,0)*Table_NFI[[#This Row],[Plastic Bucket]],Table_NFI[Plastic Bucket])</f>
        <v>#REF!</v>
      </c>
      <c r="AK360" s="542" t="e">
        <f>IF(NFI_Expiration=1,IF(#REF!&lt;VLOOKUP(T$5,NFI,5,0),1,0)*Table_NFI[[#This Row],[Plastic Mat]],Table_NFI[Plastic Mat])*IF(Table_NFI[[#This Row],[Distribution Date]]&gt;"2014-04-01",1,2.5)</f>
        <v>#REF!</v>
      </c>
      <c r="AL360" s="542" t="e">
        <f>IF(NFI_Expiration=1,IF(#REF!&lt;VLOOKUP(U$5,NFI,5,0),1,0)*Table_NFI[[#This Row],[Winter Clothes Adult]],Table_NFI[Winter Clothes Adult])</f>
        <v>#REF!</v>
      </c>
      <c r="AM360" s="542"/>
      <c r="AN360" s="542"/>
      <c r="AO360" s="542"/>
      <c r="AP360" s="542">
        <f>IF(Table_NFI[[#This Row],[Winter Clothes Adult]]+Table_NFI[[#This Row],[Winter Clothes Children]]+Table_NFI[[#This Row],[Winter Items Other]]+Table_NFI[[#This Row],[Winter Blanket]]&gt;0,1,0)</f>
        <v>0</v>
      </c>
      <c r="AQ360" s="542"/>
      <c r="AR360" s="542"/>
      <c r="AS360" s="542"/>
      <c r="AT360" s="205" t="str">
        <f>IFERROR(VLOOKUP(Table_NFI[[#This Row],[Location]],CL,2,0),"")</f>
        <v>MMR001CMP007</v>
      </c>
      <c r="AU360" s="183"/>
    </row>
    <row r="361" spans="2:47" x14ac:dyDescent="0.25">
      <c r="B361" s="540">
        <v>43381</v>
      </c>
      <c r="C361" s="540" t="str">
        <f>MONTH(Table_NFI[[#This Row],[Distribution Date]]) &amp; "/" &amp; YEAR(Table_NFI[[#This Row],[Distribution Date]])</f>
        <v>10/2018</v>
      </c>
      <c r="D361" s="198" t="s">
        <v>1458</v>
      </c>
      <c r="E361" s="198"/>
      <c r="F361" s="198" t="s">
        <v>378</v>
      </c>
      <c r="G361" s="197" t="s">
        <v>151</v>
      </c>
      <c r="H361" s="198" t="s">
        <v>154</v>
      </c>
      <c r="I361" s="183">
        <v>1</v>
      </c>
      <c r="J361" s="541"/>
      <c r="K361" s="541"/>
      <c r="L361" s="541"/>
      <c r="M361" s="541"/>
      <c r="N361" s="541"/>
      <c r="O361" s="541"/>
      <c r="P361" s="541"/>
      <c r="Q361" s="541"/>
      <c r="R361" s="541"/>
      <c r="S361" s="541"/>
      <c r="T361" s="541"/>
      <c r="U361" s="541"/>
      <c r="V361" s="541"/>
      <c r="W361" s="541"/>
      <c r="X361" s="541"/>
      <c r="Y361" s="541"/>
      <c r="Z361" s="541"/>
      <c r="AA361" s="541"/>
      <c r="AB361" s="541"/>
      <c r="AC361" s="542" t="e">
        <f>IF(NFI_Expiration=1,IF(#REF!&lt;VLOOKUP(L$5,NFI,5,0),1,0)*Table_NFI[[#This Row],[NFI Core Kit]],Table_NFI[NFI Core Kit])</f>
        <v>#REF!</v>
      </c>
      <c r="AD361" s="542" t="e">
        <f>IF(NFI_Expiration=1,IF(#REF!&lt;VLOOKUP(M$5,NFI,5,0),1,0)*Table_NFI[[#This Row],[Sanitary Kit]],Table_NFI[Sanitary Kit])</f>
        <v>#REF!</v>
      </c>
      <c r="AE361" s="542" t="e">
        <f>IF(NFI_Expiration=1,IF(#REF!&lt;VLOOKUP(N$5,NFI,5,0),1,0)*Table_NFI[[#This Row],[Mosquito net]],Table_NFI[Mosquito net])</f>
        <v>#REF!</v>
      </c>
      <c r="AF361" s="542" t="e">
        <f>IF(NFI_Expiration=1,IF(#REF!&lt;VLOOKUP(O$5,NFI,5,0),1,0)*Table_NFI[[#This Row],[Tarpaulin]],Table_NFI[[#This Row],[Tarpaulin]])</f>
        <v>#REF!</v>
      </c>
      <c r="AG361" s="542" t="e">
        <f>IF(NFI_Expiration=1,IF(#REF!&lt;VLOOKUP(P$5,NFI,5,0),1,0)*Table_NFI[[#This Row],[Blanket]],Table_NFI[[#This Row],[Blanket]])</f>
        <v>#REF!</v>
      </c>
      <c r="AH361" s="542" t="e">
        <f>IF(NFI_Expiration=1,IF(#REF!&lt;VLOOKUP(Q$5,NFI,5,0),1,0)*Table_NFI[[#This Row],[Kitchen Set]],Table_NFI[Kitchen Set])</f>
        <v>#REF!</v>
      </c>
      <c r="AI361" s="542" t="e">
        <f>IF(NFI_Expiration=1,IF(#REF!&lt;VLOOKUP(R$5,NFI,5,0),1,0)*Table_NFI[[#This Row],[Clothes Kit]],Table_NFI[Clothes Kit])</f>
        <v>#REF!</v>
      </c>
      <c r="AJ361" s="542" t="e">
        <f>IF(NFI_Expiration=1,IF(#REF!&lt;VLOOKUP(S$5,NFI,5,0),1,0)*Table_NFI[[#This Row],[Plastic Bucket]],Table_NFI[Plastic Bucket])</f>
        <v>#REF!</v>
      </c>
      <c r="AK361" s="542" t="e">
        <f>IF(NFI_Expiration=1,IF(#REF!&lt;VLOOKUP(T$5,NFI,5,0),1,0)*Table_NFI[[#This Row],[Plastic Mat]],Table_NFI[Plastic Mat])*IF(Table_NFI[[#This Row],[Distribution Date]]&gt;"2014-04-01",1,2.5)</f>
        <v>#REF!</v>
      </c>
      <c r="AL361" s="542" t="e">
        <f>IF(NFI_Expiration=1,IF(#REF!&lt;VLOOKUP(U$5,NFI,5,0),1,0)*Table_NFI[[#This Row],[Winter Clothes Adult]],Table_NFI[Winter Clothes Adult])</f>
        <v>#REF!</v>
      </c>
      <c r="AM361" s="542"/>
      <c r="AN361" s="542"/>
      <c r="AO361" s="542"/>
      <c r="AP361" s="542">
        <f>IF(Table_NFI[[#This Row],[Winter Clothes Adult]]+Table_NFI[[#This Row],[Winter Clothes Children]]+Table_NFI[[#This Row],[Winter Items Other]]+Table_NFI[[#This Row],[Winter Blanket]]&gt;0,1,0)</f>
        <v>0</v>
      </c>
      <c r="AQ361" s="542"/>
      <c r="AR361" s="542"/>
      <c r="AS361" s="542"/>
      <c r="AT361" s="205" t="str">
        <f>IFERROR(VLOOKUP(Table_NFI[[#This Row],[Location]],CL,2,0),"")</f>
        <v>MMR001CMP132</v>
      </c>
      <c r="AU361" s="183"/>
    </row>
    <row r="362" spans="2:47" x14ac:dyDescent="0.25">
      <c r="B362" s="540">
        <v>43391</v>
      </c>
      <c r="C362" s="540" t="str">
        <f>MONTH(Table_NFI[[#This Row],[Distribution Date]]) &amp; "/" &amp; YEAR(Table_NFI[[#This Row],[Distribution Date]])</f>
        <v>10/2018</v>
      </c>
      <c r="D362" s="198" t="s">
        <v>1458</v>
      </c>
      <c r="E362" s="198"/>
      <c r="F362" s="198" t="s">
        <v>506</v>
      </c>
      <c r="G362" s="197" t="s">
        <v>288</v>
      </c>
      <c r="H362" s="198" t="s">
        <v>372</v>
      </c>
      <c r="I362" s="183"/>
      <c r="J362" s="541"/>
      <c r="K362" s="541"/>
      <c r="L362" s="541">
        <v>44</v>
      </c>
      <c r="M362" s="541"/>
      <c r="N362" s="541"/>
      <c r="O362" s="541"/>
      <c r="P362" s="541"/>
      <c r="Q362" s="541"/>
      <c r="R362" s="541"/>
      <c r="S362" s="541"/>
      <c r="T362" s="541"/>
      <c r="U362" s="541"/>
      <c r="V362" s="541"/>
      <c r="W362" s="541"/>
      <c r="X362" s="541"/>
      <c r="Y362" s="541"/>
      <c r="Z362" s="541"/>
      <c r="AA362" s="541"/>
      <c r="AB362" s="541"/>
      <c r="AC362" s="542" t="e">
        <f>IF(NFI_Expiration=1,IF(#REF!&lt;VLOOKUP(L$5,NFI,5,0),1,0)*Table_NFI[[#This Row],[NFI Core Kit]],Table_NFI[NFI Core Kit])</f>
        <v>#REF!</v>
      </c>
      <c r="AD362" s="542" t="e">
        <f>IF(NFI_Expiration=1,IF(#REF!&lt;VLOOKUP(M$5,NFI,5,0),1,0)*Table_NFI[[#This Row],[Sanitary Kit]],Table_NFI[Sanitary Kit])</f>
        <v>#REF!</v>
      </c>
      <c r="AE362" s="542" t="e">
        <f>IF(NFI_Expiration=1,IF(#REF!&lt;VLOOKUP(N$5,NFI,5,0),1,0)*Table_NFI[[#This Row],[Mosquito net]],Table_NFI[Mosquito net])</f>
        <v>#REF!</v>
      </c>
      <c r="AF362" s="542" t="e">
        <f>IF(NFI_Expiration=1,IF(#REF!&lt;VLOOKUP(O$5,NFI,5,0),1,0)*Table_NFI[[#This Row],[Tarpaulin]],Table_NFI[[#This Row],[Tarpaulin]])</f>
        <v>#REF!</v>
      </c>
      <c r="AG362" s="542" t="e">
        <f>IF(NFI_Expiration=1,IF(#REF!&lt;VLOOKUP(P$5,NFI,5,0),1,0)*Table_NFI[[#This Row],[Blanket]],Table_NFI[[#This Row],[Blanket]])</f>
        <v>#REF!</v>
      </c>
      <c r="AH362" s="542" t="e">
        <f>IF(NFI_Expiration=1,IF(#REF!&lt;VLOOKUP(Q$5,NFI,5,0),1,0)*Table_NFI[[#This Row],[Kitchen Set]],Table_NFI[Kitchen Set])</f>
        <v>#REF!</v>
      </c>
      <c r="AI362" s="542" t="e">
        <f>IF(NFI_Expiration=1,IF(#REF!&lt;VLOOKUP(R$5,NFI,5,0),1,0)*Table_NFI[[#This Row],[Clothes Kit]],Table_NFI[Clothes Kit])</f>
        <v>#REF!</v>
      </c>
      <c r="AJ362" s="542" t="e">
        <f>IF(NFI_Expiration=1,IF(#REF!&lt;VLOOKUP(S$5,NFI,5,0),1,0)*Table_NFI[[#This Row],[Plastic Bucket]],Table_NFI[Plastic Bucket])</f>
        <v>#REF!</v>
      </c>
      <c r="AK362" s="542" t="e">
        <f>IF(NFI_Expiration=1,IF(#REF!&lt;VLOOKUP(T$5,NFI,5,0),1,0)*Table_NFI[[#This Row],[Plastic Mat]],Table_NFI[Plastic Mat])*IF(Table_NFI[[#This Row],[Distribution Date]]&gt;"2014-04-01",1,2.5)</f>
        <v>#REF!</v>
      </c>
      <c r="AL362" s="542" t="e">
        <f>IF(NFI_Expiration=1,IF(#REF!&lt;VLOOKUP(U$5,NFI,5,0),1,0)*Table_NFI[[#This Row],[Winter Clothes Adult]],Table_NFI[Winter Clothes Adult])</f>
        <v>#REF!</v>
      </c>
      <c r="AM362" s="542"/>
      <c r="AN362" s="542"/>
      <c r="AO362" s="542"/>
      <c r="AP362" s="542">
        <f>IF(Table_NFI[[#This Row],[Winter Clothes Adult]]+Table_NFI[[#This Row],[Winter Clothes Children]]+Table_NFI[[#This Row],[Winter Items Other]]+Table_NFI[[#This Row],[Winter Blanket]]&gt;0,1,0)</f>
        <v>0</v>
      </c>
      <c r="AQ362" s="542"/>
      <c r="AR362" s="542"/>
      <c r="AS362" s="542"/>
      <c r="AT362" s="205" t="str">
        <f>IFERROR(VLOOKUP(Table_NFI[[#This Row],[Location]],CL,2,0),"")</f>
        <v>MMR015CMP003</v>
      </c>
      <c r="AU362" s="183"/>
    </row>
    <row r="363" spans="2:47" x14ac:dyDescent="0.25">
      <c r="B363" s="540">
        <v>43389</v>
      </c>
      <c r="C363" s="540" t="str">
        <f>MONTH(Table_NFI[[#This Row],[Distribution Date]]) &amp; "/" &amp; YEAR(Table_NFI[[#This Row],[Distribution Date]])</f>
        <v>10/2018</v>
      </c>
      <c r="D363" s="198" t="s">
        <v>1458</v>
      </c>
      <c r="E363" s="198"/>
      <c r="F363" s="198" t="s">
        <v>506</v>
      </c>
      <c r="G363" s="197" t="s">
        <v>146</v>
      </c>
      <c r="H363" s="198" t="s">
        <v>367</v>
      </c>
      <c r="I363" s="183"/>
      <c r="J363" s="541"/>
      <c r="K363" s="541"/>
      <c r="L363" s="541">
        <v>53</v>
      </c>
      <c r="M363" s="541"/>
      <c r="N363" s="541"/>
      <c r="O363" s="541"/>
      <c r="P363" s="541"/>
      <c r="Q363" s="541">
        <v>53</v>
      </c>
      <c r="R363" s="541"/>
      <c r="S363" s="541"/>
      <c r="T363" s="541"/>
      <c r="U363" s="541"/>
      <c r="V363" s="541"/>
      <c r="W363" s="541"/>
      <c r="X363" s="541"/>
      <c r="Y363" s="541"/>
      <c r="Z363" s="541">
        <v>53</v>
      </c>
      <c r="AA363" s="541">
        <v>53</v>
      </c>
      <c r="AB363" s="541"/>
      <c r="AC363" s="542" t="e">
        <f>IF(NFI_Expiration=1,IF(#REF!&lt;VLOOKUP(L$5,NFI,5,0),1,0)*Table_NFI[[#This Row],[NFI Core Kit]],Table_NFI[NFI Core Kit])</f>
        <v>#REF!</v>
      </c>
      <c r="AD363" s="542" t="e">
        <f>IF(NFI_Expiration=1,IF(#REF!&lt;VLOOKUP(M$5,NFI,5,0),1,0)*Table_NFI[[#This Row],[Sanitary Kit]],Table_NFI[Sanitary Kit])</f>
        <v>#REF!</v>
      </c>
      <c r="AE363" s="542" t="e">
        <f>IF(NFI_Expiration=1,IF(#REF!&lt;VLOOKUP(N$5,NFI,5,0),1,0)*Table_NFI[[#This Row],[Mosquito net]],Table_NFI[Mosquito net])</f>
        <v>#REF!</v>
      </c>
      <c r="AF363" s="542" t="e">
        <f>IF(NFI_Expiration=1,IF(#REF!&lt;VLOOKUP(O$5,NFI,5,0),1,0)*Table_NFI[[#This Row],[Tarpaulin]],Table_NFI[[#This Row],[Tarpaulin]])</f>
        <v>#REF!</v>
      </c>
      <c r="AG363" s="542" t="e">
        <f>IF(NFI_Expiration=1,IF(#REF!&lt;VLOOKUP(P$5,NFI,5,0),1,0)*Table_NFI[[#This Row],[Blanket]],Table_NFI[[#This Row],[Blanket]])</f>
        <v>#REF!</v>
      </c>
      <c r="AH363" s="542" t="e">
        <f>IF(NFI_Expiration=1,IF(#REF!&lt;VLOOKUP(Q$5,NFI,5,0),1,0)*Table_NFI[[#This Row],[Kitchen Set]],Table_NFI[Kitchen Set])</f>
        <v>#REF!</v>
      </c>
      <c r="AI363" s="542" t="e">
        <f>IF(NFI_Expiration=1,IF(#REF!&lt;VLOOKUP(R$5,NFI,5,0),1,0)*Table_NFI[[#This Row],[Clothes Kit]],Table_NFI[Clothes Kit])</f>
        <v>#REF!</v>
      </c>
      <c r="AJ363" s="542" t="e">
        <f>IF(NFI_Expiration=1,IF(#REF!&lt;VLOOKUP(S$5,NFI,5,0),1,0)*Table_NFI[[#This Row],[Plastic Bucket]],Table_NFI[Plastic Bucket])</f>
        <v>#REF!</v>
      </c>
      <c r="AK363" s="542" t="e">
        <f>IF(NFI_Expiration=1,IF(#REF!&lt;VLOOKUP(T$5,NFI,5,0),1,0)*Table_NFI[[#This Row],[Plastic Mat]],Table_NFI[Plastic Mat])*IF(Table_NFI[[#This Row],[Distribution Date]]&gt;"2014-04-01",1,2.5)</f>
        <v>#REF!</v>
      </c>
      <c r="AL363" s="542" t="e">
        <f>IF(NFI_Expiration=1,IF(#REF!&lt;VLOOKUP(U$5,NFI,5,0),1,0)*Table_NFI[[#This Row],[Winter Clothes Adult]],Table_NFI[Winter Clothes Adult])</f>
        <v>#REF!</v>
      </c>
      <c r="AM363" s="542"/>
      <c r="AN363" s="542"/>
      <c r="AO363" s="542"/>
      <c r="AP363" s="542">
        <f>IF(Table_NFI[[#This Row],[Winter Clothes Adult]]+Table_NFI[[#This Row],[Winter Clothes Children]]+Table_NFI[[#This Row],[Winter Items Other]]+Table_NFI[[#This Row],[Winter Blanket]]&gt;0,1,0)</f>
        <v>0</v>
      </c>
      <c r="AQ363" s="542"/>
      <c r="AR363" s="542"/>
      <c r="AS363" s="542"/>
      <c r="AT363" s="205" t="str">
        <f>IFERROR(VLOOKUP(Table_NFI[[#This Row],[Location]],CL,2,0),"")</f>
        <v>MMR015CMP016</v>
      </c>
      <c r="AU363" s="183"/>
    </row>
    <row r="364" spans="2:47" x14ac:dyDescent="0.25">
      <c r="B364" s="540">
        <v>43390</v>
      </c>
      <c r="C364" s="540" t="str">
        <f>MONTH(Table_NFI[[#This Row],[Distribution Date]]) &amp; "/" &amp; YEAR(Table_NFI[[#This Row],[Distribution Date]])</f>
        <v>10/2018</v>
      </c>
      <c r="D364" s="198" t="s">
        <v>1458</v>
      </c>
      <c r="E364" s="198"/>
      <c r="F364" s="198" t="s">
        <v>506</v>
      </c>
      <c r="G364" s="197" t="s">
        <v>166</v>
      </c>
      <c r="H364" s="177" t="s">
        <v>760</v>
      </c>
      <c r="I364" s="183">
        <v>27</v>
      </c>
      <c r="J364" s="541"/>
      <c r="K364" s="541"/>
      <c r="L364" s="541"/>
      <c r="M364" s="541"/>
      <c r="N364" s="541"/>
      <c r="O364" s="541"/>
      <c r="P364" s="541"/>
      <c r="Q364" s="541"/>
      <c r="R364" s="541"/>
      <c r="S364" s="541"/>
      <c r="T364" s="541"/>
      <c r="U364" s="541"/>
      <c r="V364" s="541"/>
      <c r="W364" s="541"/>
      <c r="X364" s="541"/>
      <c r="Y364" s="541"/>
      <c r="Z364" s="541"/>
      <c r="AA364" s="541"/>
      <c r="AB364" s="541"/>
      <c r="AC364" s="542" t="e">
        <f>IF(NFI_Expiration=1,IF(#REF!&lt;VLOOKUP(L$5,NFI,5,0),1,0)*Table_NFI[[#This Row],[NFI Core Kit]],Table_NFI[NFI Core Kit])</f>
        <v>#REF!</v>
      </c>
      <c r="AD364" s="542" t="e">
        <f>IF(NFI_Expiration=1,IF(#REF!&lt;VLOOKUP(M$5,NFI,5,0),1,0)*Table_NFI[[#This Row],[Sanitary Kit]],Table_NFI[Sanitary Kit])</f>
        <v>#REF!</v>
      </c>
      <c r="AE364" s="542" t="e">
        <f>IF(NFI_Expiration=1,IF(#REF!&lt;VLOOKUP(N$5,NFI,5,0),1,0)*Table_NFI[[#This Row],[Mosquito net]],Table_NFI[Mosquito net])</f>
        <v>#REF!</v>
      </c>
      <c r="AF364" s="542" t="e">
        <f>IF(NFI_Expiration=1,IF(#REF!&lt;VLOOKUP(O$5,NFI,5,0),1,0)*Table_NFI[[#This Row],[Tarpaulin]],Table_NFI[[#This Row],[Tarpaulin]])</f>
        <v>#REF!</v>
      </c>
      <c r="AG364" s="542" t="e">
        <f>IF(NFI_Expiration=1,IF(#REF!&lt;VLOOKUP(P$5,NFI,5,0),1,0)*Table_NFI[[#This Row],[Blanket]],Table_NFI[[#This Row],[Blanket]])</f>
        <v>#REF!</v>
      </c>
      <c r="AH364" s="542" t="e">
        <f>IF(NFI_Expiration=1,IF(#REF!&lt;VLOOKUP(Q$5,NFI,5,0),1,0)*Table_NFI[[#This Row],[Kitchen Set]],Table_NFI[Kitchen Set])</f>
        <v>#REF!</v>
      </c>
      <c r="AI364" s="542" t="e">
        <f>IF(NFI_Expiration=1,IF(#REF!&lt;VLOOKUP(R$5,NFI,5,0),1,0)*Table_NFI[[#This Row],[Clothes Kit]],Table_NFI[Clothes Kit])</f>
        <v>#REF!</v>
      </c>
      <c r="AJ364" s="542" t="e">
        <f>IF(NFI_Expiration=1,IF(#REF!&lt;VLOOKUP(S$5,NFI,5,0),1,0)*Table_NFI[[#This Row],[Plastic Bucket]],Table_NFI[Plastic Bucket])</f>
        <v>#REF!</v>
      </c>
      <c r="AK364" s="542" t="e">
        <f>IF(NFI_Expiration=1,IF(#REF!&lt;VLOOKUP(T$5,NFI,5,0),1,0)*Table_NFI[[#This Row],[Plastic Mat]],Table_NFI[Plastic Mat])*IF(Table_NFI[[#This Row],[Distribution Date]]&gt;"2014-04-01",1,2.5)</f>
        <v>#REF!</v>
      </c>
      <c r="AL364" s="542" t="e">
        <f>IF(NFI_Expiration=1,IF(#REF!&lt;VLOOKUP(U$5,NFI,5,0),1,0)*Table_NFI[[#This Row],[Winter Clothes Adult]],Table_NFI[Winter Clothes Adult])</f>
        <v>#REF!</v>
      </c>
      <c r="AM364" s="542"/>
      <c r="AN364" s="542"/>
      <c r="AO364" s="542"/>
      <c r="AP364" s="542">
        <f>IF(Table_NFI[[#This Row],[Winter Clothes Adult]]+Table_NFI[[#This Row],[Winter Clothes Children]]+Table_NFI[[#This Row],[Winter Items Other]]+Table_NFI[[#This Row],[Winter Blanket]]&gt;0,1,0)</f>
        <v>0</v>
      </c>
      <c r="AQ364" s="542"/>
      <c r="AR364" s="542"/>
      <c r="AS364" s="542"/>
      <c r="AT364" s="205" t="str">
        <f>IFERROR(VLOOKUP(Table_NFI[[#This Row],[Location]],CL,2,0),"")</f>
        <v>MMR015CMP209</v>
      </c>
      <c r="AU364" s="183"/>
    </row>
    <row r="365" spans="2:47" x14ac:dyDescent="0.25">
      <c r="B365" s="540">
        <v>43391</v>
      </c>
      <c r="C365" s="540" t="str">
        <f>MONTH(Table_NFI[[#This Row],[Distribution Date]]) &amp; "/" &amp; YEAR(Table_NFI[[#This Row],[Distribution Date]])</f>
        <v>10/2018</v>
      </c>
      <c r="D365" s="198" t="s">
        <v>1458</v>
      </c>
      <c r="E365" s="198"/>
      <c r="F365" s="198" t="s">
        <v>506</v>
      </c>
      <c r="G365" s="197" t="s">
        <v>297</v>
      </c>
      <c r="H365" s="177" t="s">
        <v>1190</v>
      </c>
      <c r="I365" s="183"/>
      <c r="J365" s="541"/>
      <c r="K365" s="541"/>
      <c r="L365" s="541">
        <v>32</v>
      </c>
      <c r="M365" s="541"/>
      <c r="N365" s="541"/>
      <c r="O365" s="541"/>
      <c r="P365" s="541">
        <v>32</v>
      </c>
      <c r="Q365" s="541"/>
      <c r="R365" s="541"/>
      <c r="S365" s="541"/>
      <c r="T365" s="541"/>
      <c r="U365" s="541"/>
      <c r="V365" s="541"/>
      <c r="W365" s="541"/>
      <c r="X365" s="541"/>
      <c r="Y365" s="541"/>
      <c r="Z365" s="541"/>
      <c r="AA365" s="541"/>
      <c r="AB365" s="541"/>
      <c r="AC365" s="542" t="e">
        <f>IF(NFI_Expiration=1,IF(#REF!&lt;VLOOKUP(L$5,NFI,5,0),1,0)*Table_NFI[[#This Row],[NFI Core Kit]],Table_NFI[NFI Core Kit])</f>
        <v>#REF!</v>
      </c>
      <c r="AD365" s="542" t="e">
        <f>IF(NFI_Expiration=1,IF(#REF!&lt;VLOOKUP(M$5,NFI,5,0),1,0)*Table_NFI[[#This Row],[Sanitary Kit]],Table_NFI[Sanitary Kit])</f>
        <v>#REF!</v>
      </c>
      <c r="AE365" s="542" t="e">
        <f>IF(NFI_Expiration=1,IF(#REF!&lt;VLOOKUP(N$5,NFI,5,0),1,0)*Table_NFI[[#This Row],[Mosquito net]],Table_NFI[Mosquito net])</f>
        <v>#REF!</v>
      </c>
      <c r="AF365" s="542" t="e">
        <f>IF(NFI_Expiration=1,IF(#REF!&lt;VLOOKUP(O$5,NFI,5,0),1,0)*Table_NFI[[#This Row],[Tarpaulin]],Table_NFI[[#This Row],[Tarpaulin]])</f>
        <v>#REF!</v>
      </c>
      <c r="AG365" s="542" t="e">
        <f>IF(NFI_Expiration=1,IF(#REF!&lt;VLOOKUP(P$5,NFI,5,0),1,0)*Table_NFI[[#This Row],[Blanket]],Table_NFI[[#This Row],[Blanket]])</f>
        <v>#REF!</v>
      </c>
      <c r="AH365" s="542" t="e">
        <f>IF(NFI_Expiration=1,IF(#REF!&lt;VLOOKUP(Q$5,NFI,5,0),1,0)*Table_NFI[[#This Row],[Kitchen Set]],Table_NFI[Kitchen Set])</f>
        <v>#REF!</v>
      </c>
      <c r="AI365" s="542" t="e">
        <f>IF(NFI_Expiration=1,IF(#REF!&lt;VLOOKUP(R$5,NFI,5,0),1,0)*Table_NFI[[#This Row],[Clothes Kit]],Table_NFI[Clothes Kit])</f>
        <v>#REF!</v>
      </c>
      <c r="AJ365" s="542" t="e">
        <f>IF(NFI_Expiration=1,IF(#REF!&lt;VLOOKUP(S$5,NFI,5,0),1,0)*Table_NFI[[#This Row],[Plastic Bucket]],Table_NFI[Plastic Bucket])</f>
        <v>#REF!</v>
      </c>
      <c r="AK365" s="542" t="e">
        <f>IF(NFI_Expiration=1,IF(#REF!&lt;VLOOKUP(T$5,NFI,5,0),1,0)*Table_NFI[[#This Row],[Plastic Mat]],Table_NFI[Plastic Mat])*IF(Table_NFI[[#This Row],[Distribution Date]]&gt;"2014-04-01",1,2.5)</f>
        <v>#REF!</v>
      </c>
      <c r="AL365" s="542" t="e">
        <f>IF(NFI_Expiration=1,IF(#REF!&lt;VLOOKUP(U$5,NFI,5,0),1,0)*Table_NFI[[#This Row],[Winter Clothes Adult]],Table_NFI[Winter Clothes Adult])</f>
        <v>#REF!</v>
      </c>
      <c r="AM365" s="542"/>
      <c r="AN365" s="542"/>
      <c r="AO365" s="542"/>
      <c r="AP365" s="542">
        <f>IF(Table_NFI[[#This Row],[Winter Clothes Adult]]+Table_NFI[[#This Row],[Winter Clothes Children]]+Table_NFI[[#This Row],[Winter Items Other]]+Table_NFI[[#This Row],[Winter Blanket]]&gt;0,1,0)</f>
        <v>0</v>
      </c>
      <c r="AQ365" s="542"/>
      <c r="AR365" s="542"/>
      <c r="AS365" s="542"/>
      <c r="AT365" s="205" t="str">
        <f>IFERROR(VLOOKUP(Table_NFI[[#This Row],[Location]],CL,2,0),"")</f>
        <v>MMR015CMP232</v>
      </c>
      <c r="AU365" s="183"/>
    </row>
    <row r="366" spans="2:47" x14ac:dyDescent="0.25">
      <c r="B366" s="540">
        <v>43391</v>
      </c>
      <c r="C366" s="540" t="str">
        <f>MONTH(Table_NFI[[#This Row],[Distribution Date]]) &amp; "/" &amp; YEAR(Table_NFI[[#This Row],[Distribution Date]])</f>
        <v>10/2018</v>
      </c>
      <c r="D366" s="198" t="s">
        <v>1458</v>
      </c>
      <c r="E366" s="198"/>
      <c r="F366" s="198" t="s">
        <v>506</v>
      </c>
      <c r="G366" s="197" t="s">
        <v>288</v>
      </c>
      <c r="H366" s="198"/>
      <c r="I366" s="183"/>
      <c r="J366" s="541"/>
      <c r="K366" s="541"/>
      <c r="L366" s="541"/>
      <c r="M366" s="541"/>
      <c r="N366" s="541"/>
      <c r="O366" s="541"/>
      <c r="P366" s="541"/>
      <c r="Q366" s="541"/>
      <c r="R366" s="541"/>
      <c r="S366" s="541"/>
      <c r="T366" s="541"/>
      <c r="U366" s="541"/>
      <c r="V366" s="541"/>
      <c r="W366" s="541"/>
      <c r="X366" s="541"/>
      <c r="Y366" s="541"/>
      <c r="Z366" s="541"/>
      <c r="AA366" s="541"/>
      <c r="AB366" s="541"/>
      <c r="AC366" s="542" t="e">
        <f>IF(NFI_Expiration=1,IF(#REF!&lt;VLOOKUP(L$5,NFI,5,0),1,0)*Table_NFI[[#This Row],[NFI Core Kit]],Table_NFI[NFI Core Kit])</f>
        <v>#REF!</v>
      </c>
      <c r="AD366" s="542" t="e">
        <f>IF(NFI_Expiration=1,IF(#REF!&lt;VLOOKUP(M$5,NFI,5,0),1,0)*Table_NFI[[#This Row],[Sanitary Kit]],Table_NFI[Sanitary Kit])</f>
        <v>#REF!</v>
      </c>
      <c r="AE366" s="542" t="e">
        <f>IF(NFI_Expiration=1,IF(#REF!&lt;VLOOKUP(N$5,NFI,5,0),1,0)*Table_NFI[[#This Row],[Mosquito net]],Table_NFI[Mosquito net])</f>
        <v>#REF!</v>
      </c>
      <c r="AF366" s="542" t="e">
        <f>IF(NFI_Expiration=1,IF(#REF!&lt;VLOOKUP(O$5,NFI,5,0),1,0)*Table_NFI[[#This Row],[Tarpaulin]],Table_NFI[[#This Row],[Tarpaulin]])</f>
        <v>#REF!</v>
      </c>
      <c r="AG366" s="542" t="e">
        <f>IF(NFI_Expiration=1,IF(#REF!&lt;VLOOKUP(P$5,NFI,5,0),1,0)*Table_NFI[[#This Row],[Blanket]],Table_NFI[[#This Row],[Blanket]])</f>
        <v>#REF!</v>
      </c>
      <c r="AH366" s="542" t="e">
        <f>IF(NFI_Expiration=1,IF(#REF!&lt;VLOOKUP(Q$5,NFI,5,0),1,0)*Table_NFI[[#This Row],[Kitchen Set]],Table_NFI[Kitchen Set])</f>
        <v>#REF!</v>
      </c>
      <c r="AI366" s="542" t="e">
        <f>IF(NFI_Expiration=1,IF(#REF!&lt;VLOOKUP(R$5,NFI,5,0),1,0)*Table_NFI[[#This Row],[Clothes Kit]],Table_NFI[Clothes Kit])</f>
        <v>#REF!</v>
      </c>
      <c r="AJ366" s="542" t="e">
        <f>IF(NFI_Expiration=1,IF(#REF!&lt;VLOOKUP(S$5,NFI,5,0),1,0)*Table_NFI[[#This Row],[Plastic Bucket]],Table_NFI[Plastic Bucket])</f>
        <v>#REF!</v>
      </c>
      <c r="AK366" s="542" t="e">
        <f>IF(NFI_Expiration=1,IF(#REF!&lt;VLOOKUP(T$5,NFI,5,0),1,0)*Table_NFI[[#This Row],[Plastic Mat]],Table_NFI[Plastic Mat])*IF(Table_NFI[[#This Row],[Distribution Date]]&gt;"2014-04-01",1,2.5)</f>
        <v>#REF!</v>
      </c>
      <c r="AL366" s="542" t="e">
        <f>IF(NFI_Expiration=1,IF(#REF!&lt;VLOOKUP(U$5,NFI,5,0),1,0)*Table_NFI[[#This Row],[Winter Clothes Adult]],Table_NFI[Winter Clothes Adult])</f>
        <v>#REF!</v>
      </c>
      <c r="AM366" s="542"/>
      <c r="AN366" s="542"/>
      <c r="AO366" s="542"/>
      <c r="AP366" s="542">
        <f>IF(Table_NFI[[#This Row],[Winter Clothes Adult]]+Table_NFI[[#This Row],[Winter Clothes Children]]+Table_NFI[[#This Row],[Winter Items Other]]+Table_NFI[[#This Row],[Winter Blanket]]&gt;0,1,0)</f>
        <v>0</v>
      </c>
      <c r="AQ366" s="542"/>
      <c r="AR366" s="542"/>
      <c r="AS366" s="542"/>
      <c r="AT366" s="205" t="str">
        <f>IFERROR(VLOOKUP(Table_NFI[[#This Row],[Location]],CL,2,0),"")</f>
        <v/>
      </c>
      <c r="AU366" s="183"/>
    </row>
  </sheetData>
  <mergeCells count="11">
    <mergeCell ref="B4:E4"/>
    <mergeCell ref="B2:L2"/>
    <mergeCell ref="B3:L3"/>
    <mergeCell ref="M2:U2"/>
    <mergeCell ref="V2:AD2"/>
    <mergeCell ref="AE2:AM2"/>
    <mergeCell ref="AN2:AU2"/>
    <mergeCell ref="M3:U3"/>
    <mergeCell ref="V3:AD3"/>
    <mergeCell ref="AE3:AM3"/>
    <mergeCell ref="AN3:AU3"/>
  </mergeCells>
  <conditionalFormatting sqref="AT53:AT114">
    <cfRule type="containsText" dxfId="406" priority="68" operator="containsText" text="close">
      <formula>NOT(ISERROR(SEARCH("close",AT53)))</formula>
    </cfRule>
    <cfRule type="containsText" dxfId="405" priority="69" operator="containsText" text="open">
      <formula>NOT(ISERROR(SEARCH("open",AT53)))</formula>
    </cfRule>
  </conditionalFormatting>
  <dataValidations count="4">
    <dataValidation type="list" allowBlank="1" showInputMessage="1" showErrorMessage="1" sqref="F76 F41 F90:F98 F44:F53 F78:F87 F64:F66 F57 F62 F68 F102 F39 F108:F109 F112">
      <formula1>State</formula1>
    </dataValidation>
    <dataValidation type="list" allowBlank="1" showInputMessage="1" showErrorMessage="1" sqref="H39:I114 I37:I38 H32:H37 H19:H20 H119:H155 H170 H115:H117 H157:H167 H177:H178 H6:H8 H181:H224 H226:H244 H247:H311">
      <formula1>OFFSET(TCL_T1,MATCH(G6,TCL_T,0)-1,1,COUNTIF(TCL_T,G6),1)</formula1>
    </dataValidation>
    <dataValidation type="list" showInputMessage="1" showErrorMessage="1" sqref="G76 G41 G44:G53 G68 G78:G87 G39 G57 G62 G64:G66 G90:G95 G97:G167 G176:G210 G6:G8 G212:G356 G358:G366">
      <formula1>INDIRECT(F6)</formula1>
    </dataValidation>
    <dataValidation type="list" allowBlank="1" showInputMessage="1" showErrorMessage="1" sqref="H179:H180">
      <formula1>OFFSET(TCL_T1,MATCH(#REF!,TCL_T,0)-1,1,COUNTIF(TCL_T,#REF!),1)</formula1>
    </dataValidation>
  </dataValidations>
  <printOptions gridLines="1"/>
  <pageMargins left="0.25" right="0.25" top="0.75" bottom="0.75" header="0.3" footer="0.3"/>
  <pageSetup paperSize="9" scale="10" orientation="landscape"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OFFSET([1]data!#REF!,MATCH(G38,[1]data!#REF!,0)-1,0,COUNTIF([1]data!#REF!,G38),1)</xm:f>
          </x14:formula1>
          <xm:sqref>H38</xm:sqref>
        </x14:dataValidation>
        <x14:dataValidation type="list" allowBlank="1" showInputMessage="1" showErrorMessage="1">
          <x14:formula1>
            <xm:f>[2]data!#REF!</xm:f>
          </x14:formula1>
          <xm:sqref>E32</xm:sqref>
        </x14:dataValidation>
        <x14:dataValidation type="list" allowBlank="1" showInputMessage="1" showErrorMessage="1">
          <x14:formula1>
            <xm:f>OFFSET([3]data!#REF!,MATCH(G9,[3]data!#REF!,0)-1,0,COUNTIF([3]data!#REF!,G9),1)</xm:f>
          </x14:formula1>
          <xm:sqref>H12:H18 H9:H10</xm:sqref>
        </x14:dataValidation>
        <x14:dataValidation type="list" allowBlank="1" showInputMessage="1" showErrorMessage="1">
          <x14:formula1>
            <xm:f>OFFSET([3]data!#REF!,MATCH(G11,[3]data!#REF!,0)-1,0,COUNTIF([3]data!#REF!,G11),1)</xm:f>
          </x14:formula1>
          <xm:sqref>H11</xm:sqref>
        </x14:dataValidation>
        <x14:dataValidation type="list" allowBlank="1" showInputMessage="1" showErrorMessage="1">
          <x14:formula1>
            <xm:f>OFFSET([4]data!#REF!,MATCH(G169,[4]data!#REF!,0)-1,0,COUNTIF([4]data!#REF!,G169),1)</xm:f>
          </x14:formula1>
          <xm:sqref>H169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38"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45" customWidth="1"/>
    <col min="14" max="14" width="11.140625" customWidth="1"/>
    <col min="17" max="17" width="14.140625" customWidth="1"/>
    <col min="18" max="18" width="21.7109375" customWidth="1"/>
    <col min="19" max="19" width="21.42578125" customWidth="1"/>
    <col min="20" max="20" width="21.5703125" customWidth="1"/>
    <col min="21" max="21" width="6" customWidth="1"/>
    <col min="22" max="22" width="21.140625" bestFit="1" customWidth="1"/>
    <col min="23" max="23" width="6" customWidth="1"/>
    <col min="24" max="24" width="26.5703125" bestFit="1" customWidth="1"/>
    <col min="25" max="26" width="26.28515625" bestFit="1" customWidth="1"/>
  </cols>
  <sheetData>
    <row r="1" spans="1:20" s="40" customFormat="1" ht="30" x14ac:dyDescent="0.25">
      <c r="A1" s="119" t="s">
        <v>511</v>
      </c>
      <c r="B1" s="120" t="s">
        <v>925</v>
      </c>
      <c r="C1" s="120" t="s">
        <v>507</v>
      </c>
      <c r="D1" s="120" t="s">
        <v>0</v>
      </c>
      <c r="E1" s="120" t="s">
        <v>2</v>
      </c>
      <c r="F1" s="120" t="s">
        <v>926</v>
      </c>
      <c r="G1" s="120" t="s">
        <v>861</v>
      </c>
      <c r="H1" s="120" t="s">
        <v>862</v>
      </c>
      <c r="I1" s="120" t="s">
        <v>863</v>
      </c>
      <c r="J1" s="120" t="s">
        <v>927</v>
      </c>
      <c r="K1" s="120" t="s">
        <v>929</v>
      </c>
      <c r="L1" s="120" t="s">
        <v>928</v>
      </c>
      <c r="M1" s="121" t="s">
        <v>936</v>
      </c>
      <c r="N1" s="122" t="s">
        <v>933</v>
      </c>
      <c r="Q1" s="40">
        <f>SUM(N:N)</f>
        <v>0</v>
      </c>
      <c r="R1" s="40">
        <f>COUNTA(A:A)-1</f>
        <v>167</v>
      </c>
    </row>
    <row r="2" spans="1:20" x14ac:dyDescent="0.25">
      <c r="A2" s="102" t="s">
        <v>30</v>
      </c>
      <c r="B2" s="7" t="e">
        <f ca="1">OFFSET(#REF!,MATCH(Table10[[#This Row],[Pcode]],CampList[CP_Pcode],0)-1,0,1,1)</f>
        <v>#REF!</v>
      </c>
      <c r="C2" s="7" t="str">
        <f ca="1">OFFSET(CampList[Camp],MATCH(Table10[[#This Row],[Pcode]],CampList[CP_Pcode],0)-1,0,1,1)</f>
        <v>Chipwi KBC camp</v>
      </c>
      <c r="D2" s="7" t="str">
        <f ca="1">OFFSET(CampList[Township],MATCH(Table10[[#This Row],[Pcode]],CampList[CP_Pcode],0)-1,0,1,1)</f>
        <v>Chipwi</v>
      </c>
      <c r="E2" s="7">
        <f ca="1">OFFSET(CampList[HH],MATCH(Table10[[#This Row],[Pcode]],CampList[CP_Pcode],0)-1,0,1,1)</f>
        <v>161</v>
      </c>
      <c r="F2" s="7">
        <f ca="1">OFFSET(CampList[Total],MATCH(Table10[[#This Row],[Pcode]],CampList[CP_Pcode],0)-1,0,1,1)</f>
        <v>804</v>
      </c>
      <c r="G2" s="106">
        <f>SUMIF('NFI Distributions'!AU$53:AU$1048576,Table10[[#This Row],[Pcode]],'NFI Distributions'!AM$53:AM$1048576)</f>
        <v>0</v>
      </c>
      <c r="H2" s="106">
        <f>SUMIF('NFI Distributions'!AU$53:AU$1048576,Table10[[#This Row],[Pcode]],'NFI Distributions'!AN$53:AN$1048576)</f>
        <v>0</v>
      </c>
      <c r="I2" s="106">
        <f>SUMIF('NFI Distributions'!AU$53:AU$1048576,Table10[[#This Row],[Pcode]],'NFI Distributions'!AO$53:AO$1048576)</f>
        <v>0</v>
      </c>
      <c r="J2" s="106">
        <f ca="1">MAX(Table10[[#This Row],[HH]]*VLOOKUP("Winter Clothes Adult",NFI,6)-Table10[[#This Row],[Winter Clothes Adult ]],0)</f>
        <v>322</v>
      </c>
      <c r="K2" s="106">
        <f ca="1">MAX(Table10[[#This Row],[HH]]*VLOOKUP("Winter Clothes Children ",NFI,6)-Table10[[#This Row],[Winter Clothes Children ]],0)</f>
        <v>161</v>
      </c>
      <c r="L2" s="106">
        <f ca="1">MAX(Table10[[#This Row],[HH]]*VLOOKUP("Winter Items Other ",NFI,6)-Table10[[#This Row],[Winter Items Other ]],0)</f>
        <v>161</v>
      </c>
      <c r="M2" s="114" t="str">
        <f>IF(OR(Table10[[#This Row],[Winter Clothes Adult ]]&lt;&gt;0,Table10[[#This Row],[Winter Clothes Children ]]&lt;&gt;0,Table10[[#This Row],[Winter Items Other ]]&lt;&gt;0),"No","")</f>
        <v/>
      </c>
      <c r="N2" s="115">
        <f>COUNTIF(A:A,Table10[[#This Row],[Pcode]])-1</f>
        <v>0</v>
      </c>
    </row>
    <row r="3" spans="1:20" x14ac:dyDescent="0.25">
      <c r="A3" s="102" t="s">
        <v>31</v>
      </c>
      <c r="B3" s="7" t="e">
        <f ca="1">OFFSET(#REF!,MATCH(Table10[[#This Row],[Pcode]],CampList[CP_Pcode],0)-1,0,1,1)</f>
        <v>#REF!</v>
      </c>
      <c r="C3" s="7" t="str">
        <f ca="1">OFFSET(CampList[Camp],MATCH(Table10[[#This Row],[Pcode]],CampList[CP_Pcode],0)-1,0,1,1)</f>
        <v>Gant Gwin</v>
      </c>
      <c r="D3" s="7" t="str">
        <f ca="1">OFFSET(CampList[Township],MATCH(Table10[[#This Row],[Pcode]],CampList[CP_Pcode],0)-1,0,1,1)</f>
        <v>Chipwi</v>
      </c>
      <c r="E3" s="7">
        <f ca="1">OFFSET(CampList[HH],MATCH(Table10[[#This Row],[Pcode]],CampList[CP_Pcode],0)-1,0,1,1)</f>
        <v>0</v>
      </c>
      <c r="F3" s="7">
        <f ca="1">OFFSET(CampList[Total],MATCH(Table10[[#This Row],[Pcode]],CampList[CP_Pcode],0)-1,0,1,1)</f>
        <v>0</v>
      </c>
      <c r="G3" s="106">
        <f>SUMIF('NFI Distributions'!AU$53:AU$1048576,Table10[[#This Row],[Pcode]],'NFI Distributions'!AM$53:AM$1048576)</f>
        <v>0</v>
      </c>
      <c r="H3" s="106">
        <f>SUMIF('NFI Distributions'!AU$53:AU$1048576,Table10[[#This Row],[Pcode]],'NFI Distributions'!AN$53:AN$1048576)</f>
        <v>0</v>
      </c>
      <c r="I3" s="106">
        <f>SUMIF('NFI Distributions'!AU$53:AU$1048576,Table10[[#This Row],[Pcode]],'NFI Distributions'!AO$53:AO$1048576)</f>
        <v>0</v>
      </c>
      <c r="J3" s="106">
        <f ca="1">MAX(Table10[[#This Row],[HH]]*VLOOKUP("Winter Clothes Adult",NFI,6)-Table10[[#This Row],[Winter Clothes Adult ]],0)</f>
        <v>0</v>
      </c>
      <c r="K3" s="106">
        <f ca="1">MAX(Table10[[#This Row],[HH]]*VLOOKUP("Winter Clothes Children ",NFI,6)-Table10[[#This Row],[Winter Clothes Children ]],0)</f>
        <v>0</v>
      </c>
      <c r="L3" s="106">
        <f ca="1">MAX(Table10[[#This Row],[HH]]*VLOOKUP("Winter Items Other ",NFI,6)-Table10[[#This Row],[Winter Items Other ]],0)</f>
        <v>0</v>
      </c>
      <c r="M3" s="114" t="str">
        <f>IF(OR(Table10[[#This Row],[Winter Clothes Adult ]]&lt;&gt;0,Table10[[#This Row],[Winter Clothes Children ]]&lt;&gt;0,Table10[[#This Row],[Winter Items Other ]]&lt;&gt;0),"No","")</f>
        <v/>
      </c>
      <c r="N3" s="115">
        <f>COUNTIF(A:A,Table10[[#This Row],[Pcode]])-1</f>
        <v>0</v>
      </c>
    </row>
    <row r="4" spans="1:20" x14ac:dyDescent="0.25">
      <c r="A4" s="102" t="s">
        <v>29</v>
      </c>
      <c r="B4" s="7" t="e">
        <f ca="1">OFFSET(#REF!,MATCH(Table10[[#This Row],[Pcode]],CampList[CP_Pcode],0)-1,0,1,1)</f>
        <v>#REF!</v>
      </c>
      <c r="C4" s="7" t="str">
        <f ca="1">OFFSET(CampList[Camp],MATCH(Table10[[#This Row],[Pcode]],CampList[CP_Pcode],0)-1,0,1,1)</f>
        <v>Hpare Hkyer - BP6</v>
      </c>
      <c r="D4" s="7" t="str">
        <f ca="1">OFFSET(CampList[Township],MATCH(Table10[[#This Row],[Pcode]],CampList[CP_Pcode],0)-1,0,1,1)</f>
        <v>Chipwi</v>
      </c>
      <c r="E4" s="7">
        <f ca="1">OFFSET(CampList[HH],MATCH(Table10[[#This Row],[Pcode]],CampList[CP_Pcode],0)-1,0,1,1)</f>
        <v>163</v>
      </c>
      <c r="F4" s="7">
        <f ca="1">OFFSET(CampList[Total],MATCH(Table10[[#This Row],[Pcode]],CampList[CP_Pcode],0)-1,0,1,1)</f>
        <v>962</v>
      </c>
      <c r="G4" s="106">
        <f>SUMIF('NFI Distributions'!AU$53:AU$1048576,Table10[[#This Row],[Pcode]],'NFI Distributions'!AM$53:AM$1048576)</f>
        <v>0</v>
      </c>
      <c r="H4" s="106">
        <f>SUMIF('NFI Distributions'!AU$53:AU$1048576,Table10[[#This Row],[Pcode]],'NFI Distributions'!AN$53:AN$1048576)</f>
        <v>0</v>
      </c>
      <c r="I4" s="106">
        <f>SUMIF('NFI Distributions'!AU$53:AU$1048576,Table10[[#This Row],[Pcode]],'NFI Distributions'!AO$53:AO$1048576)</f>
        <v>0</v>
      </c>
      <c r="J4" s="106">
        <f ca="1">MAX(Table10[[#This Row],[HH]]*VLOOKUP("Winter Clothes Adult",NFI,6)-Table10[[#This Row],[Winter Clothes Adult ]],0)</f>
        <v>326</v>
      </c>
      <c r="K4" s="106">
        <f ca="1">MAX(Table10[[#This Row],[HH]]*VLOOKUP("Winter Clothes Children ",NFI,6)-Table10[[#This Row],[Winter Clothes Children ]],0)</f>
        <v>163</v>
      </c>
      <c r="L4" s="106">
        <f ca="1">MAX(Table10[[#This Row],[HH]]*VLOOKUP("Winter Items Other ",NFI,6)-Table10[[#This Row],[Winter Items Other ]],0)</f>
        <v>163</v>
      </c>
      <c r="M4" s="114" t="str">
        <f>IF(OR(Table10[[#This Row],[Winter Clothes Adult ]]&lt;&gt;0,Table10[[#This Row],[Winter Clothes Children ]]&lt;&gt;0,Table10[[#This Row],[Winter Items Other ]]&lt;&gt;0),"No","")</f>
        <v/>
      </c>
      <c r="N4" s="115">
        <f>COUNTIF(A:A,Table10[[#This Row],[Pcode]])-1</f>
        <v>0</v>
      </c>
    </row>
    <row r="5" spans="1:20" x14ac:dyDescent="0.25">
      <c r="A5" s="102" t="s">
        <v>33</v>
      </c>
      <c r="B5" s="7" t="e">
        <f ca="1">OFFSET(#REF!,MATCH(Table10[[#This Row],[Pcode]],CampList[CP_Pcode],0)-1,0,1,1)</f>
        <v>#REF!</v>
      </c>
      <c r="C5" s="7" t="str">
        <f ca="1">OFFSET(CampList[Camp],MATCH(Table10[[#This Row],[Pcode]],CampList[CP_Pcode],0)-1,0,1,1)</f>
        <v xml:space="preserve">Lan Jaw </v>
      </c>
      <c r="D5" s="7" t="str">
        <f ca="1">OFFSET(CampList[Township],MATCH(Table10[[#This Row],[Pcode]],CampList[CP_Pcode],0)-1,0,1,1)</f>
        <v>Chipwi</v>
      </c>
      <c r="E5" s="7">
        <f ca="1">OFFSET(CampList[HH],MATCH(Table10[[#This Row],[Pcode]],CampList[CP_Pcode],0)-1,0,1,1)</f>
        <v>0</v>
      </c>
      <c r="F5" s="7">
        <f ca="1">OFFSET(CampList[Total],MATCH(Table10[[#This Row],[Pcode]],CampList[CP_Pcode],0)-1,0,1,1)</f>
        <v>0</v>
      </c>
      <c r="G5" s="106">
        <f>SUMIF('NFI Distributions'!AU$53:AU$1048576,Table10[[#This Row],[Pcode]],'NFI Distributions'!AM$53:AM$1048576)</f>
        <v>0</v>
      </c>
      <c r="H5" s="106">
        <f>SUMIF('NFI Distributions'!AU$53:AU$1048576,Table10[[#This Row],[Pcode]],'NFI Distributions'!AN$53:AN$1048576)</f>
        <v>0</v>
      </c>
      <c r="I5" s="106">
        <f>SUMIF('NFI Distributions'!AU$53:AU$1048576,Table10[[#This Row],[Pcode]],'NFI Distributions'!AO$53:AO$1048576)</f>
        <v>0</v>
      </c>
      <c r="J5" s="106">
        <f ca="1">MAX(Table10[[#This Row],[HH]]*VLOOKUP("Winter Clothes Adult",NFI,6)-Table10[[#This Row],[Winter Clothes Adult ]],0)</f>
        <v>0</v>
      </c>
      <c r="K5" s="106">
        <f ca="1">MAX(Table10[[#This Row],[HH]]*VLOOKUP("Winter Clothes Children ",NFI,6)-Table10[[#This Row],[Winter Clothes Children ]],0)</f>
        <v>0</v>
      </c>
      <c r="L5" s="106">
        <f ca="1">MAX(Table10[[#This Row],[HH]]*VLOOKUP("Winter Items Other ",NFI,6)-Table10[[#This Row],[Winter Items Other ]],0)</f>
        <v>0</v>
      </c>
      <c r="M5" s="114" t="str">
        <f>IF(OR(Table10[[#This Row],[Winter Clothes Adult ]]&lt;&gt;0,Table10[[#This Row],[Winter Clothes Children ]]&lt;&gt;0,Table10[[#This Row],[Winter Items Other ]]&lt;&gt;0),"No","")</f>
        <v/>
      </c>
      <c r="N5" s="115">
        <f>COUNTIF(A:A,Table10[[#This Row],[Pcode]])-1</f>
        <v>0</v>
      </c>
    </row>
    <row r="6" spans="1:20" x14ac:dyDescent="0.25">
      <c r="A6" s="102" t="s">
        <v>376</v>
      </c>
      <c r="B6" s="7" t="e">
        <f ca="1">OFFSET(#REF!,MATCH(Table10[[#This Row],[Pcode]],CampList[CP_Pcode],0)-1,0,1,1)</f>
        <v>#REF!</v>
      </c>
      <c r="C6" s="7" t="str">
        <f ca="1">OFFSET(CampList[Camp],MATCH(Table10[[#This Row],[Pcode]],CampList[CP_Pcode],0)-1,0,1,1)</f>
        <v>Lhaovao Baptist Church (LBC)</v>
      </c>
      <c r="D6" s="7" t="str">
        <f ca="1">OFFSET(CampList[Township],MATCH(Table10[[#This Row],[Pcode]],CampList[CP_Pcode],0)-1,0,1,1)</f>
        <v>Chipwi</v>
      </c>
      <c r="E6" s="7">
        <f ca="1">OFFSET(CampList[HH],MATCH(Table10[[#This Row],[Pcode]],CampList[CP_Pcode],0)-1,0,1,1)</f>
        <v>205</v>
      </c>
      <c r="F6" s="7">
        <f ca="1">OFFSET(CampList[Total],MATCH(Table10[[#This Row],[Pcode]],CampList[CP_Pcode],0)-1,0,1,1)</f>
        <v>847</v>
      </c>
      <c r="G6" s="106">
        <f>SUMIF('NFI Distributions'!AU$53:AU$1048576,Table10[[#This Row],[Pcode]],'NFI Distributions'!AM$53:AM$1048576)</f>
        <v>0</v>
      </c>
      <c r="H6" s="106">
        <f>SUMIF('NFI Distributions'!AU$53:AU$1048576,Table10[[#This Row],[Pcode]],'NFI Distributions'!AN$53:AN$1048576)</f>
        <v>0</v>
      </c>
      <c r="I6" s="106">
        <f>SUMIF('NFI Distributions'!AU$53:AU$1048576,Table10[[#This Row],[Pcode]],'NFI Distributions'!AO$53:AO$1048576)</f>
        <v>0</v>
      </c>
      <c r="J6" s="106">
        <f ca="1">MAX(Table10[[#This Row],[HH]]*VLOOKUP("Winter Clothes Adult",NFI,6)-Table10[[#This Row],[Winter Clothes Adult ]],0)</f>
        <v>410</v>
      </c>
      <c r="K6" s="106">
        <f ca="1">MAX(Table10[[#This Row],[HH]]*VLOOKUP("Winter Clothes Children ",NFI,6)-Table10[[#This Row],[Winter Clothes Children ]],0)</f>
        <v>205</v>
      </c>
      <c r="L6" s="106">
        <f ca="1">MAX(Table10[[#This Row],[HH]]*VLOOKUP("Winter Items Other ",NFI,6)-Table10[[#This Row],[Winter Items Other ]],0)</f>
        <v>205</v>
      </c>
      <c r="M6" s="114" t="str">
        <f>IF(OR(Table10[[#This Row],[Winter Clothes Adult ]]&lt;&gt;0,Table10[[#This Row],[Winter Clothes Children ]]&lt;&gt;0,Table10[[#This Row],[Winter Items Other ]]&lt;&gt;0),"No","")</f>
        <v/>
      </c>
      <c r="N6" s="115">
        <f>COUNTIF(A:A,Table10[[#This Row],[Pcode]])-1</f>
        <v>0</v>
      </c>
    </row>
    <row r="7" spans="1:20" x14ac:dyDescent="0.25">
      <c r="A7" s="102" t="s">
        <v>875</v>
      </c>
      <c r="B7" s="7" t="e">
        <f ca="1">OFFSET(#REF!,MATCH(Table10[[#This Row],[Pcode]],CampList[CP_Pcode],0)-1,0,1,1)</f>
        <v>#REF!</v>
      </c>
      <c r="C7" s="7" t="str">
        <f ca="1">OFFSET(CampList[Camp],MATCH(Table10[[#This Row],[Pcode]],CampList[CP_Pcode],0)-1,0,1,1)</f>
        <v>Saw Zam</v>
      </c>
      <c r="D7" s="7" t="str">
        <f ca="1">OFFSET(CampList[Township],MATCH(Table10[[#This Row],[Pcode]],CampList[CP_Pcode],0)-1,0,1,1)</f>
        <v>Chipwi</v>
      </c>
      <c r="E7" s="7">
        <f ca="1">OFFSET(CampList[HH],MATCH(Table10[[#This Row],[Pcode]],CampList[CP_Pcode],0)-1,0,1,1)</f>
        <v>28</v>
      </c>
      <c r="F7" s="7">
        <f ca="1">OFFSET(CampList[Total],MATCH(Table10[[#This Row],[Pcode]],CampList[CP_Pcode],0)-1,0,1,1)</f>
        <v>165</v>
      </c>
      <c r="G7" s="106">
        <f>SUMIF('NFI Distributions'!AU$53:AU$1048576,Table10[[#This Row],[Pcode]],'NFI Distributions'!AM$53:AM$1048576)</f>
        <v>0</v>
      </c>
      <c r="H7" s="106">
        <f>SUMIF('NFI Distributions'!AU$53:AU$1048576,Table10[[#This Row],[Pcode]],'NFI Distributions'!AN$53:AN$1048576)</f>
        <v>0</v>
      </c>
      <c r="I7" s="106">
        <f>SUMIF('NFI Distributions'!AU$53:AU$1048576,Table10[[#This Row],[Pcode]],'NFI Distributions'!AO$53:AO$1048576)</f>
        <v>0</v>
      </c>
      <c r="J7" s="106">
        <f ca="1">MAX(Table10[[#This Row],[HH]]*VLOOKUP("Winter Clothes Adult",NFI,6)-Table10[[#This Row],[Winter Clothes Adult ]],0)</f>
        <v>56</v>
      </c>
      <c r="K7" s="106">
        <f ca="1">MAX(Table10[[#This Row],[HH]]*VLOOKUP("Winter Clothes Children ",NFI,6)-Table10[[#This Row],[Winter Clothes Children ]],0)</f>
        <v>28</v>
      </c>
      <c r="L7" s="106">
        <f ca="1">MAX(Table10[[#This Row],[HH]]*VLOOKUP("Winter Items Other ",NFI,6)-Table10[[#This Row],[Winter Items Other ]],0)</f>
        <v>28</v>
      </c>
      <c r="M7" s="114" t="str">
        <f>IF(OR(Table10[[#This Row],[Winter Clothes Adult ]]&lt;&gt;0,Table10[[#This Row],[Winter Clothes Children ]]&lt;&gt;0,Table10[[#This Row],[Winter Items Other ]]&lt;&gt;0),"No","")</f>
        <v/>
      </c>
      <c r="N7" s="115">
        <f>COUNTIF(A:A,Table10[[#This Row],[Pcode]])-1</f>
        <v>0</v>
      </c>
    </row>
    <row r="8" spans="1:20" x14ac:dyDescent="0.25">
      <c r="A8" s="102" t="s">
        <v>789</v>
      </c>
      <c r="B8" s="7" t="e">
        <f ca="1">OFFSET(#REF!,MATCH(Table10[[#This Row],[Pcode]],CampList[CP_Pcode],0)-1,0,1,1)</f>
        <v>#REF!</v>
      </c>
      <c r="C8" s="7" t="str">
        <f ca="1">OFFSET(CampList[Camp],MATCH(Table10[[#This Row],[Pcode]],CampList[CP_Pcode],0)-1,0,1,1)</f>
        <v>Pan Wa</v>
      </c>
      <c r="D8" s="7" t="str">
        <f ca="1">OFFSET(CampList[Township],MATCH(Table10[[#This Row],[Pcode]],CampList[CP_Pcode],0)-1,0,1,1)</f>
        <v>Chipwi</v>
      </c>
      <c r="E8" s="7">
        <f ca="1">OFFSET(CampList[HH],MATCH(Table10[[#This Row],[Pcode]],CampList[CP_Pcode],0)-1,0,1,1)</f>
        <v>57</v>
      </c>
      <c r="F8" s="7">
        <f ca="1">OFFSET(CampList[Total],MATCH(Table10[[#This Row],[Pcode]],CampList[CP_Pcode],0)-1,0,1,1)</f>
        <v>273</v>
      </c>
      <c r="G8" s="106">
        <f>SUMIF('NFI Distributions'!AU$53:AU$1048576,Table10[[#This Row],[Pcode]],'NFI Distributions'!AM$53:AM$1048576)</f>
        <v>0</v>
      </c>
      <c r="H8" s="106">
        <f>SUMIF('NFI Distributions'!AU$53:AU$1048576,Table10[[#This Row],[Pcode]],'NFI Distributions'!AN$53:AN$1048576)</f>
        <v>0</v>
      </c>
      <c r="I8" s="106">
        <f>SUMIF('NFI Distributions'!AU$53:AU$1048576,Table10[[#This Row],[Pcode]],'NFI Distributions'!AO$53:AO$1048576)</f>
        <v>0</v>
      </c>
      <c r="J8" s="106">
        <f ca="1">MAX(Table10[[#This Row],[HH]]*VLOOKUP("Winter Clothes Adult",NFI,6)-Table10[[#This Row],[Winter Clothes Adult ]],0)</f>
        <v>114</v>
      </c>
      <c r="K8" s="106">
        <f ca="1">MAX(Table10[[#This Row],[HH]]*VLOOKUP("Winter Clothes Children ",NFI,6)-Table10[[#This Row],[Winter Clothes Children ]],0)</f>
        <v>57</v>
      </c>
      <c r="L8" s="106">
        <f ca="1">MAX(Table10[[#This Row],[HH]]*VLOOKUP("Winter Items Other ",NFI,6)-Table10[[#This Row],[Winter Items Other ]],0)</f>
        <v>57</v>
      </c>
      <c r="M8" s="114" t="str">
        <f>IF(OR(Table10[[#This Row],[Winter Clothes Adult ]]&lt;&gt;0,Table10[[#This Row],[Winter Clothes Children ]]&lt;&gt;0,Table10[[#This Row],[Winter Items Other ]]&lt;&gt;0),"No","")</f>
        <v/>
      </c>
      <c r="N8" s="115">
        <f>COUNTIF(A:A,Table10[[#This Row],[Pcode]])-1</f>
        <v>0</v>
      </c>
    </row>
    <row r="9" spans="1:20" x14ac:dyDescent="0.25">
      <c r="A9" s="102" t="s">
        <v>334</v>
      </c>
      <c r="B9" s="7" t="e">
        <f ca="1">OFFSET(#REF!,MATCH(Table10[[#This Row],[Pcode]],CampList[CP_Pcode],0)-1,0,1,1)</f>
        <v>#REF!</v>
      </c>
      <c r="C9" s="7" t="str">
        <f ca="1">OFFSET(CampList[Camp],MATCH(Table10[[#This Row],[Pcode]],CampList[CP_Pcode],0)-1,0,1,1)</f>
        <v>Hkau Shau (BP 12)</v>
      </c>
      <c r="D9" s="7" t="str">
        <f ca="1">OFFSET(CampList[Township],MATCH(Table10[[#This Row],[Pcode]],CampList[CP_Pcode],0)-1,0,1,1)</f>
        <v>Waingmaw</v>
      </c>
      <c r="E9" s="7">
        <f ca="1">OFFSET(CampList[HH],MATCH(Table10[[#This Row],[Pcode]],CampList[CP_Pcode],0)-1,0,1,1)</f>
        <v>136</v>
      </c>
      <c r="F9" s="7">
        <f ca="1">OFFSET(CampList[Total],MATCH(Table10[[#This Row],[Pcode]],CampList[CP_Pcode],0)-1,0,1,1)</f>
        <v>985</v>
      </c>
      <c r="G9" s="106">
        <f>SUMIF('NFI Distributions'!AU$53:AU$1048576,Table10[[#This Row],[Pcode]],'NFI Distributions'!AM$53:AM$1048576)</f>
        <v>0</v>
      </c>
      <c r="H9" s="106">
        <f>SUMIF('NFI Distributions'!AU$53:AU$1048576,Table10[[#This Row],[Pcode]],'NFI Distributions'!AN$53:AN$1048576)</f>
        <v>0</v>
      </c>
      <c r="I9" s="106">
        <f>SUMIF('NFI Distributions'!AU$53:AU$1048576,Table10[[#This Row],[Pcode]],'NFI Distributions'!AO$53:AO$1048576)</f>
        <v>0</v>
      </c>
      <c r="J9" s="106">
        <f ca="1">MAX(Table10[[#This Row],[HH]]*VLOOKUP("Winter Clothes Adult",NFI,6)-Table10[[#This Row],[Winter Clothes Adult ]],0)</f>
        <v>272</v>
      </c>
      <c r="K9" s="106">
        <f ca="1">MAX(Table10[[#This Row],[HH]]*VLOOKUP("Winter Clothes Children ",NFI,6)-Table10[[#This Row],[Winter Clothes Children ]],0)</f>
        <v>136</v>
      </c>
      <c r="L9" s="106">
        <f ca="1">MAX(Table10[[#This Row],[HH]]*VLOOKUP("Winter Items Other ",NFI,6)-Table10[[#This Row],[Winter Items Other ]],0)</f>
        <v>136</v>
      </c>
      <c r="M9" s="114" t="str">
        <f>IF(OR(Table10[[#This Row],[Winter Clothes Adult ]]&lt;&gt;0,Table10[[#This Row],[Winter Clothes Children ]]&lt;&gt;0,Table10[[#This Row],[Winter Items Other ]]&lt;&gt;0),"No","")</f>
        <v/>
      </c>
      <c r="N9" s="115">
        <f>COUNTIF(A:A,Table10[[#This Row],[Pcode]])-1</f>
        <v>0</v>
      </c>
    </row>
    <row r="10" spans="1:20" x14ac:dyDescent="0.25">
      <c r="A10" s="102" t="s">
        <v>343</v>
      </c>
      <c r="B10" s="7" t="e">
        <f ca="1">OFFSET(#REF!,MATCH(Table10[[#This Row],[Pcode]],CampList[CP_Pcode],0)-1,0,1,1)</f>
        <v>#REF!</v>
      </c>
      <c r="C10" s="7" t="str">
        <f ca="1">OFFSET(CampList[Camp],MATCH(Table10[[#This Row],[Pcode]],CampList[CP_Pcode],0)-1,0,1,1)</f>
        <v>Pajau - Jan Mai</v>
      </c>
      <c r="D10" s="7" t="str">
        <f ca="1">OFFSET(CampList[Township],MATCH(Table10[[#This Row],[Pcode]],CampList[CP_Pcode],0)-1,0,1,1)</f>
        <v>Waingmaw</v>
      </c>
      <c r="E10" s="7">
        <f ca="1">OFFSET(CampList[HH],MATCH(Table10[[#This Row],[Pcode]],CampList[CP_Pcode],0)-1,0,1,1)</f>
        <v>185</v>
      </c>
      <c r="F10" s="7">
        <f ca="1">OFFSET(CampList[Total],MATCH(Table10[[#This Row],[Pcode]],CampList[CP_Pcode],0)-1,0,1,1)</f>
        <v>931</v>
      </c>
      <c r="G10" s="106">
        <f>SUMIF('NFI Distributions'!AU$53:AU$1048576,Table10[[#This Row],[Pcode]],'NFI Distributions'!AM$53:AM$1048576)</f>
        <v>0</v>
      </c>
      <c r="H10" s="106">
        <f>SUMIF('NFI Distributions'!AU$53:AU$1048576,Table10[[#This Row],[Pcode]],'NFI Distributions'!AN$53:AN$1048576)</f>
        <v>0</v>
      </c>
      <c r="I10" s="106">
        <f>SUMIF('NFI Distributions'!AU$53:AU$1048576,Table10[[#This Row],[Pcode]],'NFI Distributions'!AO$53:AO$1048576)</f>
        <v>0</v>
      </c>
      <c r="J10" s="106">
        <f ca="1">MAX(Table10[[#This Row],[HH]]*VLOOKUP("Winter Clothes Adult",NFI,6)-Table10[[#This Row],[Winter Clothes Adult ]],0)</f>
        <v>370</v>
      </c>
      <c r="K10" s="106">
        <f ca="1">MAX(Table10[[#This Row],[HH]]*VLOOKUP("Winter Clothes Children ",NFI,6)-Table10[[#This Row],[Winter Clothes Children ]],0)</f>
        <v>185</v>
      </c>
      <c r="L10" s="106">
        <f ca="1">MAX(Table10[[#This Row],[HH]]*VLOOKUP("Winter Items Other ",NFI,6)-Table10[[#This Row],[Winter Items Other ]],0)</f>
        <v>185</v>
      </c>
      <c r="M10" s="114" t="str">
        <f>IF(OR(Table10[[#This Row],[Winter Clothes Adult ]]&lt;&gt;0,Table10[[#This Row],[Winter Clothes Children ]]&lt;&gt;0,Table10[[#This Row],[Winter Items Other ]]&lt;&gt;0),"No","")</f>
        <v/>
      </c>
      <c r="N10" s="115">
        <f>COUNTIF(A:A,Table10[[#This Row],[Pcode]])-1</f>
        <v>0</v>
      </c>
    </row>
    <row r="11" spans="1:20" x14ac:dyDescent="0.25">
      <c r="A11" s="102" t="s">
        <v>352</v>
      </c>
      <c r="B11" s="7" t="e">
        <f ca="1">OFFSET(#REF!,MATCH(Table10[[#This Row],[Pcode]],CampList[CP_Pcode],0)-1,0,1,1)</f>
        <v>#REF!</v>
      </c>
      <c r="C11" s="7" t="str">
        <f ca="1">OFFSET(CampList[Camp],MATCH(Table10[[#This Row],[Pcode]],CampList[CP_Pcode],0)-1,0,1,1)</f>
        <v>Post 6 Camp</v>
      </c>
      <c r="D11" s="7" t="str">
        <f ca="1">OFFSET(CampList[Township],MATCH(Table10[[#This Row],[Pcode]],CampList[CP_Pcode],0)-1,0,1,1)</f>
        <v>Waingmaw</v>
      </c>
      <c r="E11" s="7">
        <f ca="1">OFFSET(CampList[HH],MATCH(Table10[[#This Row],[Pcode]],CampList[CP_Pcode],0)-1,0,1,1)</f>
        <v>82</v>
      </c>
      <c r="F11" s="7">
        <f ca="1">OFFSET(CampList[Total],MATCH(Table10[[#This Row],[Pcode]],CampList[CP_Pcode],0)-1,0,1,1)</f>
        <v>518</v>
      </c>
      <c r="G11" s="106">
        <f>SUMIF('NFI Distributions'!AU$53:AU$1048576,Table10[[#This Row],[Pcode]],'NFI Distributions'!AM$53:AM$1048576)</f>
        <v>0</v>
      </c>
      <c r="H11" s="106">
        <f>SUMIF('NFI Distributions'!AU$53:AU$1048576,Table10[[#This Row],[Pcode]],'NFI Distributions'!AN$53:AN$1048576)</f>
        <v>0</v>
      </c>
      <c r="I11" s="106">
        <f>SUMIF('NFI Distributions'!AU$53:AU$1048576,Table10[[#This Row],[Pcode]],'NFI Distributions'!AO$53:AO$1048576)</f>
        <v>0</v>
      </c>
      <c r="J11" s="106">
        <f ca="1">MAX(Table10[[#This Row],[HH]]*VLOOKUP("Winter Clothes Adult",NFI,6)-Table10[[#This Row],[Winter Clothes Adult ]],0)</f>
        <v>164</v>
      </c>
      <c r="K11" s="106">
        <f ca="1">MAX(Table10[[#This Row],[HH]]*VLOOKUP("Winter Clothes Children ",NFI,6)-Table10[[#This Row],[Winter Clothes Children ]],0)</f>
        <v>82</v>
      </c>
      <c r="L11" s="106">
        <f ca="1">MAX(Table10[[#This Row],[HH]]*VLOOKUP("Winter Items Other ",NFI,6)-Table10[[#This Row],[Winter Items Other ]],0)</f>
        <v>82</v>
      </c>
      <c r="M11" s="114" t="str">
        <f>IF(OR(Table10[[#This Row],[Winter Clothes Adult ]]&lt;&gt;0,Table10[[#This Row],[Winter Clothes Children ]]&lt;&gt;0,Table10[[#This Row],[Winter Items Other ]]&lt;&gt;0),"No","")</f>
        <v/>
      </c>
      <c r="N11" s="115">
        <f>COUNTIF(A:A,Table10[[#This Row],[Pcode]])-1</f>
        <v>0</v>
      </c>
    </row>
    <row r="12" spans="1:20" x14ac:dyDescent="0.25">
      <c r="A12" s="102" t="s">
        <v>332</v>
      </c>
      <c r="B12" s="7" t="e">
        <f ca="1">OFFSET(#REF!,MATCH(Table10[[#This Row],[Pcode]],CampList[CP_Pcode],0)-1,0,1,1)</f>
        <v>#REF!</v>
      </c>
      <c r="C12" s="7" t="str">
        <f ca="1">OFFSET(CampList[Camp],MATCH(Table10[[#This Row],[Pcode]],CampList[CP_Pcode],0)-1,0,1,1)</f>
        <v>Border Post 8</v>
      </c>
      <c r="D12" s="7" t="str">
        <f ca="1">OFFSET(CampList[Township],MATCH(Table10[[#This Row],[Pcode]],CampList[CP_Pcode],0)-1,0,1,1)</f>
        <v>Waingmaw</v>
      </c>
      <c r="E12" s="7">
        <f ca="1">OFFSET(CampList[HH],MATCH(Table10[[#This Row],[Pcode]],CampList[CP_Pcode],0)-1,0,1,1)</f>
        <v>125</v>
      </c>
      <c r="F12" s="7">
        <f ca="1">OFFSET(CampList[Total],MATCH(Table10[[#This Row],[Pcode]],CampList[CP_Pcode],0)-1,0,1,1)</f>
        <v>486</v>
      </c>
      <c r="G12" s="106">
        <f>SUMIF('NFI Distributions'!AU$53:AU$1048576,Table10[[#This Row],[Pcode]],'NFI Distributions'!AM$53:AM$1048576)</f>
        <v>0</v>
      </c>
      <c r="H12" s="106">
        <f>SUMIF('NFI Distributions'!AU$53:AU$1048576,Table10[[#This Row],[Pcode]],'NFI Distributions'!AN$53:AN$1048576)</f>
        <v>0</v>
      </c>
      <c r="I12" s="106">
        <f>SUMIF('NFI Distributions'!AU$53:AU$1048576,Table10[[#This Row],[Pcode]],'NFI Distributions'!AO$53:AO$1048576)</f>
        <v>0</v>
      </c>
      <c r="J12" s="106">
        <f ca="1">MAX(Table10[[#This Row],[HH]]*VLOOKUP("Winter Clothes Adult",NFI,6)-Table10[[#This Row],[Winter Clothes Adult ]],0)</f>
        <v>250</v>
      </c>
      <c r="K12" s="106">
        <f ca="1">MAX(Table10[[#This Row],[HH]]*VLOOKUP("Winter Clothes Children ",NFI,6)-Table10[[#This Row],[Winter Clothes Children ]],0)</f>
        <v>125</v>
      </c>
      <c r="L12" s="106">
        <f ca="1">MAX(Table10[[#This Row],[HH]]*VLOOKUP("Winter Items Other ",NFI,6)-Table10[[#This Row],[Winter Items Other ]],0)</f>
        <v>125</v>
      </c>
      <c r="M12" s="114" t="str">
        <f>IF(OR(Table10[[#This Row],[Winter Clothes Adult ]]&lt;&gt;0,Table10[[#This Row],[Winter Clothes Children ]]&lt;&gt;0,Table10[[#This Row],[Winter Items Other ]]&lt;&gt;0),"No","")</f>
        <v/>
      </c>
      <c r="N12" s="115">
        <f>COUNTIF(A:A,Table10[[#This Row],[Pcode]])-1</f>
        <v>0</v>
      </c>
    </row>
    <row r="13" spans="1:20" x14ac:dyDescent="0.25">
      <c r="A13" s="102" t="s">
        <v>344</v>
      </c>
      <c r="B13" s="7" t="e">
        <f ca="1">OFFSET(#REF!,MATCH(Table10[[#This Row],[Pcode]],CampList[CP_Pcode],0)-1,0,1,1)</f>
        <v>#REF!</v>
      </c>
      <c r="C13" s="7" t="str">
        <f ca="1">OFFSET(CampList[Camp],MATCH(Table10[[#This Row],[Pcode]],CampList[CP_Pcode],0)-1,0,1,1)</f>
        <v>Shing Jai</v>
      </c>
      <c r="D13" s="7" t="str">
        <f ca="1">OFFSET(CampList[Township],MATCH(Table10[[#This Row],[Pcode]],CampList[CP_Pcode],0)-1,0,1,1)</f>
        <v>Waingmaw</v>
      </c>
      <c r="E13" s="7">
        <f ca="1">OFFSET(CampList[HH],MATCH(Table10[[#This Row],[Pcode]],CampList[CP_Pcode],0)-1,0,1,1)</f>
        <v>183</v>
      </c>
      <c r="F13" s="7">
        <f ca="1">OFFSET(CampList[Total],MATCH(Table10[[#This Row],[Pcode]],CampList[CP_Pcode],0)-1,0,1,1)</f>
        <v>1041</v>
      </c>
      <c r="G13" s="106">
        <f>SUMIF('NFI Distributions'!AU$53:AU$1048576,Table10[[#This Row],[Pcode]],'NFI Distributions'!AM$53:AM$1048576)</f>
        <v>0</v>
      </c>
      <c r="H13" s="106">
        <f>SUMIF('NFI Distributions'!AU$53:AU$1048576,Table10[[#This Row],[Pcode]],'NFI Distributions'!AN$53:AN$1048576)</f>
        <v>0</v>
      </c>
      <c r="I13" s="106">
        <f>SUMIF('NFI Distributions'!AU$53:AU$1048576,Table10[[#This Row],[Pcode]],'NFI Distributions'!AO$53:AO$1048576)</f>
        <v>0</v>
      </c>
      <c r="J13" s="106">
        <f ca="1">MAX(Table10[[#This Row],[HH]]*VLOOKUP("Winter Clothes Adult",NFI,6)-Table10[[#This Row],[Winter Clothes Adult ]],0)</f>
        <v>366</v>
      </c>
      <c r="K13" s="106">
        <f ca="1">MAX(Table10[[#This Row],[HH]]*VLOOKUP("Winter Clothes Children ",NFI,6)-Table10[[#This Row],[Winter Clothes Children ]],0)</f>
        <v>183</v>
      </c>
      <c r="L13" s="106">
        <f ca="1">MAX(Table10[[#This Row],[HH]]*VLOOKUP("Winter Items Other ",NFI,6)-Table10[[#This Row],[Winter Items Other ]],0)</f>
        <v>183</v>
      </c>
      <c r="M13" s="114" t="str">
        <f>IF(OR(Table10[[#This Row],[Winter Clothes Adult ]]&lt;&gt;0,Table10[[#This Row],[Winter Clothes Children ]]&lt;&gt;0,Table10[[#This Row],[Winter Items Other ]]&lt;&gt;0),"No","")</f>
        <v/>
      </c>
      <c r="N13" s="115">
        <f>COUNTIF(A:A,Table10[[#This Row],[Pcode]])-1</f>
        <v>0</v>
      </c>
    </row>
    <row r="14" spans="1:20" x14ac:dyDescent="0.25">
      <c r="A14" s="102" t="s">
        <v>214</v>
      </c>
      <c r="B14" s="7" t="e">
        <f ca="1">OFFSET(#REF!,MATCH(Table10[[#This Row],[Pcode]],CampList[CP_Pcode],0)-1,0,1,1)</f>
        <v>#REF!</v>
      </c>
      <c r="C14" s="7" t="str">
        <f ca="1">OFFSET(CampList[Camp],MATCH(Table10[[#This Row],[Pcode]],CampList[CP_Pcode],0)-1,0,1,1)</f>
        <v xml:space="preserve">Nhkawng Pa </v>
      </c>
      <c r="D14" s="7" t="str">
        <f ca="1">OFFSET(CampList[Township],MATCH(Table10[[#This Row],[Pcode]],CampList[CP_Pcode],0)-1,0,1,1)</f>
        <v>Momauk</v>
      </c>
      <c r="E14" s="7">
        <f ca="1">OFFSET(CampList[HH],MATCH(Table10[[#This Row],[Pcode]],CampList[CP_Pcode],0)-1,0,1,1)</f>
        <v>354</v>
      </c>
      <c r="F14" s="7">
        <f ca="1">OFFSET(CampList[Total],MATCH(Table10[[#This Row],[Pcode]],CampList[CP_Pcode],0)-1,0,1,1)</f>
        <v>1547</v>
      </c>
      <c r="G14" s="106">
        <f>SUMIF('NFI Distributions'!AU$53:AU$1048576,Table10[[#This Row],[Pcode]],'NFI Distributions'!AM$53:AM$1048576)</f>
        <v>0</v>
      </c>
      <c r="H14" s="106">
        <f>SUMIF('NFI Distributions'!AU$53:AU$1048576,Table10[[#This Row],[Pcode]],'NFI Distributions'!AN$53:AN$1048576)</f>
        <v>0</v>
      </c>
      <c r="I14" s="106">
        <f>SUMIF('NFI Distributions'!AU$53:AU$1048576,Table10[[#This Row],[Pcode]],'NFI Distributions'!AO$53:AO$1048576)</f>
        <v>0</v>
      </c>
      <c r="J14" s="106">
        <f ca="1">MAX(Table10[[#This Row],[HH]]*VLOOKUP("Winter Clothes Adult",NFI,6)-Table10[[#This Row],[Winter Clothes Adult ]],0)</f>
        <v>708</v>
      </c>
      <c r="K14" s="106">
        <f ca="1">MAX(Table10[[#This Row],[HH]]*VLOOKUP("Winter Clothes Children ",NFI,6)-Table10[[#This Row],[Winter Clothes Children ]],0)</f>
        <v>354</v>
      </c>
      <c r="L14" s="106">
        <f ca="1">MAX(Table10[[#This Row],[HH]]*VLOOKUP("Winter Items Other ",NFI,6)-Table10[[#This Row],[Winter Items Other ]],0)</f>
        <v>354</v>
      </c>
      <c r="M14" s="114" t="str">
        <f>IF(OR(Table10[[#This Row],[Winter Clothes Adult ]]&lt;&gt;0,Table10[[#This Row],[Winter Clothes Children ]]&lt;&gt;0,Table10[[#This Row],[Winter Items Other ]]&lt;&gt;0),"No","")</f>
        <v/>
      </c>
      <c r="N14" s="115">
        <f>COUNTIF(A:A,Table10[[#This Row],[Pcode]])-1</f>
        <v>0</v>
      </c>
    </row>
    <row r="15" spans="1:20" x14ac:dyDescent="0.25">
      <c r="A15" s="102" t="s">
        <v>147</v>
      </c>
      <c r="B15" s="7" t="e">
        <f ca="1">OFFSET(#REF!,MATCH(Table10[[#This Row],[Pcode]],CampList[CP_Pcode],0)-1,0,1,1)</f>
        <v>#REF!</v>
      </c>
      <c r="C15" s="7" t="str">
        <f ca="1">OFFSET(CampList[Camp],MATCH(Table10[[#This Row],[Pcode]],CampList[CP_Pcode],0)-1,0,1,1)</f>
        <v xml:space="preserve">Mungji Pa Dabang (Baptist Church)         </v>
      </c>
      <c r="D15" s="7" t="str">
        <f ca="1">OFFSET(CampList[Township],MATCH(Table10[[#This Row],[Pcode]],CampList[CP_Pcode],0)-1,0,1,1)</f>
        <v>Kutkai</v>
      </c>
      <c r="E15" s="7">
        <f ca="1">OFFSET(CampList[HH],MATCH(Table10[[#This Row],[Pcode]],CampList[CP_Pcode],0)-1,0,1,1)</f>
        <v>41</v>
      </c>
      <c r="F15" s="7">
        <f ca="1">OFFSET(CampList[Total],MATCH(Table10[[#This Row],[Pcode]],CampList[CP_Pcode],0)-1,0,1,1)</f>
        <v>232</v>
      </c>
      <c r="G15" s="106">
        <f>SUMIF('NFI Distributions'!AU$53:AU$1048576,Table10[[#This Row],[Pcode]],'NFI Distributions'!AM$53:AM$1048576)</f>
        <v>0</v>
      </c>
      <c r="H15" s="106">
        <f>SUMIF('NFI Distributions'!AU$53:AU$1048576,Table10[[#This Row],[Pcode]],'NFI Distributions'!AN$53:AN$1048576)</f>
        <v>0</v>
      </c>
      <c r="I15" s="106">
        <f>SUMIF('NFI Distributions'!AU$53:AU$1048576,Table10[[#This Row],[Pcode]],'NFI Distributions'!AO$53:AO$1048576)</f>
        <v>0</v>
      </c>
      <c r="J15" s="106">
        <f ca="1">MAX(Table10[[#This Row],[HH]]*VLOOKUP("Winter Clothes Adult",NFI,6)-Table10[[#This Row],[Winter Clothes Adult ]],0)</f>
        <v>82</v>
      </c>
      <c r="K15" s="106">
        <f ca="1">MAX(Table10[[#This Row],[HH]]*VLOOKUP("Winter Clothes Children ",NFI,6)-Table10[[#This Row],[Winter Clothes Children ]],0)</f>
        <v>41</v>
      </c>
      <c r="L15" s="106">
        <f ca="1">MAX(Table10[[#This Row],[HH]]*VLOOKUP("Winter Items Other ",NFI,6)-Table10[[#This Row],[Winter Items Other ]],0)</f>
        <v>41</v>
      </c>
      <c r="M15" s="114" t="str">
        <f>IF(OR(Table10[[#This Row],[Winter Clothes Adult ]]&lt;&gt;0,Table10[[#This Row],[Winter Clothes Children ]]&lt;&gt;0,Table10[[#This Row],[Winter Items Other ]]&lt;&gt;0),"No","")</f>
        <v/>
      </c>
      <c r="N15" s="115">
        <f>COUNTIF(A:A,Table10[[#This Row],[Pcode]])-1</f>
        <v>0</v>
      </c>
    </row>
    <row r="16" spans="1:20" x14ac:dyDescent="0.25">
      <c r="A16" s="102" t="s">
        <v>234</v>
      </c>
      <c r="B16" s="7" t="e">
        <f ca="1">OFFSET(#REF!,MATCH(Table10[[#This Row],[Pcode]],CampList[CP_Pcode],0)-1,0,1,1)</f>
        <v>#REF!</v>
      </c>
      <c r="C16" s="7" t="str">
        <f ca="1">OFFSET(CampList[Camp],MATCH(Table10[[#This Row],[Pcode]],CampList[CP_Pcode],0)-1,0,1,1)</f>
        <v xml:space="preserve">Mung Baw </v>
      </c>
      <c r="D16" s="7" t="str">
        <f ca="1">OFFSET(CampList[Township],MATCH(Table10[[#This Row],[Pcode]],CampList[CP_Pcode],0)-1,0,1,1)</f>
        <v>Muse</v>
      </c>
      <c r="E16" s="7">
        <f ca="1">OFFSET(CampList[HH],MATCH(Table10[[#This Row],[Pcode]],CampList[CP_Pcode],0)-1,0,1,1)</f>
        <v>0</v>
      </c>
      <c r="F16" s="7">
        <f ca="1">OFFSET(CampList[Total],MATCH(Table10[[#This Row],[Pcode]],CampList[CP_Pcode],0)-1,0,1,1)</f>
        <v>0</v>
      </c>
      <c r="G16" s="106">
        <f>SUMIF('NFI Distributions'!AU$53:AU$1048576,Table10[[#This Row],[Pcode]],'NFI Distributions'!AM$53:AM$1048576)</f>
        <v>0</v>
      </c>
      <c r="H16" s="106">
        <f>SUMIF('NFI Distributions'!AU$53:AU$1048576,Table10[[#This Row],[Pcode]],'NFI Distributions'!AN$53:AN$1048576)</f>
        <v>0</v>
      </c>
      <c r="I16" s="106">
        <f>SUMIF('NFI Distributions'!AU$53:AU$1048576,Table10[[#This Row],[Pcode]],'NFI Distributions'!AO$53:AO$1048576)</f>
        <v>0</v>
      </c>
      <c r="J16" s="106">
        <f ca="1">MAX(Table10[[#This Row],[HH]]*VLOOKUP("Winter Clothes Adult",NFI,6)-Table10[[#This Row],[Winter Clothes Adult ]],0)</f>
        <v>0</v>
      </c>
      <c r="K16" s="106">
        <f ca="1">MAX(Table10[[#This Row],[HH]]*VLOOKUP("Winter Clothes Children ",NFI,6)-Table10[[#This Row],[Winter Clothes Children ]],0)</f>
        <v>0</v>
      </c>
      <c r="L16" s="106">
        <f ca="1">MAX(Table10[[#This Row],[HH]]*VLOOKUP("Winter Items Other ",NFI,6)-Table10[[#This Row],[Winter Items Other ]],0)</f>
        <v>0</v>
      </c>
      <c r="M16" s="114" t="str">
        <f>IF(OR(Table10[[#This Row],[Winter Clothes Adult ]]&lt;&gt;0,Table10[[#This Row],[Winter Clothes Children ]]&lt;&gt;0,Table10[[#This Row],[Winter Items Other ]]&lt;&gt;0),"No","")</f>
        <v/>
      </c>
      <c r="N16" s="115">
        <f>COUNTIF(A:A,Table10[[#This Row],[Pcode]])-1</f>
        <v>0</v>
      </c>
      <c r="Q16" s="105" t="s">
        <v>410</v>
      </c>
      <c r="R16" s="304" t="s">
        <v>930</v>
      </c>
      <c r="S16" s="304" t="s">
        <v>931</v>
      </c>
      <c r="T16" s="304" t="s">
        <v>932</v>
      </c>
    </row>
    <row r="17" spans="1:20" x14ac:dyDescent="0.25">
      <c r="A17" s="102" t="s">
        <v>232</v>
      </c>
      <c r="B17" s="7" t="e">
        <f ca="1">OFFSET(#REF!,MATCH(Table10[[#This Row],[Pcode]],CampList[CP_Pcode],0)-1,0,1,1)</f>
        <v>#REF!</v>
      </c>
      <c r="C17" s="7" t="str">
        <f ca="1">OFFSET(CampList[Camp],MATCH(Table10[[#This Row],[Pcode]],CampList[CP_Pcode],0)-1,0,1,1)</f>
        <v xml:space="preserve">Munekoe Pa (Giwang) - Hka San (Mung  Go  Pa ) </v>
      </c>
      <c r="D17" s="7" t="str">
        <f ca="1">OFFSET(CampList[Township],MATCH(Table10[[#This Row],[Pcode]],CampList[CP_Pcode],0)-1,0,1,1)</f>
        <v>Muse</v>
      </c>
      <c r="E17" s="7">
        <f ca="1">OFFSET(CampList[HH],MATCH(Table10[[#This Row],[Pcode]],CampList[CP_Pcode],0)-1,0,1,1)</f>
        <v>0</v>
      </c>
      <c r="F17" s="7">
        <f ca="1">OFFSET(CampList[Total],MATCH(Table10[[#This Row],[Pcode]],CampList[CP_Pcode],0)-1,0,1,1)</f>
        <v>0</v>
      </c>
      <c r="G17" s="106">
        <f>SUMIF('NFI Distributions'!AU$53:AU$1048576,Table10[[#This Row],[Pcode]],'NFI Distributions'!AM$53:AM$1048576)</f>
        <v>0</v>
      </c>
      <c r="H17" s="106">
        <f>SUMIF('NFI Distributions'!AU$53:AU$1048576,Table10[[#This Row],[Pcode]],'NFI Distributions'!AN$53:AN$1048576)</f>
        <v>0</v>
      </c>
      <c r="I17" s="106">
        <f>SUMIF('NFI Distributions'!AU$53:AU$1048576,Table10[[#This Row],[Pcode]],'NFI Distributions'!AO$53:AO$1048576)</f>
        <v>0</v>
      </c>
      <c r="J17" s="106">
        <f ca="1">MAX(Table10[[#This Row],[HH]]*VLOOKUP("Winter Clothes Adult",NFI,6)-Table10[[#This Row],[Winter Clothes Adult ]],0)</f>
        <v>0</v>
      </c>
      <c r="K17" s="106">
        <f ca="1">MAX(Table10[[#This Row],[HH]]*VLOOKUP("Winter Clothes Children ",NFI,6)-Table10[[#This Row],[Winter Clothes Children ]],0)</f>
        <v>0</v>
      </c>
      <c r="L17" s="106">
        <f ca="1">MAX(Table10[[#This Row],[HH]]*VLOOKUP("Winter Items Other ",NFI,6)-Table10[[#This Row],[Winter Items Other ]],0)</f>
        <v>0</v>
      </c>
      <c r="M17" s="114" t="str">
        <f>IF(OR(Table10[[#This Row],[Winter Clothes Adult ]]&lt;&gt;0,Table10[[#This Row],[Winter Clothes Children ]]&lt;&gt;0,Table10[[#This Row],[Winter Items Other ]]&lt;&gt;0),"No","")</f>
        <v/>
      </c>
      <c r="N17" s="115">
        <f>COUNTIF(A:A,Table10[[#This Row],[Pcode]])-1</f>
        <v>0</v>
      </c>
      <c r="Q17" s="104" t="s">
        <v>1541</v>
      </c>
      <c r="R17" s="162" t="e">
        <v>#N/A</v>
      </c>
      <c r="S17" s="162" t="e">
        <v>#N/A</v>
      </c>
      <c r="T17" s="162" t="e">
        <v>#N/A</v>
      </c>
    </row>
    <row r="18" spans="1:20" x14ac:dyDescent="0.25">
      <c r="A18" s="102" t="s">
        <v>187</v>
      </c>
      <c r="B18" s="7" t="e">
        <f ca="1">OFFSET(#REF!,MATCH(Table10[[#This Row],[Pcode]],CampList[CP_Pcode],0)-1,0,1,1)</f>
        <v>#REF!</v>
      </c>
      <c r="C18" s="7" t="str">
        <f ca="1">OFFSET(CampList[Camp],MATCH(Table10[[#This Row],[Pcode]],CampList[CP_Pcode],0)-1,0,1,1)</f>
        <v xml:space="preserve">Bum Tsit Pa </v>
      </c>
      <c r="D18" s="7" t="str">
        <f ca="1">OFFSET(CampList[Township],MATCH(Table10[[#This Row],[Pcode]],CampList[CP_Pcode],0)-1,0,1,1)</f>
        <v>Mansi</v>
      </c>
      <c r="E18" s="7">
        <f ca="1">OFFSET(CampList[HH],MATCH(Table10[[#This Row],[Pcode]],CampList[CP_Pcode],0)-1,0,1,1)</f>
        <v>358</v>
      </c>
      <c r="F18" s="7">
        <f ca="1">OFFSET(CampList[Total],MATCH(Table10[[#This Row],[Pcode]],CampList[CP_Pcode],0)-1,0,1,1)</f>
        <v>1680</v>
      </c>
      <c r="G18" s="106">
        <f>SUMIF('NFI Distributions'!AU$53:AU$1048576,Table10[[#This Row],[Pcode]],'NFI Distributions'!AM$53:AM$1048576)</f>
        <v>0</v>
      </c>
      <c r="H18" s="106">
        <f>SUMIF('NFI Distributions'!AU$53:AU$1048576,Table10[[#This Row],[Pcode]],'NFI Distributions'!AN$53:AN$1048576)</f>
        <v>0</v>
      </c>
      <c r="I18" s="106">
        <f>SUMIF('NFI Distributions'!AU$53:AU$1048576,Table10[[#This Row],[Pcode]],'NFI Distributions'!AO$53:AO$1048576)</f>
        <v>0</v>
      </c>
      <c r="J18" s="106">
        <f ca="1">MAX(Table10[[#This Row],[HH]]*VLOOKUP("Winter Clothes Adult",NFI,6)-Table10[[#This Row],[Winter Clothes Adult ]],0)</f>
        <v>716</v>
      </c>
      <c r="K18" s="106">
        <f ca="1">MAX(Table10[[#This Row],[HH]]*VLOOKUP("Winter Clothes Children ",NFI,6)-Table10[[#This Row],[Winter Clothes Children ]],0)</f>
        <v>358</v>
      </c>
      <c r="L18" s="106">
        <f ca="1">MAX(Table10[[#This Row],[HH]]*VLOOKUP("Winter Items Other ",NFI,6)-Table10[[#This Row],[Winter Items Other ]],0)</f>
        <v>358</v>
      </c>
      <c r="M18" s="114" t="str">
        <f>IF(OR(Table10[[#This Row],[Winter Clothes Adult ]]&lt;&gt;0,Table10[[#This Row],[Winter Clothes Children ]]&lt;&gt;0,Table10[[#This Row],[Winter Items Other ]]&lt;&gt;0),"No","")</f>
        <v/>
      </c>
      <c r="N18" s="115">
        <f>COUNTIF(A:A,Table10[[#This Row],[Pcode]])-1</f>
        <v>0</v>
      </c>
      <c r="Q18" s="104" t="s">
        <v>411</v>
      </c>
      <c r="R18" s="162" t="e">
        <v>#N/A</v>
      </c>
      <c r="S18" s="162" t="e">
        <v>#N/A</v>
      </c>
      <c r="T18" s="162" t="e">
        <v>#N/A</v>
      </c>
    </row>
    <row r="19" spans="1:20" x14ac:dyDescent="0.25">
      <c r="A19" s="102" t="s">
        <v>888</v>
      </c>
      <c r="B19" s="7" t="e">
        <f ca="1">OFFSET(#REF!,MATCH(Table10[[#This Row],[Pcode]],CampList[CP_Pcode],0)-1,0,1,1)</f>
        <v>#REF!</v>
      </c>
      <c r="C19" s="7" t="str">
        <f ca="1">OFFSET(CampList[Camp],MATCH(Table10[[#This Row],[Pcode]],CampList[CP_Pcode],0)-1,0,1,1)</f>
        <v>Bum Tsit Pa Camp II</v>
      </c>
      <c r="D19" s="7" t="str">
        <f ca="1">OFFSET(CampList[Township],MATCH(Table10[[#This Row],[Pcode]],CampList[CP_Pcode],0)-1,0,1,1)</f>
        <v>Mansi</v>
      </c>
      <c r="E19" s="7">
        <f ca="1">OFFSET(CampList[HH],MATCH(Table10[[#This Row],[Pcode]],CampList[CP_Pcode],0)-1,0,1,1)</f>
        <v>0</v>
      </c>
      <c r="F19" s="7">
        <f ca="1">OFFSET(CampList[Total],MATCH(Table10[[#This Row],[Pcode]],CampList[CP_Pcode],0)-1,0,1,1)</f>
        <v>0</v>
      </c>
      <c r="G19" s="106">
        <f>SUMIF('NFI Distributions'!AU$53:AU$1048576,Table10[[#This Row],[Pcode]],'NFI Distributions'!AM$53:AM$1048576)</f>
        <v>0</v>
      </c>
      <c r="H19" s="106">
        <f>SUMIF('NFI Distributions'!AU$53:AU$1048576,Table10[[#This Row],[Pcode]],'NFI Distributions'!AN$53:AN$1048576)</f>
        <v>0</v>
      </c>
      <c r="I19" s="106">
        <f>SUMIF('NFI Distributions'!AU$53:AU$1048576,Table10[[#This Row],[Pcode]],'NFI Distributions'!AO$53:AO$1048576)</f>
        <v>0</v>
      </c>
      <c r="J19" s="106">
        <f ca="1">MAX(Table10[[#This Row],[HH]]*VLOOKUP("Winter Clothes Adult",NFI,6)-Table10[[#This Row],[Winter Clothes Adult ]],0)</f>
        <v>0</v>
      </c>
      <c r="K19" s="106">
        <f ca="1">MAX(Table10[[#This Row],[HH]]*VLOOKUP("Winter Clothes Children ",NFI,6)-Table10[[#This Row],[Winter Clothes Children ]],0)</f>
        <v>0</v>
      </c>
      <c r="L19" s="106">
        <f ca="1">MAX(Table10[[#This Row],[HH]]*VLOOKUP("Winter Items Other ",NFI,6)-Table10[[#This Row],[Winter Items Other ]],0)</f>
        <v>0</v>
      </c>
      <c r="M19" s="114" t="str">
        <f>IF(OR(Table10[[#This Row],[Winter Clothes Adult ]]&lt;&gt;0,Table10[[#This Row],[Winter Clothes Children ]]&lt;&gt;0,Table10[[#This Row],[Winter Items Other ]]&lt;&gt;0),"No","")</f>
        <v/>
      </c>
      <c r="N19" s="115">
        <f>COUNTIF(A:A,Table10[[#This Row],[Pcode]])-1</f>
        <v>0</v>
      </c>
    </row>
    <row r="20" spans="1:20" x14ac:dyDescent="0.25">
      <c r="A20" s="102" t="s">
        <v>197</v>
      </c>
      <c r="B20" s="7" t="e">
        <f ca="1">OFFSET(#REF!,MATCH(Table10[[#This Row],[Pcode]],CampList[CP_Pcode],0)-1,0,1,1)</f>
        <v>#REF!</v>
      </c>
      <c r="C20" s="7" t="str">
        <f ca="1">OFFSET(CampList[Camp],MATCH(Table10[[#This Row],[Pcode]],CampList[CP_Pcode],0)-1,0,1,1)</f>
        <v xml:space="preserve">Lana Zup Ja </v>
      </c>
      <c r="D20" s="7" t="str">
        <f ca="1">OFFSET(CampList[Township],MATCH(Table10[[#This Row],[Pcode]],CampList[CP_Pcode],0)-1,0,1,1)</f>
        <v>Mansi</v>
      </c>
      <c r="E20" s="7">
        <f ca="1">OFFSET(CampList[HH],MATCH(Table10[[#This Row],[Pcode]],CampList[CP_Pcode],0)-1,0,1,1)</f>
        <v>535</v>
      </c>
      <c r="F20" s="7">
        <f ca="1">OFFSET(CampList[Total],MATCH(Table10[[#This Row],[Pcode]],CampList[CP_Pcode],0)-1,0,1,1)</f>
        <v>2490</v>
      </c>
      <c r="G20" s="106">
        <f>SUMIF('NFI Distributions'!AU$53:AU$1048576,Table10[[#This Row],[Pcode]],'NFI Distributions'!AM$53:AM$1048576)</f>
        <v>0</v>
      </c>
      <c r="H20" s="106">
        <f>SUMIF('NFI Distributions'!AU$53:AU$1048576,Table10[[#This Row],[Pcode]],'NFI Distributions'!AN$53:AN$1048576)</f>
        <v>0</v>
      </c>
      <c r="I20" s="106">
        <f>SUMIF('NFI Distributions'!AU$53:AU$1048576,Table10[[#This Row],[Pcode]],'NFI Distributions'!AO$53:AO$1048576)</f>
        <v>0</v>
      </c>
      <c r="J20" s="106">
        <f ca="1">MAX(Table10[[#This Row],[HH]]*VLOOKUP("Winter Clothes Adult",NFI,6)-Table10[[#This Row],[Winter Clothes Adult ]],0)</f>
        <v>1070</v>
      </c>
      <c r="K20" s="106">
        <f ca="1">MAX(Table10[[#This Row],[HH]]*VLOOKUP("Winter Clothes Children ",NFI,6)-Table10[[#This Row],[Winter Clothes Children ]],0)</f>
        <v>535</v>
      </c>
      <c r="L20" s="106">
        <f ca="1">MAX(Table10[[#This Row],[HH]]*VLOOKUP("Winter Items Other ",NFI,6)-Table10[[#This Row],[Winter Items Other ]],0)</f>
        <v>535</v>
      </c>
      <c r="M20" s="114" t="str">
        <f>IF(OR(Table10[[#This Row],[Winter Clothes Adult ]]&lt;&gt;0,Table10[[#This Row],[Winter Clothes Children ]]&lt;&gt;0,Table10[[#This Row],[Winter Items Other ]]&lt;&gt;0),"No","")</f>
        <v/>
      </c>
      <c r="N20" s="115">
        <f>COUNTIF(A:A,Table10[[#This Row],[Pcode]])-1</f>
        <v>0</v>
      </c>
    </row>
    <row r="21" spans="1:20" x14ac:dyDescent="0.25">
      <c r="A21" s="102" t="s">
        <v>157</v>
      </c>
      <c r="B21" s="7" t="e">
        <f ca="1">OFFSET(#REF!,MATCH(Table10[[#This Row],[Pcode]],CampList[CP_Pcode],0)-1,0,1,1)</f>
        <v>#REF!</v>
      </c>
      <c r="C21" s="7" t="str">
        <f ca="1">OFFSET(CampList[Camp],MATCH(Table10[[#This Row],[Pcode]],CampList[CP_Pcode],0)-1,0,1,1)</f>
        <v>Lung Kawk  ( Hka Hkye Zup)</v>
      </c>
      <c r="D21" s="7" t="str">
        <f ca="1">OFFSET(CampList[Township],MATCH(Table10[[#This Row],[Pcode]],CampList[CP_Pcode],0)-1,0,1,1)</f>
        <v>Mansi</v>
      </c>
      <c r="E21" s="7">
        <f ca="1">OFFSET(CampList[HH],MATCH(Table10[[#This Row],[Pcode]],CampList[CP_Pcode],0)-1,0,1,1)</f>
        <v>0</v>
      </c>
      <c r="F21" s="7">
        <f ca="1">OFFSET(CampList[Total],MATCH(Table10[[#This Row],[Pcode]],CampList[CP_Pcode],0)-1,0,1,1)</f>
        <v>0</v>
      </c>
      <c r="G21" s="106">
        <f>SUMIF('NFI Distributions'!AU$53:AU$1048576,Table10[[#This Row],[Pcode]],'NFI Distributions'!AM$53:AM$1048576)</f>
        <v>0</v>
      </c>
      <c r="H21" s="106">
        <f>SUMIF('NFI Distributions'!AU$53:AU$1048576,Table10[[#This Row],[Pcode]],'NFI Distributions'!AN$53:AN$1048576)</f>
        <v>0</v>
      </c>
      <c r="I21" s="106">
        <f>SUMIF('NFI Distributions'!AU$53:AU$1048576,Table10[[#This Row],[Pcode]],'NFI Distributions'!AO$53:AO$1048576)</f>
        <v>0</v>
      </c>
      <c r="J21" s="106">
        <f ca="1">MAX(Table10[[#This Row],[HH]]*VLOOKUP("Winter Clothes Adult",NFI,6)-Table10[[#This Row],[Winter Clothes Adult ]],0)</f>
        <v>0</v>
      </c>
      <c r="K21" s="106">
        <f ca="1">MAX(Table10[[#This Row],[HH]]*VLOOKUP("Winter Clothes Children ",NFI,6)-Table10[[#This Row],[Winter Clothes Children ]],0)</f>
        <v>0</v>
      </c>
      <c r="L21" s="106">
        <f ca="1">MAX(Table10[[#This Row],[HH]]*VLOOKUP("Winter Items Other ",NFI,6)-Table10[[#This Row],[Winter Items Other ]],0)</f>
        <v>0</v>
      </c>
      <c r="M21" s="114" t="str">
        <f>IF(OR(Table10[[#This Row],[Winter Clothes Adult ]]&lt;&gt;0,Table10[[#This Row],[Winter Clothes Children ]]&lt;&gt;0,Table10[[#This Row],[Winter Items Other ]]&lt;&gt;0),"No","")</f>
        <v/>
      </c>
      <c r="N21" s="115">
        <f>COUNTIF(A:A,Table10[[#This Row],[Pcode]])-1</f>
        <v>0</v>
      </c>
    </row>
    <row r="22" spans="1:20" x14ac:dyDescent="0.25">
      <c r="A22" s="102" t="s">
        <v>193</v>
      </c>
      <c r="B22" s="7" t="e">
        <f ca="1">OFFSET(#REF!,MATCH(Table10[[#This Row],[Pcode]],CampList[CP_Pcode],0)-1,0,1,1)</f>
        <v>#REF!</v>
      </c>
      <c r="C22" s="7" t="str">
        <f ca="1">OFFSET(CampList[Camp],MATCH(Table10[[#This Row],[Pcode]],CampList[CP_Pcode],0)-1,0,1,1)</f>
        <v xml:space="preserve">Hpun Lum Yang </v>
      </c>
      <c r="D22" s="7" t="str">
        <f ca="1">OFFSET(CampList[Township],MATCH(Table10[[#This Row],[Pcode]],CampList[CP_Pcode],0)-1,0,1,1)</f>
        <v>Momauk</v>
      </c>
      <c r="E22" s="7">
        <f ca="1">OFFSET(CampList[HH],MATCH(Table10[[#This Row],[Pcode]],CampList[CP_Pcode],0)-1,0,1,1)</f>
        <v>719</v>
      </c>
      <c r="F22" s="7">
        <f ca="1">OFFSET(CampList[Total],MATCH(Table10[[#This Row],[Pcode]],CampList[CP_Pcode],0)-1,0,1,1)</f>
        <v>3641</v>
      </c>
      <c r="G22" s="106">
        <f>SUMIF('NFI Distributions'!AU$53:AU$1048576,Table10[[#This Row],[Pcode]],'NFI Distributions'!AM$53:AM$1048576)</f>
        <v>0</v>
      </c>
      <c r="H22" s="106">
        <f>SUMIF('NFI Distributions'!AU$53:AU$1048576,Table10[[#This Row],[Pcode]],'NFI Distributions'!AN$53:AN$1048576)</f>
        <v>0</v>
      </c>
      <c r="I22" s="106">
        <f>SUMIF('NFI Distributions'!AU$53:AU$1048576,Table10[[#This Row],[Pcode]],'NFI Distributions'!AO$53:AO$1048576)</f>
        <v>0</v>
      </c>
      <c r="J22" s="106">
        <f ca="1">MAX(Table10[[#This Row],[HH]]*VLOOKUP("Winter Clothes Adult",NFI,6)-Table10[[#This Row],[Winter Clothes Adult ]],0)</f>
        <v>1438</v>
      </c>
      <c r="K22" s="106">
        <f ca="1">MAX(Table10[[#This Row],[HH]]*VLOOKUP("Winter Clothes Children ",NFI,6)-Table10[[#This Row],[Winter Clothes Children ]],0)</f>
        <v>719</v>
      </c>
      <c r="L22" s="106">
        <f ca="1">MAX(Table10[[#This Row],[HH]]*VLOOKUP("Winter Items Other ",NFI,6)-Table10[[#This Row],[Winter Items Other ]],0)</f>
        <v>719</v>
      </c>
      <c r="M22" s="114" t="str">
        <f>IF(OR(Table10[[#This Row],[Winter Clothes Adult ]]&lt;&gt;0,Table10[[#This Row],[Winter Clothes Children ]]&lt;&gt;0,Table10[[#This Row],[Winter Items Other ]]&lt;&gt;0),"No","")</f>
        <v/>
      </c>
      <c r="N22" s="115">
        <f>COUNTIF(A:A,Table10[[#This Row],[Pcode]])-1</f>
        <v>0</v>
      </c>
    </row>
    <row r="23" spans="1:20" x14ac:dyDescent="0.25">
      <c r="A23" s="102" t="s">
        <v>195</v>
      </c>
      <c r="B23" s="7" t="e">
        <f ca="1">OFFSET(#REF!,MATCH(Table10[[#This Row],[Pcode]],CampList[CP_Pcode],0)-1,0,1,1)</f>
        <v>#REF!</v>
      </c>
      <c r="C23" s="7" t="str">
        <f ca="1">OFFSET(CampList[Camp],MATCH(Table10[[#This Row],[Pcode]],CampList[CP_Pcode],0)-1,0,1,1)</f>
        <v xml:space="preserve">Je Yang Hka </v>
      </c>
      <c r="D23" s="7" t="str">
        <f ca="1">OFFSET(CampList[Township],MATCH(Table10[[#This Row],[Pcode]],CampList[CP_Pcode],0)-1,0,1,1)</f>
        <v>Momauk</v>
      </c>
      <c r="E23" s="7">
        <f ca="1">OFFSET(CampList[HH],MATCH(Table10[[#This Row],[Pcode]],CampList[CP_Pcode],0)-1,0,1,1)</f>
        <v>1492</v>
      </c>
      <c r="F23" s="7">
        <f ca="1">OFFSET(CampList[Total],MATCH(Table10[[#This Row],[Pcode]],CampList[CP_Pcode],0)-1,0,1,1)</f>
        <v>8514</v>
      </c>
      <c r="G23" s="106">
        <f>SUMIF('NFI Distributions'!AU$53:AU$1048576,Table10[[#This Row],[Pcode]],'NFI Distributions'!AM$53:AM$1048576)</f>
        <v>0</v>
      </c>
      <c r="H23" s="106">
        <f>SUMIF('NFI Distributions'!AU$53:AU$1048576,Table10[[#This Row],[Pcode]],'NFI Distributions'!AN$53:AN$1048576)</f>
        <v>0</v>
      </c>
      <c r="I23" s="106">
        <f>SUMIF('NFI Distributions'!AU$53:AU$1048576,Table10[[#This Row],[Pcode]],'NFI Distributions'!AO$53:AO$1048576)</f>
        <v>0</v>
      </c>
      <c r="J23" s="106">
        <f ca="1">MAX(Table10[[#This Row],[HH]]*VLOOKUP("Winter Clothes Adult",NFI,6)-Table10[[#This Row],[Winter Clothes Adult ]],0)</f>
        <v>2984</v>
      </c>
      <c r="K23" s="106">
        <f ca="1">MAX(Table10[[#This Row],[HH]]*VLOOKUP("Winter Clothes Children ",NFI,6)-Table10[[#This Row],[Winter Clothes Children ]],0)</f>
        <v>1492</v>
      </c>
      <c r="L23" s="106">
        <f ca="1">MAX(Table10[[#This Row],[HH]]*VLOOKUP("Winter Items Other ",NFI,6)-Table10[[#This Row],[Winter Items Other ]],0)</f>
        <v>1492</v>
      </c>
      <c r="M23" s="114" t="str">
        <f>IF(OR(Table10[[#This Row],[Winter Clothes Adult ]]&lt;&gt;0,Table10[[#This Row],[Winter Clothes Children ]]&lt;&gt;0,Table10[[#This Row],[Winter Items Other ]]&lt;&gt;0),"No","")</f>
        <v/>
      </c>
      <c r="N23" s="115">
        <f>COUNTIF(A:A,Table10[[#This Row],[Pcode]])-1</f>
        <v>0</v>
      </c>
    </row>
    <row r="24" spans="1:20" x14ac:dyDescent="0.25">
      <c r="A24" s="102" t="s">
        <v>218</v>
      </c>
      <c r="B24" s="7" t="e">
        <f ca="1">OFFSET(#REF!,MATCH(Table10[[#This Row],[Pcode]],CampList[CP_Pcode],0)-1,0,1,1)</f>
        <v>#REF!</v>
      </c>
      <c r="C24" s="7" t="str">
        <f ca="1">OFFSET(CampList[Camp],MATCH(Table10[[#This Row],[Pcode]],CampList[CP_Pcode],0)-1,0,1,1)</f>
        <v xml:space="preserve">Pa Kahtawng </v>
      </c>
      <c r="D24" s="7" t="str">
        <f ca="1">OFFSET(CampList[Township],MATCH(Table10[[#This Row],[Pcode]],CampList[CP_Pcode],0)-1,0,1,1)</f>
        <v>Momauk</v>
      </c>
      <c r="E24" s="7">
        <f ca="1">OFFSET(CampList[HH],MATCH(Table10[[#This Row],[Pcode]],CampList[CP_Pcode],0)-1,0,1,1)</f>
        <v>632</v>
      </c>
      <c r="F24" s="7">
        <f ca="1">OFFSET(CampList[Total],MATCH(Table10[[#This Row],[Pcode]],CampList[CP_Pcode],0)-1,0,1,1)</f>
        <v>3551</v>
      </c>
      <c r="G24" s="106">
        <f>SUMIF('NFI Distributions'!AU$53:AU$1048576,Table10[[#This Row],[Pcode]],'NFI Distributions'!AM$53:AM$1048576)</f>
        <v>0</v>
      </c>
      <c r="H24" s="106">
        <f>SUMIF('NFI Distributions'!AU$53:AU$1048576,Table10[[#This Row],[Pcode]],'NFI Distributions'!AN$53:AN$1048576)</f>
        <v>0</v>
      </c>
      <c r="I24" s="106">
        <f>SUMIF('NFI Distributions'!AU$53:AU$1048576,Table10[[#This Row],[Pcode]],'NFI Distributions'!AO$53:AO$1048576)</f>
        <v>0</v>
      </c>
      <c r="J24" s="106">
        <f ca="1">MAX(Table10[[#This Row],[HH]]*VLOOKUP("Winter Clothes Adult",NFI,6)-Table10[[#This Row],[Winter Clothes Adult ]],0)</f>
        <v>1264</v>
      </c>
      <c r="K24" s="106">
        <f ca="1">MAX(Table10[[#This Row],[HH]]*VLOOKUP("Winter Clothes Children ",NFI,6)-Table10[[#This Row],[Winter Clothes Children ]],0)</f>
        <v>632</v>
      </c>
      <c r="L24" s="106">
        <f ca="1">MAX(Table10[[#This Row],[HH]]*VLOOKUP("Winter Items Other ",NFI,6)-Table10[[#This Row],[Winter Items Other ]],0)</f>
        <v>632</v>
      </c>
      <c r="M24" s="114" t="str">
        <f>IF(OR(Table10[[#This Row],[Winter Clothes Adult ]]&lt;&gt;0,Table10[[#This Row],[Winter Clothes Children ]]&lt;&gt;0,Table10[[#This Row],[Winter Items Other ]]&lt;&gt;0),"No","")</f>
        <v/>
      </c>
      <c r="N24" s="115">
        <f>COUNTIF(A:A,Table10[[#This Row],[Pcode]])-1</f>
        <v>0</v>
      </c>
    </row>
    <row r="25" spans="1:20" x14ac:dyDescent="0.25">
      <c r="A25" s="102" t="s">
        <v>191</v>
      </c>
      <c r="B25" s="7" t="e">
        <f ca="1">OFFSET(#REF!,MATCH(Table10[[#This Row],[Pcode]],CampList[CP_Pcode],0)-1,0,1,1)</f>
        <v>#REF!</v>
      </c>
      <c r="C25" s="7" t="str">
        <f ca="1">OFFSET(CampList[Camp],MATCH(Table10[[#This Row],[Pcode]],CampList[CP_Pcode],0)-1,0,1,1)</f>
        <v xml:space="preserve">Dum Bung </v>
      </c>
      <c r="D25" s="7" t="str">
        <f ca="1">OFFSET(CampList[Township],MATCH(Table10[[#This Row],[Pcode]],CampList[CP_Pcode],0)-1,0,1,1)</f>
        <v>Momauk</v>
      </c>
      <c r="E25" s="7">
        <f ca="1">OFFSET(CampList[HH],MATCH(Table10[[#This Row],[Pcode]],CampList[CP_Pcode],0)-1,0,1,1)</f>
        <v>88</v>
      </c>
      <c r="F25" s="7">
        <f ca="1">OFFSET(CampList[Total],MATCH(Table10[[#This Row],[Pcode]],CampList[CP_Pcode],0)-1,0,1,1)</f>
        <v>338</v>
      </c>
      <c r="G25" s="106">
        <f>SUMIF('NFI Distributions'!AU$53:AU$1048576,Table10[[#This Row],[Pcode]],'NFI Distributions'!AM$53:AM$1048576)</f>
        <v>0</v>
      </c>
      <c r="H25" s="106">
        <f>SUMIF('NFI Distributions'!AU$53:AU$1048576,Table10[[#This Row],[Pcode]],'NFI Distributions'!AN$53:AN$1048576)</f>
        <v>0</v>
      </c>
      <c r="I25" s="106">
        <f>SUMIF('NFI Distributions'!AU$53:AU$1048576,Table10[[#This Row],[Pcode]],'NFI Distributions'!AO$53:AO$1048576)</f>
        <v>0</v>
      </c>
      <c r="J25" s="106">
        <f ca="1">MAX(Table10[[#This Row],[HH]]*VLOOKUP("Winter Clothes Adult",NFI,6)-Table10[[#This Row],[Winter Clothes Adult ]],0)</f>
        <v>176</v>
      </c>
      <c r="K25" s="106">
        <f ca="1">MAX(Table10[[#This Row],[HH]]*VLOOKUP("Winter Clothes Children ",NFI,6)-Table10[[#This Row],[Winter Clothes Children ]],0)</f>
        <v>88</v>
      </c>
      <c r="L25" s="106">
        <f ca="1">MAX(Table10[[#This Row],[HH]]*VLOOKUP("Winter Items Other ",NFI,6)-Table10[[#This Row],[Winter Items Other ]],0)</f>
        <v>88</v>
      </c>
      <c r="M25" s="114" t="str">
        <f>IF(OR(Table10[[#This Row],[Winter Clothes Adult ]]&lt;&gt;0,Table10[[#This Row],[Winter Clothes Children ]]&lt;&gt;0,Table10[[#This Row],[Winter Items Other ]]&lt;&gt;0),"No","")</f>
        <v/>
      </c>
      <c r="N25" s="115">
        <f>COUNTIF(A:A,Table10[[#This Row],[Pcode]])-1</f>
        <v>0</v>
      </c>
    </row>
    <row r="26" spans="1:20" x14ac:dyDescent="0.25">
      <c r="A26" s="102" t="s">
        <v>752</v>
      </c>
      <c r="B26" s="7" t="e">
        <f ca="1">OFFSET(#REF!,MATCH(Table10[[#This Row],[Pcode]],CampList[CP_Pcode],0)-1,0,1,1)</f>
        <v>#REF!</v>
      </c>
      <c r="C26" s="7" t="str">
        <f ca="1">OFFSET(CampList[Camp],MATCH(Table10[[#This Row],[Pcode]],CampList[CP_Pcode],0)-1,0,1,1)</f>
        <v>IDP Boarding School, A Len Bum</v>
      </c>
      <c r="D26" s="7" t="str">
        <f ca="1">OFFSET(CampList[Township],MATCH(Table10[[#This Row],[Pcode]],CampList[CP_Pcode],0)-1,0,1,1)</f>
        <v>Waingmaw</v>
      </c>
      <c r="E26" s="7">
        <f ca="1">OFFSET(CampList[HH],MATCH(Table10[[#This Row],[Pcode]],CampList[CP_Pcode],0)-1,0,1,1)</f>
        <v>0</v>
      </c>
      <c r="F26" s="7">
        <f ca="1">OFFSET(CampList[Total],MATCH(Table10[[#This Row],[Pcode]],CampList[CP_Pcode],0)-1,0,1,1)</f>
        <v>872</v>
      </c>
      <c r="G26" s="106">
        <f>SUMIF('NFI Distributions'!AU$53:AU$1048576,Table10[[#This Row],[Pcode]],'NFI Distributions'!AM$53:AM$1048576)</f>
        <v>0</v>
      </c>
      <c r="H26" s="106">
        <f>SUMIF('NFI Distributions'!AU$53:AU$1048576,Table10[[#This Row],[Pcode]],'NFI Distributions'!AN$53:AN$1048576)</f>
        <v>0</v>
      </c>
      <c r="I26" s="106">
        <f>SUMIF('NFI Distributions'!AU$53:AU$1048576,Table10[[#This Row],[Pcode]],'NFI Distributions'!AO$53:AO$1048576)</f>
        <v>0</v>
      </c>
      <c r="J26" s="106">
        <f ca="1">MAX(Table10[[#This Row],[HH]]*VLOOKUP("Winter Clothes Adult",NFI,6)-Table10[[#This Row],[Winter Clothes Adult ]],0)</f>
        <v>0</v>
      </c>
      <c r="K26" s="106">
        <f ca="1">MAX(Table10[[#This Row],[HH]]*VLOOKUP("Winter Clothes Children ",NFI,6)-Table10[[#This Row],[Winter Clothes Children ]],0)</f>
        <v>0</v>
      </c>
      <c r="L26" s="106">
        <f ca="1">MAX(Table10[[#This Row],[HH]]*VLOOKUP("Winter Items Other ",NFI,6)-Table10[[#This Row],[Winter Items Other ]],0)</f>
        <v>0</v>
      </c>
      <c r="M26" s="114" t="str">
        <f>IF(OR(Table10[[#This Row],[Winter Clothes Adult ]]&lt;&gt;0,Table10[[#This Row],[Winter Clothes Children ]]&lt;&gt;0,Table10[[#This Row],[Winter Items Other ]]&lt;&gt;0),"No","")</f>
        <v/>
      </c>
      <c r="N26" s="115">
        <f>COUNTIF(A:A,Table10[[#This Row],[Pcode]])-1</f>
        <v>0</v>
      </c>
    </row>
    <row r="27" spans="1:20" x14ac:dyDescent="0.25">
      <c r="A27" s="102" t="s">
        <v>313</v>
      </c>
      <c r="B27" s="7" t="e">
        <f ca="1">OFFSET(#REF!,MATCH(Table10[[#This Row],[Pcode]],CampList[CP_Pcode],0)-1,0,1,1)</f>
        <v>#REF!</v>
      </c>
      <c r="C27" s="7" t="str">
        <f ca="1">OFFSET(CampList[Camp],MATCH(Table10[[#This Row],[Pcode]],CampList[CP_Pcode],0)-1,0,1,1)</f>
        <v>Laiza Market 3 - Laiza Gat</v>
      </c>
      <c r="D27" s="7" t="str">
        <f ca="1">OFFSET(CampList[Township],MATCH(Table10[[#This Row],[Pcode]],CampList[CP_Pcode],0)-1,0,1,1)</f>
        <v>Waingmaw</v>
      </c>
      <c r="E27" s="7">
        <f ca="1">OFFSET(CampList[HH],MATCH(Table10[[#This Row],[Pcode]],CampList[CP_Pcode],0)-1,0,1,1)</f>
        <v>0</v>
      </c>
      <c r="F27" s="7">
        <f ca="1">OFFSET(CampList[Total],MATCH(Table10[[#This Row],[Pcode]],CampList[CP_Pcode],0)-1,0,1,1)</f>
        <v>0</v>
      </c>
      <c r="G27" s="106">
        <f>SUMIF('NFI Distributions'!AU$53:AU$1048576,Table10[[#This Row],[Pcode]],'NFI Distributions'!AM$53:AM$1048576)</f>
        <v>0</v>
      </c>
      <c r="H27" s="106">
        <f>SUMIF('NFI Distributions'!AU$53:AU$1048576,Table10[[#This Row],[Pcode]],'NFI Distributions'!AN$53:AN$1048576)</f>
        <v>0</v>
      </c>
      <c r="I27" s="106">
        <f>SUMIF('NFI Distributions'!AU$53:AU$1048576,Table10[[#This Row],[Pcode]],'NFI Distributions'!AO$53:AO$1048576)</f>
        <v>0</v>
      </c>
      <c r="J27" s="106">
        <f ca="1">MAX(Table10[[#This Row],[HH]]*VLOOKUP("Winter Clothes Adult",NFI,6)-Table10[[#This Row],[Winter Clothes Adult ]],0)</f>
        <v>0</v>
      </c>
      <c r="K27" s="106">
        <f ca="1">MAX(Table10[[#This Row],[HH]]*VLOOKUP("Winter Clothes Children ",NFI,6)-Table10[[#This Row],[Winter Clothes Children ]],0)</f>
        <v>0</v>
      </c>
      <c r="L27" s="106">
        <f ca="1">MAX(Table10[[#This Row],[HH]]*VLOOKUP("Winter Items Other ",NFI,6)-Table10[[#This Row],[Winter Items Other ]],0)</f>
        <v>0</v>
      </c>
      <c r="M27" s="114" t="str">
        <f>IF(OR(Table10[[#This Row],[Winter Clothes Adult ]]&lt;&gt;0,Table10[[#This Row],[Winter Clothes Children ]]&lt;&gt;0,Table10[[#This Row],[Winter Items Other ]]&lt;&gt;0),"No","")</f>
        <v/>
      </c>
      <c r="N27" s="115">
        <f>COUNTIF(A:A,Table10[[#This Row],[Pcode]])-1</f>
        <v>0</v>
      </c>
    </row>
    <row r="28" spans="1:20" x14ac:dyDescent="0.25">
      <c r="A28" s="102" t="s">
        <v>354</v>
      </c>
      <c r="B28" s="7" t="e">
        <f ca="1">OFFSET(#REF!,MATCH(Table10[[#This Row],[Pcode]],CampList[CP_Pcode],0)-1,0,1,1)</f>
        <v>#REF!</v>
      </c>
      <c r="C28" s="7" t="str">
        <f ca="1">OFFSET(CampList[Camp],MATCH(Table10[[#This Row],[Pcode]],CampList[CP_Pcode],0)-1,0,1,1)</f>
        <v>Zai Awng - Mung Ga Zup</v>
      </c>
      <c r="D28" s="7" t="str">
        <f ca="1">OFFSET(CampList[Township],MATCH(Table10[[#This Row],[Pcode]],CampList[CP_Pcode],0)-1,0,1,1)</f>
        <v>Waingmaw</v>
      </c>
      <c r="E28" s="7">
        <f ca="1">OFFSET(CampList[HH],MATCH(Table10[[#This Row],[Pcode]],CampList[CP_Pcode],0)-1,0,1,1)</f>
        <v>0</v>
      </c>
      <c r="F28" s="7">
        <f ca="1">OFFSET(CampList[Total],MATCH(Table10[[#This Row],[Pcode]],CampList[CP_Pcode],0)-1,0,1,1)</f>
        <v>0</v>
      </c>
      <c r="G28" s="106">
        <f>SUMIF('NFI Distributions'!AU$53:AU$1048576,Table10[[#This Row],[Pcode]],'NFI Distributions'!AM$53:AM$1048576)</f>
        <v>0</v>
      </c>
      <c r="H28" s="106">
        <f>SUMIF('NFI Distributions'!AU$53:AU$1048576,Table10[[#This Row],[Pcode]],'NFI Distributions'!AN$53:AN$1048576)</f>
        <v>0</v>
      </c>
      <c r="I28" s="106">
        <f>SUMIF('NFI Distributions'!AU$53:AU$1048576,Table10[[#This Row],[Pcode]],'NFI Distributions'!AO$53:AO$1048576)</f>
        <v>0</v>
      </c>
      <c r="J28" s="106">
        <f ca="1">MAX(Table10[[#This Row],[HH]]*VLOOKUP("Winter Clothes Adult",NFI,6)-Table10[[#This Row],[Winter Clothes Adult ]],0)</f>
        <v>0</v>
      </c>
      <c r="K28" s="106">
        <f ca="1">MAX(Table10[[#This Row],[HH]]*VLOOKUP("Winter Clothes Children ",NFI,6)-Table10[[#This Row],[Winter Clothes Children ]],0)</f>
        <v>0</v>
      </c>
      <c r="L28" s="106">
        <f ca="1">MAX(Table10[[#This Row],[HH]]*VLOOKUP("Winter Items Other ",NFI,6)-Table10[[#This Row],[Winter Items Other ]],0)</f>
        <v>0</v>
      </c>
      <c r="M28" s="114" t="str">
        <f>IF(OR(Table10[[#This Row],[Winter Clothes Adult ]]&lt;&gt;0,Table10[[#This Row],[Winter Clothes Children ]]&lt;&gt;0,Table10[[#This Row],[Winter Items Other ]]&lt;&gt;0),"No","")</f>
        <v/>
      </c>
      <c r="N28" s="115">
        <f>COUNTIF(A:A,Table10[[#This Row],[Pcode]])-1</f>
        <v>0</v>
      </c>
    </row>
    <row r="29" spans="1:20" x14ac:dyDescent="0.25">
      <c r="A29" s="102" t="s">
        <v>320</v>
      </c>
      <c r="B29" s="7" t="e">
        <f ca="1">OFFSET(#REF!,MATCH(Table10[[#This Row],[Pcode]],CampList[CP_Pcode],0)-1,0,1,1)</f>
        <v>#REF!</v>
      </c>
      <c r="C29" s="7" t="str">
        <f ca="1">OFFSET(CampList[Camp],MATCH(Table10[[#This Row],[Pcode]],CampList[CP_Pcode],0)-1,0,1,1)</f>
        <v xml:space="preserve">Maga Yang </v>
      </c>
      <c r="D29" s="7" t="str">
        <f ca="1">OFFSET(CampList[Township],MATCH(Table10[[#This Row],[Pcode]],CampList[CP_Pcode],0)-1,0,1,1)</f>
        <v>Waingmaw</v>
      </c>
      <c r="E29" s="7">
        <f ca="1">OFFSET(CampList[HH],MATCH(Table10[[#This Row],[Pcode]],CampList[CP_Pcode],0)-1,0,1,1)</f>
        <v>414</v>
      </c>
      <c r="F29" s="7">
        <f ca="1">OFFSET(CampList[Total],MATCH(Table10[[#This Row],[Pcode]],CampList[CP_Pcode],0)-1,0,1,1)</f>
        <v>1551</v>
      </c>
      <c r="G29" s="106">
        <f>SUMIF('NFI Distributions'!AU$53:AU$1048576,Table10[[#This Row],[Pcode]],'NFI Distributions'!AM$53:AM$1048576)</f>
        <v>0</v>
      </c>
      <c r="H29" s="106">
        <f>SUMIF('NFI Distributions'!AU$53:AU$1048576,Table10[[#This Row],[Pcode]],'NFI Distributions'!AN$53:AN$1048576)</f>
        <v>0</v>
      </c>
      <c r="I29" s="106">
        <f>SUMIF('NFI Distributions'!AU$53:AU$1048576,Table10[[#This Row],[Pcode]],'NFI Distributions'!AO$53:AO$1048576)</f>
        <v>0</v>
      </c>
      <c r="J29" s="106">
        <f ca="1">MAX(Table10[[#This Row],[HH]]*VLOOKUP("Winter Clothes Adult",NFI,6)-Table10[[#This Row],[Winter Clothes Adult ]],0)</f>
        <v>828</v>
      </c>
      <c r="K29" s="106">
        <f ca="1">MAX(Table10[[#This Row],[HH]]*VLOOKUP("Winter Clothes Children ",NFI,6)-Table10[[#This Row],[Winter Clothes Children ]],0)</f>
        <v>414</v>
      </c>
      <c r="L29" s="106">
        <f ca="1">MAX(Table10[[#This Row],[HH]]*VLOOKUP("Winter Items Other ",NFI,6)-Table10[[#This Row],[Winter Items Other ]],0)</f>
        <v>414</v>
      </c>
      <c r="M29" s="114" t="str">
        <f>IF(OR(Table10[[#This Row],[Winter Clothes Adult ]]&lt;&gt;0,Table10[[#This Row],[Winter Clothes Children ]]&lt;&gt;0,Table10[[#This Row],[Winter Items Other ]]&lt;&gt;0),"No","")</f>
        <v/>
      </c>
      <c r="N29" s="115">
        <f>COUNTIF(A:A,Table10[[#This Row],[Pcode]])-1</f>
        <v>0</v>
      </c>
    </row>
    <row r="30" spans="1:20" x14ac:dyDescent="0.25">
      <c r="A30" s="102" t="s">
        <v>165</v>
      </c>
      <c r="B30" s="7" t="e">
        <f ca="1">OFFSET(#REF!,MATCH(Table10[[#This Row],[Pcode]],CampList[CP_Pcode],0)-1,0,1,1)</f>
        <v>#REF!</v>
      </c>
      <c r="C30" s="7" t="str">
        <f ca="1">OFFSET(CampList[Camp],MATCH(Table10[[#This Row],[Pcode]],CampList[CP_Pcode],0)-1,0,1,1)</f>
        <v>Mandung - Jinghpaw</v>
      </c>
      <c r="D30" s="7" t="str">
        <f ca="1">OFFSET(CampList[Township],MATCH(Table10[[#This Row],[Pcode]],CampList[CP_Pcode],0)-1,0,1,1)</f>
        <v>Manton</v>
      </c>
      <c r="E30" s="7">
        <f ca="1">OFFSET(CampList[HH],MATCH(Table10[[#This Row],[Pcode]],CampList[CP_Pcode],0)-1,0,1,1)</f>
        <v>33</v>
      </c>
      <c r="F30" s="7">
        <f ca="1">OFFSET(CampList[Total],MATCH(Table10[[#This Row],[Pcode]],CampList[CP_Pcode],0)-1,0,1,1)</f>
        <v>177</v>
      </c>
      <c r="G30" s="106">
        <f>SUMIF('NFI Distributions'!AU$53:AU$1048576,Table10[[#This Row],[Pcode]],'NFI Distributions'!AM$53:AM$1048576)</f>
        <v>0</v>
      </c>
      <c r="H30" s="106">
        <f>SUMIF('NFI Distributions'!AU$53:AU$1048576,Table10[[#This Row],[Pcode]],'NFI Distributions'!AN$53:AN$1048576)</f>
        <v>0</v>
      </c>
      <c r="I30" s="106">
        <f>SUMIF('NFI Distributions'!AU$53:AU$1048576,Table10[[#This Row],[Pcode]],'NFI Distributions'!AO$53:AO$1048576)</f>
        <v>0</v>
      </c>
      <c r="J30" s="106">
        <f ca="1">MAX(Table10[[#This Row],[HH]]*VLOOKUP("Winter Clothes Adult",NFI,6)-Table10[[#This Row],[Winter Clothes Adult ]],0)</f>
        <v>66</v>
      </c>
      <c r="K30" s="106">
        <f ca="1">MAX(Table10[[#This Row],[HH]]*VLOOKUP("Winter Clothes Children ",NFI,6)-Table10[[#This Row],[Winter Clothes Children ]],0)</f>
        <v>33</v>
      </c>
      <c r="L30" s="106">
        <f ca="1">MAX(Table10[[#This Row],[HH]]*VLOOKUP("Winter Items Other ",NFI,6)-Table10[[#This Row],[Winter Items Other ]],0)</f>
        <v>33</v>
      </c>
      <c r="M30" s="114" t="str">
        <f>IF(OR(Table10[[#This Row],[Winter Clothes Adult ]]&lt;&gt;0,Table10[[#This Row],[Winter Clothes Children ]]&lt;&gt;0,Table10[[#This Row],[Winter Items Other ]]&lt;&gt;0),"No","")</f>
        <v/>
      </c>
      <c r="N30" s="115">
        <f>COUNTIF(A:A,Table10[[#This Row],[Pcode]])-1</f>
        <v>0</v>
      </c>
    </row>
    <row r="31" spans="1:20" x14ac:dyDescent="0.25">
      <c r="A31" s="102" t="s">
        <v>771</v>
      </c>
      <c r="B31" s="7" t="e">
        <f ca="1">OFFSET(#REF!,MATCH(Table10[[#This Row],[Pcode]],CampList[CP_Pcode],0)-1,0,1,1)</f>
        <v>#REF!</v>
      </c>
      <c r="C31" s="7" t="str">
        <f ca="1">OFFSET(CampList[Camp],MATCH(Table10[[#This Row],[Pcode]],CampList[CP_Pcode],0)-1,0,1,1)</f>
        <v>Nam Hkawng</v>
      </c>
      <c r="D31" s="7" t="str">
        <f ca="1">OFFSET(CampList[Township],MATCH(Table10[[#This Row],[Pcode]],CampList[CP_Pcode],0)-1,0,1,1)</f>
        <v>Muse</v>
      </c>
      <c r="E31" s="7">
        <f ca="1">OFFSET(CampList[HH],MATCH(Table10[[#This Row],[Pcode]],CampList[CP_Pcode],0)-1,0,1,1)</f>
        <v>9</v>
      </c>
      <c r="F31" s="7">
        <f ca="1">OFFSET(CampList[Total],MATCH(Table10[[#This Row],[Pcode]],CampList[CP_Pcode],0)-1,0,1,1)</f>
        <v>44</v>
      </c>
      <c r="G31" s="106">
        <f>SUMIF('NFI Distributions'!AU$53:AU$1048576,Table10[[#This Row],[Pcode]],'NFI Distributions'!AM$53:AM$1048576)</f>
        <v>0</v>
      </c>
      <c r="H31" s="106">
        <f>SUMIF('NFI Distributions'!AU$53:AU$1048576,Table10[[#This Row],[Pcode]],'NFI Distributions'!AN$53:AN$1048576)</f>
        <v>0</v>
      </c>
      <c r="I31" s="106">
        <f>SUMIF('NFI Distributions'!AU$53:AU$1048576,Table10[[#This Row],[Pcode]],'NFI Distributions'!AO$53:AO$1048576)</f>
        <v>0</v>
      </c>
      <c r="J31" s="106">
        <f ca="1">MAX(Table10[[#This Row],[HH]]*VLOOKUP("Winter Clothes Adult",NFI,6)-Table10[[#This Row],[Winter Clothes Adult ]],0)</f>
        <v>18</v>
      </c>
      <c r="K31" s="106">
        <f ca="1">MAX(Table10[[#This Row],[HH]]*VLOOKUP("Winter Clothes Children ",NFI,6)-Table10[[#This Row],[Winter Clothes Children ]],0)</f>
        <v>9</v>
      </c>
      <c r="L31" s="106">
        <f ca="1">MAX(Table10[[#This Row],[HH]]*VLOOKUP("Winter Items Other ",NFI,6)-Table10[[#This Row],[Winter Items Other ]],0)</f>
        <v>9</v>
      </c>
      <c r="M31" s="114" t="str">
        <f>IF(OR(Table10[[#This Row],[Winter Clothes Adult ]]&lt;&gt;0,Table10[[#This Row],[Winter Clothes Children ]]&lt;&gt;0,Table10[[#This Row],[Winter Items Other ]]&lt;&gt;0),"No","")</f>
        <v/>
      </c>
      <c r="N31" s="115">
        <f>COUNTIF(A:A,Table10[[#This Row],[Pcode]])-1</f>
        <v>0</v>
      </c>
    </row>
    <row r="32" spans="1:20" x14ac:dyDescent="0.25">
      <c r="A32" s="102" t="s">
        <v>184</v>
      </c>
      <c r="B32" s="7" t="e">
        <f ca="1">OFFSET(#REF!,MATCH(Table10[[#This Row],[Pcode]],CampList[CP_Pcode],0)-1,0,1,1)</f>
        <v>#REF!</v>
      </c>
      <c r="C32" s="7" t="str">
        <f ca="1">OFFSET(CampList[Camp],MATCH(Table10[[#This Row],[Pcode]],CampList[CP_Pcode],0)-1,0,1,1)</f>
        <v>Loi Je Baptist Church</v>
      </c>
      <c r="D32" s="7" t="str">
        <f ca="1">OFFSET(CampList[Township],MATCH(Table10[[#This Row],[Pcode]],CampList[CP_Pcode],0)-1,0,1,1)</f>
        <v>Momauk</v>
      </c>
      <c r="E32" s="7">
        <f ca="1">OFFSET(CampList[HH],MATCH(Table10[[#This Row],[Pcode]],CampList[CP_Pcode],0)-1,0,1,1)</f>
        <v>41</v>
      </c>
      <c r="F32" s="7">
        <f ca="1">OFFSET(CampList[Total],MATCH(Table10[[#This Row],[Pcode]],CampList[CP_Pcode],0)-1,0,1,1)</f>
        <v>241</v>
      </c>
      <c r="G32" s="106">
        <f>SUMIF('NFI Distributions'!AU$53:AU$1048576,Table10[[#This Row],[Pcode]],'NFI Distributions'!AM$53:AM$1048576)</f>
        <v>0</v>
      </c>
      <c r="H32" s="106">
        <f>SUMIF('NFI Distributions'!AU$53:AU$1048576,Table10[[#This Row],[Pcode]],'NFI Distributions'!AN$53:AN$1048576)</f>
        <v>0</v>
      </c>
      <c r="I32" s="106">
        <f>SUMIF('NFI Distributions'!AU$53:AU$1048576,Table10[[#This Row],[Pcode]],'NFI Distributions'!AO$53:AO$1048576)</f>
        <v>0</v>
      </c>
      <c r="J32" s="106">
        <f ca="1">MAX(Table10[[#This Row],[HH]]*VLOOKUP("Winter Clothes Adult",NFI,6)-Table10[[#This Row],[Winter Clothes Adult ]],0)</f>
        <v>82</v>
      </c>
      <c r="K32" s="106">
        <f ca="1">MAX(Table10[[#This Row],[HH]]*VLOOKUP("Winter Clothes Children ",NFI,6)-Table10[[#This Row],[Winter Clothes Children ]],0)</f>
        <v>41</v>
      </c>
      <c r="L32" s="106">
        <f ca="1">MAX(Table10[[#This Row],[HH]]*VLOOKUP("Winter Items Other ",NFI,6)-Table10[[#This Row],[Winter Items Other ]],0)</f>
        <v>41</v>
      </c>
      <c r="M32" s="114" t="str">
        <f>IF(OR(Table10[[#This Row],[Winter Clothes Adult ]]&lt;&gt;0,Table10[[#This Row],[Winter Clothes Children ]]&lt;&gt;0,Table10[[#This Row],[Winter Items Other ]]&lt;&gt;0),"No","")</f>
        <v/>
      </c>
      <c r="N32" s="115">
        <f>COUNTIF(A:A,Table10[[#This Row],[Pcode]])-1</f>
        <v>0</v>
      </c>
    </row>
    <row r="33" spans="1:14" x14ac:dyDescent="0.25">
      <c r="A33" s="102" t="s">
        <v>222</v>
      </c>
      <c r="B33" s="7" t="e">
        <f ca="1">OFFSET(#REF!,MATCH(Table10[[#This Row],[Pcode]],CampList[CP_Pcode],0)-1,0,1,1)</f>
        <v>#REF!</v>
      </c>
      <c r="C33" s="7" t="str">
        <f ca="1">OFFSET(CampList[Camp],MATCH(Table10[[#This Row],[Pcode]],CampList[CP_Pcode],0)-1,0,1,1)</f>
        <v>Loi Je Catholic Church</v>
      </c>
      <c r="D33" s="7" t="str">
        <f ca="1">OFFSET(CampList[Township],MATCH(Table10[[#This Row],[Pcode]],CampList[CP_Pcode],0)-1,0,1,1)</f>
        <v>Momauk</v>
      </c>
      <c r="E33" s="7">
        <f ca="1">OFFSET(CampList[HH],MATCH(Table10[[#This Row],[Pcode]],CampList[CP_Pcode],0)-1,0,1,1)</f>
        <v>129</v>
      </c>
      <c r="F33" s="7">
        <f ca="1">OFFSET(CampList[Total],MATCH(Table10[[#This Row],[Pcode]],CampList[CP_Pcode],0)-1,0,1,1)</f>
        <v>643</v>
      </c>
      <c r="G33" s="106">
        <f>SUMIF('NFI Distributions'!AU$53:AU$1048576,Table10[[#This Row],[Pcode]],'NFI Distributions'!AM$53:AM$1048576)</f>
        <v>0</v>
      </c>
      <c r="H33" s="106">
        <f>SUMIF('NFI Distributions'!AU$53:AU$1048576,Table10[[#This Row],[Pcode]],'NFI Distributions'!AN$53:AN$1048576)</f>
        <v>0</v>
      </c>
      <c r="I33" s="106">
        <f>SUMIF('NFI Distributions'!AU$53:AU$1048576,Table10[[#This Row],[Pcode]],'NFI Distributions'!AO$53:AO$1048576)</f>
        <v>0</v>
      </c>
      <c r="J33" s="106">
        <f ca="1">MAX(Table10[[#This Row],[HH]]*VLOOKUP("Winter Clothes Adult",NFI,6)-Table10[[#This Row],[Winter Clothes Adult ]],0)</f>
        <v>258</v>
      </c>
      <c r="K33" s="106">
        <f ca="1">MAX(Table10[[#This Row],[HH]]*VLOOKUP("Winter Clothes Children ",NFI,6)-Table10[[#This Row],[Winter Clothes Children ]],0)</f>
        <v>129</v>
      </c>
      <c r="L33" s="106">
        <f ca="1">MAX(Table10[[#This Row],[HH]]*VLOOKUP("Winter Items Other ",NFI,6)-Table10[[#This Row],[Winter Items Other ]],0)</f>
        <v>129</v>
      </c>
      <c r="M33" s="114" t="str">
        <f>IF(OR(Table10[[#This Row],[Winter Clothes Adult ]]&lt;&gt;0,Table10[[#This Row],[Winter Clothes Children ]]&lt;&gt;0,Table10[[#This Row],[Winter Items Other ]]&lt;&gt;0),"No","")</f>
        <v/>
      </c>
      <c r="N33" s="115">
        <f>COUNTIF(A:A,Table10[[#This Row],[Pcode]])-1</f>
        <v>0</v>
      </c>
    </row>
    <row r="34" spans="1:14" x14ac:dyDescent="0.25">
      <c r="A34" s="102" t="s">
        <v>189</v>
      </c>
      <c r="B34" s="7" t="e">
        <f ca="1">OFFSET(#REF!,MATCH(Table10[[#This Row],[Pcode]],CampList[CP_Pcode],0)-1,0,1,1)</f>
        <v>#REF!</v>
      </c>
      <c r="C34" s="7" t="str">
        <f ca="1">OFFSET(CampList[Camp],MATCH(Table10[[#This Row],[Pcode]],CampList[CP_Pcode],0)-1,0,1,1)</f>
        <v>Loi Je Lisu Camp</v>
      </c>
      <c r="D34" s="7" t="str">
        <f ca="1">OFFSET(CampList[Township],MATCH(Table10[[#This Row],[Pcode]],CampList[CP_Pcode],0)-1,0,1,1)</f>
        <v>Momauk</v>
      </c>
      <c r="E34" s="7">
        <f ca="1">OFFSET(CampList[HH],MATCH(Table10[[#This Row],[Pcode]],CampList[CP_Pcode],0)-1,0,1,1)</f>
        <v>204</v>
      </c>
      <c r="F34" s="7">
        <f ca="1">OFFSET(CampList[Total],MATCH(Table10[[#This Row],[Pcode]],CampList[CP_Pcode],0)-1,0,1,1)</f>
        <v>1146</v>
      </c>
      <c r="G34" s="106">
        <f>SUMIF('NFI Distributions'!AU$53:AU$1048576,Table10[[#This Row],[Pcode]],'NFI Distributions'!AM$53:AM$1048576)</f>
        <v>0</v>
      </c>
      <c r="H34" s="106">
        <f>SUMIF('NFI Distributions'!AU$53:AU$1048576,Table10[[#This Row],[Pcode]],'NFI Distributions'!AN$53:AN$1048576)</f>
        <v>0</v>
      </c>
      <c r="I34" s="106">
        <f>SUMIF('NFI Distributions'!AU$53:AU$1048576,Table10[[#This Row],[Pcode]],'NFI Distributions'!AO$53:AO$1048576)</f>
        <v>0</v>
      </c>
      <c r="J34" s="106">
        <f ca="1">MAX(Table10[[#This Row],[HH]]*VLOOKUP("Winter Clothes Adult",NFI,6)-Table10[[#This Row],[Winter Clothes Adult ]],0)</f>
        <v>408</v>
      </c>
      <c r="K34" s="106">
        <f ca="1">MAX(Table10[[#This Row],[HH]]*VLOOKUP("Winter Clothes Children ",NFI,6)-Table10[[#This Row],[Winter Clothes Children ]],0)</f>
        <v>204</v>
      </c>
      <c r="L34" s="106">
        <f ca="1">MAX(Table10[[#This Row],[HH]]*VLOOKUP("Winter Items Other ",NFI,6)-Table10[[#This Row],[Winter Items Other ]],0)</f>
        <v>204</v>
      </c>
      <c r="M34" s="114" t="str">
        <f>IF(OR(Table10[[#This Row],[Winter Clothes Adult ]]&lt;&gt;0,Table10[[#This Row],[Winter Clothes Children ]]&lt;&gt;0,Table10[[#This Row],[Winter Items Other ]]&lt;&gt;0),"No","")</f>
        <v/>
      </c>
      <c r="N34" s="115">
        <f>COUNTIF(A:A,Table10[[#This Row],[Pcode]])-1</f>
        <v>0</v>
      </c>
    </row>
    <row r="35" spans="1:14" x14ac:dyDescent="0.25">
      <c r="A35" s="102" t="s">
        <v>224</v>
      </c>
      <c r="B35" s="7" t="e">
        <f ca="1">OFFSET(#REF!,MATCH(Table10[[#This Row],[Pcode]],CampList[CP_Pcode],0)-1,0,1,1)</f>
        <v>#REF!</v>
      </c>
      <c r="C35" s="7" t="str">
        <f ca="1">OFFSET(CampList[Camp],MATCH(Table10[[#This Row],[Pcode]],CampList[CP_Pcode],0)-1,0,1,1)</f>
        <v xml:space="preserve">Seng Ja </v>
      </c>
      <c r="D35" s="7" t="str">
        <f ca="1">OFFSET(CampList[Township],MATCH(Table10[[#This Row],[Pcode]],CampList[CP_Pcode],0)-1,0,1,1)</f>
        <v>Momauk</v>
      </c>
      <c r="E35" s="7">
        <f ca="1">OFFSET(CampList[HH],MATCH(Table10[[#This Row],[Pcode]],CampList[CP_Pcode],0)-1,0,1,1)</f>
        <v>43</v>
      </c>
      <c r="F35" s="7">
        <f ca="1">OFFSET(CampList[Total],MATCH(Table10[[#This Row],[Pcode]],CampList[CP_Pcode],0)-1,0,1,1)</f>
        <v>269</v>
      </c>
      <c r="G35" s="106">
        <f>SUMIF('NFI Distributions'!AU$53:AU$1048576,Table10[[#This Row],[Pcode]],'NFI Distributions'!AM$53:AM$1048576)</f>
        <v>0</v>
      </c>
      <c r="H35" s="106">
        <f>SUMIF('NFI Distributions'!AU$53:AU$1048576,Table10[[#This Row],[Pcode]],'NFI Distributions'!AN$53:AN$1048576)</f>
        <v>0</v>
      </c>
      <c r="I35" s="106">
        <f>SUMIF('NFI Distributions'!AU$53:AU$1048576,Table10[[#This Row],[Pcode]],'NFI Distributions'!AO$53:AO$1048576)</f>
        <v>0</v>
      </c>
      <c r="J35" s="106">
        <f ca="1">MAX(Table10[[#This Row],[HH]]*VLOOKUP("Winter Clothes Adult",NFI,6)-Table10[[#This Row],[Winter Clothes Adult ]],0)</f>
        <v>86</v>
      </c>
      <c r="K35" s="106">
        <f ca="1">MAX(Table10[[#This Row],[HH]]*VLOOKUP("Winter Clothes Children ",NFI,6)-Table10[[#This Row],[Winter Clothes Children ]],0)</f>
        <v>43</v>
      </c>
      <c r="L35" s="106">
        <f ca="1">MAX(Table10[[#This Row],[HH]]*VLOOKUP("Winter Items Other ",NFI,6)-Table10[[#This Row],[Winter Items Other ]],0)</f>
        <v>43</v>
      </c>
      <c r="M35" s="114" t="str">
        <f>IF(OR(Table10[[#This Row],[Winter Clothes Adult ]]&lt;&gt;0,Table10[[#This Row],[Winter Clothes Children ]]&lt;&gt;0,Table10[[#This Row],[Winter Items Other ]]&lt;&gt;0),"No","")</f>
        <v/>
      </c>
      <c r="N35" s="115">
        <f>COUNTIF(A:A,Table10[[#This Row],[Pcode]])-1</f>
        <v>0</v>
      </c>
    </row>
    <row r="36" spans="1:14" x14ac:dyDescent="0.25">
      <c r="A36" s="102" t="s">
        <v>228</v>
      </c>
      <c r="B36" s="7" t="e">
        <f ca="1">OFFSET(#REF!,MATCH(Table10[[#This Row],[Pcode]],CampList[CP_Pcode],0)-1,0,1,1)</f>
        <v>#REF!</v>
      </c>
      <c r="C36" s="7" t="str">
        <f ca="1">OFFSET(CampList[Camp],MATCH(Table10[[#This Row],[Pcode]],CampList[CP_Pcode],0)-1,0,1,1)</f>
        <v xml:space="preserve">Nyaung Na Pin </v>
      </c>
      <c r="D36" s="7" t="str">
        <f ca="1">OFFSET(CampList[Township],MATCH(Table10[[#This Row],[Pcode]],CampList[CP_Pcode],0)-1,0,1,1)</f>
        <v>Momauk</v>
      </c>
      <c r="E36" s="7">
        <f ca="1">OFFSET(CampList[HH],MATCH(Table10[[#This Row],[Pcode]],CampList[CP_Pcode],0)-1,0,1,1)</f>
        <v>48</v>
      </c>
      <c r="F36" s="7">
        <f ca="1">OFFSET(CampList[Total],MATCH(Table10[[#This Row],[Pcode]],CampList[CP_Pcode],0)-1,0,1,1)</f>
        <v>294</v>
      </c>
      <c r="G36" s="106">
        <f>SUMIF('NFI Distributions'!AU$53:AU$1048576,Table10[[#This Row],[Pcode]],'NFI Distributions'!AM$53:AM$1048576)</f>
        <v>0</v>
      </c>
      <c r="H36" s="106">
        <f>SUMIF('NFI Distributions'!AU$53:AU$1048576,Table10[[#This Row],[Pcode]],'NFI Distributions'!AN$53:AN$1048576)</f>
        <v>0</v>
      </c>
      <c r="I36" s="106">
        <f>SUMIF('NFI Distributions'!AU$53:AU$1048576,Table10[[#This Row],[Pcode]],'NFI Distributions'!AO$53:AO$1048576)</f>
        <v>0</v>
      </c>
      <c r="J36" s="106">
        <f ca="1">MAX(Table10[[#This Row],[HH]]*VLOOKUP("Winter Clothes Adult",NFI,6)-Table10[[#This Row],[Winter Clothes Adult ]],0)</f>
        <v>96</v>
      </c>
      <c r="K36" s="106">
        <f ca="1">MAX(Table10[[#This Row],[HH]]*VLOOKUP("Winter Clothes Children ",NFI,6)-Table10[[#This Row],[Winter Clothes Children ]],0)</f>
        <v>48</v>
      </c>
      <c r="L36" s="106">
        <f ca="1">MAX(Table10[[#This Row],[HH]]*VLOOKUP("Winter Items Other ",NFI,6)-Table10[[#This Row],[Winter Items Other ]],0)</f>
        <v>48</v>
      </c>
      <c r="M36" s="114" t="str">
        <f>IF(OR(Table10[[#This Row],[Winter Clothes Adult ]]&lt;&gt;0,Table10[[#This Row],[Winter Clothes Children ]]&lt;&gt;0,Table10[[#This Row],[Winter Items Other ]]&lt;&gt;0),"No","")</f>
        <v/>
      </c>
      <c r="N36" s="115">
        <f>COUNTIF(A:A,Table10[[#This Row],[Pcode]])-1</f>
        <v>0</v>
      </c>
    </row>
    <row r="37" spans="1:14" x14ac:dyDescent="0.25">
      <c r="A37" s="102" t="s">
        <v>820</v>
      </c>
      <c r="B37" s="7" t="e">
        <f ca="1">OFFSET(#REF!,MATCH(Table10[[#This Row],[Pcode]],CampList[CP_Pcode],0)-1,0,1,1)</f>
        <v>#REF!</v>
      </c>
      <c r="C37" s="7" t="str">
        <f ca="1">OFFSET(CampList[Camp],MATCH(Table10[[#This Row],[Pcode]],CampList[CP_Pcode],0)-1,0,1,1)</f>
        <v>Machanbaw - KBC</v>
      </c>
      <c r="D37" s="7" t="str">
        <f ca="1">OFFSET(CampList[Township],MATCH(Table10[[#This Row],[Pcode]],CampList[CP_Pcode],0)-1,0,1,1)</f>
        <v>Machanbaw</v>
      </c>
      <c r="E37" s="7">
        <f ca="1">OFFSET(CampList[HH],MATCH(Table10[[#This Row],[Pcode]],CampList[CP_Pcode],0)-1,0,1,1)</f>
        <v>0</v>
      </c>
      <c r="F37" s="7">
        <f ca="1">OFFSET(CampList[Total],MATCH(Table10[[#This Row],[Pcode]],CampList[CP_Pcode],0)-1,0,1,1)</f>
        <v>0</v>
      </c>
      <c r="G37" s="106">
        <f>SUMIF('NFI Distributions'!AU$53:AU$1048576,Table10[[#This Row],[Pcode]],'NFI Distributions'!AM$53:AM$1048576)</f>
        <v>0</v>
      </c>
      <c r="H37" s="106">
        <f>SUMIF('NFI Distributions'!AU$53:AU$1048576,Table10[[#This Row],[Pcode]],'NFI Distributions'!AN$53:AN$1048576)</f>
        <v>0</v>
      </c>
      <c r="I37" s="106">
        <f>SUMIF('NFI Distributions'!AU$53:AU$1048576,Table10[[#This Row],[Pcode]],'NFI Distributions'!AO$53:AO$1048576)</f>
        <v>0</v>
      </c>
      <c r="J37" s="106">
        <f ca="1">MAX(Table10[[#This Row],[HH]]*VLOOKUP("Winter Clothes Adult",NFI,6)-Table10[[#This Row],[Winter Clothes Adult ]],0)</f>
        <v>0</v>
      </c>
      <c r="K37" s="106">
        <f ca="1">MAX(Table10[[#This Row],[HH]]*VLOOKUP("Winter Clothes Children ",NFI,6)-Table10[[#This Row],[Winter Clothes Children ]],0)</f>
        <v>0</v>
      </c>
      <c r="L37" s="106">
        <f ca="1">MAX(Table10[[#This Row],[HH]]*VLOOKUP("Winter Items Other ",NFI,6)-Table10[[#This Row],[Winter Items Other ]],0)</f>
        <v>0</v>
      </c>
      <c r="M37" s="114" t="str">
        <f>IF(OR(Table10[[#This Row],[Winter Clothes Adult ]]&lt;&gt;0,Table10[[#This Row],[Winter Clothes Children ]]&lt;&gt;0,Table10[[#This Row],[Winter Items Other ]]&lt;&gt;0),"No","")</f>
        <v/>
      </c>
      <c r="N37" s="115">
        <f>COUNTIF(A:A,Table10[[#This Row],[Pcode]])-1</f>
        <v>0</v>
      </c>
    </row>
    <row r="38" spans="1:14" x14ac:dyDescent="0.25">
      <c r="A38" s="102" t="s">
        <v>892</v>
      </c>
      <c r="B38" s="7" t="e">
        <f ca="1">OFFSET(#REF!,MATCH(Table10[[#This Row],[Pcode]],CampList[CP_Pcode],0)-1,0,1,1)</f>
        <v>#REF!</v>
      </c>
      <c r="C38" s="7" t="str">
        <f ca="1">OFFSET(CampList[Camp],MATCH(Table10[[#This Row],[Pcode]],CampList[CP_Pcode],0)-1,0,1,1)</f>
        <v>Inn Lel Yan - Host Families</v>
      </c>
      <c r="D38" s="7" t="str">
        <f ca="1">OFFSET(CampList[Township],MATCH(Table10[[#This Row],[Pcode]],CampList[CP_Pcode],0)-1,0,1,1)</f>
        <v>Puta-O</v>
      </c>
      <c r="E38" s="7">
        <f ca="1">OFFSET(CampList[HH],MATCH(Table10[[#This Row],[Pcode]],CampList[CP_Pcode],0)-1,0,1,1)</f>
        <v>10</v>
      </c>
      <c r="F38" s="7">
        <f ca="1">OFFSET(CampList[Total],MATCH(Table10[[#This Row],[Pcode]],CampList[CP_Pcode],0)-1,0,1,1)</f>
        <v>56</v>
      </c>
      <c r="G38" s="106">
        <f>SUMIF('NFI Distributions'!AU$53:AU$1048576,Table10[[#This Row],[Pcode]],'NFI Distributions'!AM$53:AM$1048576)</f>
        <v>0</v>
      </c>
      <c r="H38" s="106">
        <f>SUMIF('NFI Distributions'!AU$53:AU$1048576,Table10[[#This Row],[Pcode]],'NFI Distributions'!AN$53:AN$1048576)</f>
        <v>0</v>
      </c>
      <c r="I38" s="106">
        <f>SUMIF('NFI Distributions'!AU$53:AU$1048576,Table10[[#This Row],[Pcode]],'NFI Distributions'!AO$53:AO$1048576)</f>
        <v>0</v>
      </c>
      <c r="J38" s="106">
        <f ca="1">MAX(Table10[[#This Row],[HH]]*VLOOKUP("Winter Clothes Adult",NFI,6)-Table10[[#This Row],[Winter Clothes Adult ]],0)</f>
        <v>20</v>
      </c>
      <c r="K38" s="106">
        <f ca="1">MAX(Table10[[#This Row],[HH]]*VLOOKUP("Winter Clothes Children ",NFI,6)-Table10[[#This Row],[Winter Clothes Children ]],0)</f>
        <v>10</v>
      </c>
      <c r="L38" s="106">
        <f ca="1">MAX(Table10[[#This Row],[HH]]*VLOOKUP("Winter Items Other ",NFI,6)-Table10[[#This Row],[Winter Items Other ]],0)</f>
        <v>10</v>
      </c>
      <c r="M38" s="114" t="str">
        <f>IF(OR(Table10[[#This Row],[Winter Clothes Adult ]]&lt;&gt;0,Table10[[#This Row],[Winter Clothes Children ]]&lt;&gt;0,Table10[[#This Row],[Winter Items Other ]]&lt;&gt;0),"No","")</f>
        <v/>
      </c>
      <c r="N38" s="115">
        <f>COUNTIF(A:A,Table10[[#This Row],[Pcode]])-1</f>
        <v>0</v>
      </c>
    </row>
    <row r="39" spans="1:14" x14ac:dyDescent="0.25">
      <c r="A39" s="102" t="s">
        <v>816</v>
      </c>
      <c r="B39" s="7" t="e">
        <f ca="1">OFFSET(#REF!,MATCH(Table10[[#This Row],[Pcode]],CampList[CP_Pcode],0)-1,0,1,1)</f>
        <v>#REF!</v>
      </c>
      <c r="C39" s="7" t="str">
        <f ca="1">OFFSET(CampList[Camp],MATCH(Table10[[#This Row],[Pcode]],CampList[CP_Pcode],0)-1,0,1,1)</f>
        <v>Naung Khaing</v>
      </c>
      <c r="D39" s="7" t="str">
        <f ca="1">OFFSET(CampList[Township],MATCH(Table10[[#This Row],[Pcode]],CampList[CP_Pcode],0)-1,0,1,1)</f>
        <v>Puta-O</v>
      </c>
      <c r="E39" s="7">
        <f ca="1">OFFSET(CampList[HH],MATCH(Table10[[#This Row],[Pcode]],CampList[CP_Pcode],0)-1,0,1,1)</f>
        <v>0</v>
      </c>
      <c r="F39" s="7">
        <f ca="1">OFFSET(CampList[Total],MATCH(Table10[[#This Row],[Pcode]],CampList[CP_Pcode],0)-1,0,1,1)</f>
        <v>0</v>
      </c>
      <c r="G39" s="106">
        <f>SUMIF('NFI Distributions'!AU$53:AU$1048576,Table10[[#This Row],[Pcode]],'NFI Distributions'!AM$53:AM$1048576)</f>
        <v>0</v>
      </c>
      <c r="H39" s="106">
        <f>SUMIF('NFI Distributions'!AU$53:AU$1048576,Table10[[#This Row],[Pcode]],'NFI Distributions'!AN$53:AN$1048576)</f>
        <v>0</v>
      </c>
      <c r="I39" s="106">
        <f>SUMIF('NFI Distributions'!AU$53:AU$1048576,Table10[[#This Row],[Pcode]],'NFI Distributions'!AO$53:AO$1048576)</f>
        <v>0</v>
      </c>
      <c r="J39" s="106">
        <f ca="1">MAX(Table10[[#This Row],[HH]]*VLOOKUP("Winter Clothes Adult",NFI,6)-Table10[[#This Row],[Winter Clothes Adult ]],0)</f>
        <v>0</v>
      </c>
      <c r="K39" s="106">
        <f ca="1">MAX(Table10[[#This Row],[HH]]*VLOOKUP("Winter Clothes Children ",NFI,6)-Table10[[#This Row],[Winter Clothes Children ]],0)</f>
        <v>0</v>
      </c>
      <c r="L39" s="106">
        <f ca="1">MAX(Table10[[#This Row],[HH]]*VLOOKUP("Winter Items Other ",NFI,6)-Table10[[#This Row],[Winter Items Other ]],0)</f>
        <v>0</v>
      </c>
      <c r="M39" s="114" t="str">
        <f>IF(OR(Table10[[#This Row],[Winter Clothes Adult ]]&lt;&gt;0,Table10[[#This Row],[Winter Clothes Children ]]&lt;&gt;0,Table10[[#This Row],[Winter Items Other ]]&lt;&gt;0),"No","")</f>
        <v/>
      </c>
      <c r="N39" s="115">
        <f>COUNTIF(A:A,Table10[[#This Row],[Pcode]])-1</f>
        <v>0</v>
      </c>
    </row>
    <row r="40" spans="1:14" x14ac:dyDescent="0.25">
      <c r="A40" s="102" t="s">
        <v>298</v>
      </c>
      <c r="B40" s="7" t="e">
        <f ca="1">OFFSET(#REF!,MATCH(Table10[[#This Row],[Pcode]],CampList[CP_Pcode],0)-1,0,1,1)</f>
        <v>#REF!</v>
      </c>
      <c r="C40" s="7" t="str">
        <f ca="1">OFFSET(CampList[Camp],MATCH(Table10[[#This Row],[Pcode]],CampList[CP_Pcode],0)-1,0,1,1)</f>
        <v>Tote Tan Ward</v>
      </c>
      <c r="D40" s="7" t="str">
        <f ca="1">OFFSET(CampList[Township],MATCH(Table10[[#This Row],[Pcode]],CampList[CP_Pcode],0)-1,0,1,1)</f>
        <v>Puta-O</v>
      </c>
      <c r="E40" s="7">
        <f ca="1">OFFSET(CampList[HH],MATCH(Table10[[#This Row],[Pcode]],CampList[CP_Pcode],0)-1,0,1,1)</f>
        <v>14</v>
      </c>
      <c r="F40" s="7">
        <f ca="1">OFFSET(CampList[Total],MATCH(Table10[[#This Row],[Pcode]],CampList[CP_Pcode],0)-1,0,1,1)</f>
        <v>75</v>
      </c>
      <c r="G40" s="106">
        <f>SUMIF('NFI Distributions'!AU$53:AU$1048576,Table10[[#This Row],[Pcode]],'NFI Distributions'!AM$53:AM$1048576)</f>
        <v>0</v>
      </c>
      <c r="H40" s="106">
        <f>SUMIF('NFI Distributions'!AU$53:AU$1048576,Table10[[#This Row],[Pcode]],'NFI Distributions'!AN$53:AN$1048576)</f>
        <v>0</v>
      </c>
      <c r="I40" s="106">
        <f>SUMIF('NFI Distributions'!AU$53:AU$1048576,Table10[[#This Row],[Pcode]],'NFI Distributions'!AO$53:AO$1048576)</f>
        <v>0</v>
      </c>
      <c r="J40" s="106">
        <f ca="1">MAX(Table10[[#This Row],[HH]]*VLOOKUP("Winter Clothes Adult",NFI,6)-Table10[[#This Row],[Winter Clothes Adult ]],0)</f>
        <v>28</v>
      </c>
      <c r="K40" s="106">
        <f ca="1">MAX(Table10[[#This Row],[HH]]*VLOOKUP("Winter Clothes Children ",NFI,6)-Table10[[#This Row],[Winter Clothes Children ]],0)</f>
        <v>14</v>
      </c>
      <c r="L40" s="106">
        <f ca="1">MAX(Table10[[#This Row],[HH]]*VLOOKUP("Winter Items Other ",NFI,6)-Table10[[#This Row],[Winter Items Other ]],0)</f>
        <v>14</v>
      </c>
      <c r="M40" s="114" t="str">
        <f>IF(OR(Table10[[#This Row],[Winter Clothes Adult ]]&lt;&gt;0,Table10[[#This Row],[Winter Clothes Children ]]&lt;&gt;0,Table10[[#This Row],[Winter Items Other ]]&lt;&gt;0),"No","")</f>
        <v/>
      </c>
      <c r="N40" s="115">
        <f>COUNTIF(A:A,Table10[[#This Row],[Pcode]])-1</f>
        <v>0</v>
      </c>
    </row>
    <row r="41" spans="1:14" x14ac:dyDescent="0.25">
      <c r="A41" s="102" t="s">
        <v>380</v>
      </c>
      <c r="B41" s="7" t="e">
        <f ca="1">OFFSET(#REF!,MATCH(Table10[[#This Row],[Pcode]],CampList[CP_Pcode],0)-1,0,1,1)</f>
        <v>#REF!</v>
      </c>
      <c r="C41" s="7" t="str">
        <f ca="1">OFFSET(CampList[Camp],MATCH(Table10[[#This Row],[Pcode]],CampList[CP_Pcode],0)-1,0,1,1)</f>
        <v>Kone Khem Camp</v>
      </c>
      <c r="D41" s="7" t="str">
        <f ca="1">OFFSET(CampList[Township],MATCH(Table10[[#This Row],[Pcode]],CampList[CP_Pcode],0)-1,0,1,1)</f>
        <v>Kutkai</v>
      </c>
      <c r="E41" s="7">
        <f ca="1">OFFSET(CampList[HH],MATCH(Table10[[#This Row],[Pcode]],CampList[CP_Pcode],0)-1,0,1,1)</f>
        <v>0</v>
      </c>
      <c r="F41" s="7">
        <f ca="1">OFFSET(CampList[Total],MATCH(Table10[[#This Row],[Pcode]],CampList[CP_Pcode],0)-1,0,1,1)</f>
        <v>0</v>
      </c>
      <c r="G41" s="106">
        <f>SUMIF('NFI Distributions'!AU$53:AU$1048576,Table10[[#This Row],[Pcode]],'NFI Distributions'!AM$53:AM$1048576)</f>
        <v>0</v>
      </c>
      <c r="H41" s="106">
        <f>SUMIF('NFI Distributions'!AU$53:AU$1048576,Table10[[#This Row],[Pcode]],'NFI Distributions'!AN$53:AN$1048576)</f>
        <v>0</v>
      </c>
      <c r="I41" s="106">
        <f>SUMIF('NFI Distributions'!AU$53:AU$1048576,Table10[[#This Row],[Pcode]],'NFI Distributions'!AO$53:AO$1048576)</f>
        <v>0</v>
      </c>
      <c r="J41" s="106">
        <f ca="1">MAX(Table10[[#This Row],[HH]]*VLOOKUP("Winter Clothes Adult",NFI,6)-Table10[[#This Row],[Winter Clothes Adult ]],0)</f>
        <v>0</v>
      </c>
      <c r="K41" s="106">
        <f ca="1">MAX(Table10[[#This Row],[HH]]*VLOOKUP("Winter Clothes Children ",NFI,6)-Table10[[#This Row],[Winter Clothes Children ]],0)</f>
        <v>0</v>
      </c>
      <c r="L41" s="106">
        <f ca="1">MAX(Table10[[#This Row],[HH]]*VLOOKUP("Winter Items Other ",NFI,6)-Table10[[#This Row],[Winter Items Other ]],0)</f>
        <v>0</v>
      </c>
      <c r="M41" s="114" t="str">
        <f>IF(OR(Table10[[#This Row],[Winter Clothes Adult ]]&lt;&gt;0,Table10[[#This Row],[Winter Clothes Children ]]&lt;&gt;0,Table10[[#This Row],[Winter Items Other ]]&lt;&gt;0),"No","")</f>
        <v/>
      </c>
      <c r="N41" s="115">
        <f>COUNTIF(A:A,Table10[[#This Row],[Pcode]])-1</f>
        <v>0</v>
      </c>
    </row>
    <row r="42" spans="1:14" x14ac:dyDescent="0.25">
      <c r="A42" s="102" t="s">
        <v>381</v>
      </c>
      <c r="B42" s="7" t="e">
        <f ca="1">OFFSET(#REF!,MATCH(Table10[[#This Row],[Pcode]],CampList[CP_Pcode],0)-1,0,1,1)</f>
        <v>#REF!</v>
      </c>
      <c r="C42" s="7" t="str">
        <f ca="1">OFFSET(CampList[Camp],MATCH(Table10[[#This Row],[Pcode]],CampList[CP_Pcode],0)-1,0,1,1)</f>
        <v>Kutkai downtown (KBC Church)</v>
      </c>
      <c r="D42" s="7" t="str">
        <f ca="1">OFFSET(CampList[Township],MATCH(Table10[[#This Row],[Pcode]],CampList[CP_Pcode],0)-1,0,1,1)</f>
        <v>Kutkai</v>
      </c>
      <c r="E42" s="7">
        <f ca="1">OFFSET(CampList[HH],MATCH(Table10[[#This Row],[Pcode]],CampList[CP_Pcode],0)-1,0,1,1)</f>
        <v>53</v>
      </c>
      <c r="F42" s="7">
        <f ca="1">OFFSET(CampList[Total],MATCH(Table10[[#This Row],[Pcode]],CampList[CP_Pcode],0)-1,0,1,1)</f>
        <v>256</v>
      </c>
      <c r="G42" s="106">
        <f>SUMIF('NFI Distributions'!AU$53:AU$1048576,Table10[[#This Row],[Pcode]],'NFI Distributions'!AM$53:AM$1048576)</f>
        <v>0</v>
      </c>
      <c r="H42" s="106">
        <f>SUMIF('NFI Distributions'!AU$53:AU$1048576,Table10[[#This Row],[Pcode]],'NFI Distributions'!AN$53:AN$1048576)</f>
        <v>0</v>
      </c>
      <c r="I42" s="106">
        <f>SUMIF('NFI Distributions'!AU$53:AU$1048576,Table10[[#This Row],[Pcode]],'NFI Distributions'!AO$53:AO$1048576)</f>
        <v>0</v>
      </c>
      <c r="J42" s="106">
        <f ca="1">MAX(Table10[[#This Row],[HH]]*VLOOKUP("Winter Clothes Adult",NFI,6)-Table10[[#This Row],[Winter Clothes Adult ]],0)</f>
        <v>106</v>
      </c>
      <c r="K42" s="106">
        <f ca="1">MAX(Table10[[#This Row],[HH]]*VLOOKUP("Winter Clothes Children ",NFI,6)-Table10[[#This Row],[Winter Clothes Children ]],0)</f>
        <v>53</v>
      </c>
      <c r="L42" s="106">
        <f ca="1">MAX(Table10[[#This Row],[HH]]*VLOOKUP("Winter Items Other ",NFI,6)-Table10[[#This Row],[Winter Items Other ]],0)</f>
        <v>53</v>
      </c>
      <c r="M42" s="114" t="str">
        <f>IF(OR(Table10[[#This Row],[Winter Clothes Adult ]]&lt;&gt;0,Table10[[#This Row],[Winter Clothes Children ]]&lt;&gt;0,Table10[[#This Row],[Winter Items Other ]]&lt;&gt;0),"No","")</f>
        <v/>
      </c>
      <c r="N42" s="115">
        <f>COUNTIF(A:A,Table10[[#This Row],[Pcode]])-1</f>
        <v>0</v>
      </c>
    </row>
    <row r="43" spans="1:14" x14ac:dyDescent="0.25">
      <c r="A43" s="102" t="s">
        <v>382</v>
      </c>
      <c r="B43" s="7" t="e">
        <f ca="1">OFFSET(#REF!,MATCH(Table10[[#This Row],[Pcode]],CampList[CP_Pcode],0)-1,0,1,1)</f>
        <v>#REF!</v>
      </c>
      <c r="C43" s="7" t="str">
        <f ca="1">OFFSET(CampList[Camp],MATCH(Table10[[#This Row],[Pcode]],CampList[CP_Pcode],0)-1,0,1,1)</f>
        <v>Kutkai downtown (RC Church)</v>
      </c>
      <c r="D43" s="7" t="str">
        <f ca="1">OFFSET(CampList[Township],MATCH(Table10[[#This Row],[Pcode]],CampList[CP_Pcode],0)-1,0,1,1)</f>
        <v>Kutkai</v>
      </c>
      <c r="E43" s="7">
        <f ca="1">OFFSET(CampList[HH],MATCH(Table10[[#This Row],[Pcode]],CampList[CP_Pcode],0)-1,0,1,1)</f>
        <v>28</v>
      </c>
      <c r="F43" s="7">
        <f ca="1">OFFSET(CampList[Total],MATCH(Table10[[#This Row],[Pcode]],CampList[CP_Pcode],0)-1,0,1,1)</f>
        <v>132</v>
      </c>
      <c r="G43" s="106">
        <f>SUMIF('NFI Distributions'!AU$53:AU$1048576,Table10[[#This Row],[Pcode]],'NFI Distributions'!AM$53:AM$1048576)</f>
        <v>0</v>
      </c>
      <c r="H43" s="106">
        <f>SUMIF('NFI Distributions'!AU$53:AU$1048576,Table10[[#This Row],[Pcode]],'NFI Distributions'!AN$53:AN$1048576)</f>
        <v>0</v>
      </c>
      <c r="I43" s="106">
        <f>SUMIF('NFI Distributions'!AU$53:AU$1048576,Table10[[#This Row],[Pcode]],'NFI Distributions'!AO$53:AO$1048576)</f>
        <v>0</v>
      </c>
      <c r="J43" s="106">
        <f ca="1">MAX(Table10[[#This Row],[HH]]*VLOOKUP("Winter Clothes Adult",NFI,6)-Table10[[#This Row],[Winter Clothes Adult ]],0)</f>
        <v>56</v>
      </c>
      <c r="K43" s="106">
        <f ca="1">MAX(Table10[[#This Row],[HH]]*VLOOKUP("Winter Clothes Children ",NFI,6)-Table10[[#This Row],[Winter Clothes Children ]],0)</f>
        <v>28</v>
      </c>
      <c r="L43" s="106">
        <f ca="1">MAX(Table10[[#This Row],[HH]]*VLOOKUP("Winter Items Other ",NFI,6)-Table10[[#This Row],[Winter Items Other ]],0)</f>
        <v>28</v>
      </c>
      <c r="M43" s="114" t="str">
        <f>IF(OR(Table10[[#This Row],[Winter Clothes Adult ]]&lt;&gt;0,Table10[[#This Row],[Winter Clothes Children ]]&lt;&gt;0,Table10[[#This Row],[Winter Items Other ]]&lt;&gt;0),"No","")</f>
        <v/>
      </c>
      <c r="N43" s="115">
        <f>COUNTIF(A:A,Table10[[#This Row],[Pcode]])-1</f>
        <v>0</v>
      </c>
    </row>
    <row r="44" spans="1:14" x14ac:dyDescent="0.25">
      <c r="A44" s="102" t="s">
        <v>383</v>
      </c>
      <c r="B44" s="7" t="e">
        <f ca="1">OFFSET(#REF!,MATCH(Table10[[#This Row],[Pcode]],CampList[CP_Pcode],0)-1,0,1,1)</f>
        <v>#REF!</v>
      </c>
      <c r="C44" s="7" t="str">
        <f ca="1">OFFSET(CampList[Camp],MATCH(Table10[[#This Row],[Pcode]],CampList[CP_Pcode],0)-1,0,1,1)</f>
        <v>Mine Yu Lay village ( Old)</v>
      </c>
      <c r="D44" s="7" t="str">
        <f ca="1">OFFSET(CampList[Township],MATCH(Table10[[#This Row],[Pcode]],CampList[CP_Pcode],0)-1,0,1,1)</f>
        <v>Kutkai</v>
      </c>
      <c r="E44" s="7">
        <f ca="1">OFFSET(CampList[HH],MATCH(Table10[[#This Row],[Pcode]],CampList[CP_Pcode],0)-1,0,1,1)</f>
        <v>76</v>
      </c>
      <c r="F44" s="7">
        <f ca="1">OFFSET(CampList[Total],MATCH(Table10[[#This Row],[Pcode]],CampList[CP_Pcode],0)-1,0,1,1)</f>
        <v>343</v>
      </c>
      <c r="G44" s="106">
        <f>SUMIF('NFI Distributions'!AU$53:AU$1048576,Table10[[#This Row],[Pcode]],'NFI Distributions'!AM$53:AM$1048576)</f>
        <v>0</v>
      </c>
      <c r="H44" s="106">
        <f>SUMIF('NFI Distributions'!AU$53:AU$1048576,Table10[[#This Row],[Pcode]],'NFI Distributions'!AN$53:AN$1048576)</f>
        <v>0</v>
      </c>
      <c r="I44" s="106">
        <f>SUMIF('NFI Distributions'!AU$53:AU$1048576,Table10[[#This Row],[Pcode]],'NFI Distributions'!AO$53:AO$1048576)</f>
        <v>0</v>
      </c>
      <c r="J44" s="106">
        <f ca="1">MAX(Table10[[#This Row],[HH]]*VLOOKUP("Winter Clothes Adult",NFI,6)-Table10[[#This Row],[Winter Clothes Adult ]],0)</f>
        <v>152</v>
      </c>
      <c r="K44" s="106">
        <f ca="1">MAX(Table10[[#This Row],[HH]]*VLOOKUP("Winter Clothes Children ",NFI,6)-Table10[[#This Row],[Winter Clothes Children ]],0)</f>
        <v>76</v>
      </c>
      <c r="L44" s="106">
        <f ca="1">MAX(Table10[[#This Row],[HH]]*VLOOKUP("Winter Items Other ",NFI,6)-Table10[[#This Row],[Winter Items Other ]],0)</f>
        <v>76</v>
      </c>
      <c r="M44" s="114" t="str">
        <f>IF(OR(Table10[[#This Row],[Winter Clothes Adult ]]&lt;&gt;0,Table10[[#This Row],[Winter Clothes Children ]]&lt;&gt;0,Table10[[#This Row],[Winter Items Other ]]&lt;&gt;0),"No","")</f>
        <v/>
      </c>
      <c r="N44" s="115">
        <f>COUNTIF(A:A,Table10[[#This Row],[Pcode]])-1</f>
        <v>0</v>
      </c>
    </row>
    <row r="45" spans="1:14" x14ac:dyDescent="0.25">
      <c r="A45" s="102" t="s">
        <v>148</v>
      </c>
      <c r="B45" s="7" t="e">
        <f ca="1">OFFSET(#REF!,MATCH(Table10[[#This Row],[Pcode]],CampList[CP_Pcode],0)-1,0,1,1)</f>
        <v>#REF!</v>
      </c>
      <c r="C45" s="7" t="str">
        <f ca="1">OFFSET(CampList[Camp],MATCH(Table10[[#This Row],[Pcode]],CampList[CP_Pcode],0)-1,0,1,1)</f>
        <v xml:space="preserve">Nam Hpak Ka Mare </v>
      </c>
      <c r="D45" s="7" t="str">
        <f ca="1">OFFSET(CampList[Township],MATCH(Table10[[#This Row],[Pcode]],CampList[CP_Pcode],0)-1,0,1,1)</f>
        <v>Kutkai</v>
      </c>
      <c r="E45" s="7">
        <f ca="1">OFFSET(CampList[HH],MATCH(Table10[[#This Row],[Pcode]],CampList[CP_Pcode],0)-1,0,1,1)</f>
        <v>57</v>
      </c>
      <c r="F45" s="7">
        <f ca="1">OFFSET(CampList[Total],MATCH(Table10[[#This Row],[Pcode]],CampList[CP_Pcode],0)-1,0,1,1)</f>
        <v>269</v>
      </c>
      <c r="G45" s="106">
        <f>SUMIF('NFI Distributions'!AU$53:AU$1048576,Table10[[#This Row],[Pcode]],'NFI Distributions'!AM$53:AM$1048576)</f>
        <v>0</v>
      </c>
      <c r="H45" s="106">
        <f>SUMIF('NFI Distributions'!AU$53:AU$1048576,Table10[[#This Row],[Pcode]],'NFI Distributions'!AN$53:AN$1048576)</f>
        <v>0</v>
      </c>
      <c r="I45" s="106">
        <f>SUMIF('NFI Distributions'!AU$53:AU$1048576,Table10[[#This Row],[Pcode]],'NFI Distributions'!AO$53:AO$1048576)</f>
        <v>0</v>
      </c>
      <c r="J45" s="106">
        <f ca="1">MAX(Table10[[#This Row],[HH]]*VLOOKUP("Winter Clothes Adult",NFI,6)-Table10[[#This Row],[Winter Clothes Adult ]],0)</f>
        <v>114</v>
      </c>
      <c r="K45" s="106">
        <f ca="1">MAX(Table10[[#This Row],[HH]]*VLOOKUP("Winter Clothes Children ",NFI,6)-Table10[[#This Row],[Winter Clothes Children ]],0)</f>
        <v>57</v>
      </c>
      <c r="L45" s="106">
        <f ca="1">MAX(Table10[[#This Row],[HH]]*VLOOKUP("Winter Items Other ",NFI,6)-Table10[[#This Row],[Winter Items Other ]],0)</f>
        <v>57</v>
      </c>
      <c r="M45" s="114" t="str">
        <f>IF(OR(Table10[[#This Row],[Winter Clothes Adult ]]&lt;&gt;0,Table10[[#This Row],[Winter Clothes Children ]]&lt;&gt;0,Table10[[#This Row],[Winter Items Other ]]&lt;&gt;0),"No","")</f>
        <v/>
      </c>
      <c r="N45" s="115">
        <f>COUNTIF(A:A,Table10[[#This Row],[Pcode]])-1</f>
        <v>0</v>
      </c>
    </row>
    <row r="46" spans="1:14" x14ac:dyDescent="0.25">
      <c r="A46" s="102" t="s">
        <v>385</v>
      </c>
      <c r="B46" s="7" t="e">
        <f ca="1">OFFSET(#REF!,MATCH(Table10[[#This Row],[Pcode]],CampList[CP_Pcode],0)-1,0,1,1)</f>
        <v>#REF!</v>
      </c>
      <c r="C46" s="7" t="str">
        <f ca="1">OFFSET(CampList[Camp],MATCH(Table10[[#This Row],[Pcode]],CampList[CP_Pcode],0)-1,0,1,1)</f>
        <v>Zup Aung Camp</v>
      </c>
      <c r="D46" s="7" t="str">
        <f ca="1">OFFSET(CampList[Township],MATCH(Table10[[#This Row],[Pcode]],CampList[CP_Pcode],0)-1,0,1,1)</f>
        <v>Kutkai</v>
      </c>
      <c r="E46" s="7">
        <f ca="1">OFFSET(CampList[HH],MATCH(Table10[[#This Row],[Pcode]],CampList[CP_Pcode],0)-1,0,1,1)</f>
        <v>204</v>
      </c>
      <c r="F46" s="7">
        <f ca="1">OFFSET(CampList[Total],MATCH(Table10[[#This Row],[Pcode]],CampList[CP_Pcode],0)-1,0,1,1)</f>
        <v>1043</v>
      </c>
      <c r="G46" s="106">
        <f>SUMIF('NFI Distributions'!AU$53:AU$1048576,Table10[[#This Row],[Pcode]],'NFI Distributions'!AM$53:AM$1048576)</f>
        <v>0</v>
      </c>
      <c r="H46" s="106">
        <f>SUMIF('NFI Distributions'!AU$53:AU$1048576,Table10[[#This Row],[Pcode]],'NFI Distributions'!AN$53:AN$1048576)</f>
        <v>0</v>
      </c>
      <c r="I46" s="106">
        <f>SUMIF('NFI Distributions'!AU$53:AU$1048576,Table10[[#This Row],[Pcode]],'NFI Distributions'!AO$53:AO$1048576)</f>
        <v>0</v>
      </c>
      <c r="J46" s="106">
        <f ca="1">MAX(Table10[[#This Row],[HH]]*VLOOKUP("Winter Clothes Adult",NFI,6)-Table10[[#This Row],[Winter Clothes Adult ]],0)</f>
        <v>408</v>
      </c>
      <c r="K46" s="106">
        <f ca="1">MAX(Table10[[#This Row],[HH]]*VLOOKUP("Winter Clothes Children ",NFI,6)-Table10[[#This Row],[Winter Clothes Children ]],0)</f>
        <v>204</v>
      </c>
      <c r="L46" s="106">
        <f ca="1">MAX(Table10[[#This Row],[HH]]*VLOOKUP("Winter Items Other ",NFI,6)-Table10[[#This Row],[Winter Items Other ]],0)</f>
        <v>204</v>
      </c>
      <c r="M46" s="114" t="str">
        <f>IF(OR(Table10[[#This Row],[Winter Clothes Adult ]]&lt;&gt;0,Table10[[#This Row],[Winter Clothes Children ]]&lt;&gt;0,Table10[[#This Row],[Winter Items Other ]]&lt;&gt;0),"No","")</f>
        <v/>
      </c>
      <c r="N46" s="115">
        <f>COUNTIF(A:A,Table10[[#This Row],[Pcode]])-1</f>
        <v>0</v>
      </c>
    </row>
    <row r="47" spans="1:14" x14ac:dyDescent="0.25">
      <c r="A47" s="102" t="s">
        <v>761</v>
      </c>
      <c r="B47" s="7" t="e">
        <f ca="1">OFFSET(#REF!,MATCH(Table10[[#This Row],[Pcode]],CampList[CP_Pcode],0)-1,0,1,1)</f>
        <v>#REF!</v>
      </c>
      <c r="C47" s="7" t="str">
        <f ca="1">OFFSET(CampList[Camp],MATCH(Table10[[#This Row],[Pcode]],CampList[CP_Pcode],0)-1,0,1,1)</f>
        <v>Mandung - RC</v>
      </c>
      <c r="D47" s="7" t="str">
        <f ca="1">OFFSET(CampList[Township],MATCH(Table10[[#This Row],[Pcode]],CampList[CP_Pcode],0)-1,0,1,1)</f>
        <v>Manton</v>
      </c>
      <c r="E47" s="7">
        <f ca="1">OFFSET(CampList[HH],MATCH(Table10[[#This Row],[Pcode]],CampList[CP_Pcode],0)-1,0,1,1)</f>
        <v>29</v>
      </c>
      <c r="F47" s="7">
        <f ca="1">OFFSET(CampList[Total],MATCH(Table10[[#This Row],[Pcode]],CampList[CP_Pcode],0)-1,0,1,1)</f>
        <v>171</v>
      </c>
      <c r="G47" s="106">
        <f>SUMIF('NFI Distributions'!AU$53:AU$1048576,Table10[[#This Row],[Pcode]],'NFI Distributions'!AM$53:AM$1048576)</f>
        <v>0</v>
      </c>
      <c r="H47" s="106">
        <f>SUMIF('NFI Distributions'!AU$53:AU$1048576,Table10[[#This Row],[Pcode]],'NFI Distributions'!AN$53:AN$1048576)</f>
        <v>0</v>
      </c>
      <c r="I47" s="106">
        <f>SUMIF('NFI Distributions'!AU$53:AU$1048576,Table10[[#This Row],[Pcode]],'NFI Distributions'!AO$53:AO$1048576)</f>
        <v>0</v>
      </c>
      <c r="J47" s="106">
        <f ca="1">MAX(Table10[[#This Row],[HH]]*VLOOKUP("Winter Clothes Adult",NFI,6)-Table10[[#This Row],[Winter Clothes Adult ]],0)</f>
        <v>58</v>
      </c>
      <c r="K47" s="106">
        <f ca="1">MAX(Table10[[#This Row],[HH]]*VLOOKUP("Winter Clothes Children ",NFI,6)-Table10[[#This Row],[Winter Clothes Children ]],0)</f>
        <v>29</v>
      </c>
      <c r="L47" s="106">
        <f ca="1">MAX(Table10[[#This Row],[HH]]*VLOOKUP("Winter Items Other ",NFI,6)-Table10[[#This Row],[Winter Items Other ]],0)</f>
        <v>29</v>
      </c>
      <c r="M47" s="114" t="str">
        <f>IF(OR(Table10[[#This Row],[Winter Clothes Adult ]]&lt;&gt;0,Table10[[#This Row],[Winter Clothes Children ]]&lt;&gt;0,Table10[[#This Row],[Winter Items Other ]]&lt;&gt;0),"No","")</f>
        <v/>
      </c>
      <c r="N47" s="115">
        <f>COUNTIF(A:A,Table10[[#This Row],[Pcode]])-1</f>
        <v>0</v>
      </c>
    </row>
    <row r="48" spans="1:14" x14ac:dyDescent="0.25">
      <c r="A48" s="102" t="s">
        <v>168</v>
      </c>
      <c r="B48" s="7" t="e">
        <f ca="1">OFFSET(#REF!,MATCH(Table10[[#This Row],[Pcode]],CampList[CP_Pcode],0)-1,0,1,1)</f>
        <v>#REF!</v>
      </c>
      <c r="C48" s="7" t="str">
        <f ca="1">OFFSET(CampList[Camp],MATCH(Table10[[#This Row],[Pcode]],CampList[CP_Pcode],0)-1,0,1,1)</f>
        <v>Howa</v>
      </c>
      <c r="D48" s="7" t="str">
        <f ca="1">OFFSET(CampList[Township],MATCH(Table10[[#This Row],[Pcode]],CampList[CP_Pcode],0)-1,0,1,1)</f>
        <v>Muse</v>
      </c>
      <c r="E48" s="7">
        <f ca="1">OFFSET(CampList[HH],MATCH(Table10[[#This Row],[Pcode]],CampList[CP_Pcode],0)-1,0,1,1)</f>
        <v>0</v>
      </c>
      <c r="F48" s="7">
        <f ca="1">OFFSET(CampList[Total],MATCH(Table10[[#This Row],[Pcode]],CampList[CP_Pcode],0)-1,0,1,1)</f>
        <v>0</v>
      </c>
      <c r="G48" s="106">
        <f>SUMIF('NFI Distributions'!AU$53:AU$1048576,Table10[[#This Row],[Pcode]],'NFI Distributions'!AM$53:AM$1048576)</f>
        <v>0</v>
      </c>
      <c r="H48" s="106">
        <f>SUMIF('NFI Distributions'!AU$53:AU$1048576,Table10[[#This Row],[Pcode]],'NFI Distributions'!AN$53:AN$1048576)</f>
        <v>0</v>
      </c>
      <c r="I48" s="106">
        <f>SUMIF('NFI Distributions'!AU$53:AU$1048576,Table10[[#This Row],[Pcode]],'NFI Distributions'!AO$53:AO$1048576)</f>
        <v>0</v>
      </c>
      <c r="J48" s="106">
        <f ca="1">MAX(Table10[[#This Row],[HH]]*VLOOKUP("Winter Clothes Adult",NFI,6)-Table10[[#This Row],[Winter Clothes Adult ]],0)</f>
        <v>0</v>
      </c>
      <c r="K48" s="106">
        <f ca="1">MAX(Table10[[#This Row],[HH]]*VLOOKUP("Winter Clothes Children ",NFI,6)-Table10[[#This Row],[Winter Clothes Children ]],0)</f>
        <v>0</v>
      </c>
      <c r="L48" s="106">
        <f ca="1">MAX(Table10[[#This Row],[HH]]*VLOOKUP("Winter Items Other ",NFI,6)-Table10[[#This Row],[Winter Items Other ]],0)</f>
        <v>0</v>
      </c>
      <c r="M48" s="114" t="str">
        <f>IF(OR(Table10[[#This Row],[Winter Clothes Adult ]]&lt;&gt;0,Table10[[#This Row],[Winter Clothes Children ]]&lt;&gt;0,Table10[[#This Row],[Winter Items Other ]]&lt;&gt;0),"No","")</f>
        <v/>
      </c>
      <c r="N48" s="115">
        <f>COUNTIF(A:A,Table10[[#This Row],[Pcode]])-1</f>
        <v>0</v>
      </c>
    </row>
    <row r="49" spans="1:14" x14ac:dyDescent="0.25">
      <c r="A49" s="102" t="s">
        <v>170</v>
      </c>
      <c r="B49" s="7" t="e">
        <f ca="1">OFFSET(#REF!,MATCH(Table10[[#This Row],[Pcode]],CampList[CP_Pcode],0)-1,0,1,1)</f>
        <v>#REF!</v>
      </c>
      <c r="C49" s="7" t="str">
        <f ca="1">OFFSET(CampList[Camp],MATCH(Table10[[#This Row],[Pcode]],CampList[CP_Pcode],0)-1,0,1,1)</f>
        <v>Nam Hkyet</v>
      </c>
      <c r="D49" s="7" t="str">
        <f ca="1">OFFSET(CampList[Township],MATCH(Table10[[#This Row],[Pcode]],CampList[CP_Pcode],0)-1,0,1,1)</f>
        <v>Muse</v>
      </c>
      <c r="E49" s="7">
        <f ca="1">OFFSET(CampList[HH],MATCH(Table10[[#This Row],[Pcode]],CampList[CP_Pcode],0)-1,0,1,1)</f>
        <v>0</v>
      </c>
      <c r="F49" s="7">
        <f ca="1">OFFSET(CampList[Total],MATCH(Table10[[#This Row],[Pcode]],CampList[CP_Pcode],0)-1,0,1,1)</f>
        <v>0</v>
      </c>
      <c r="G49" s="106">
        <f>SUMIF('NFI Distributions'!AU$53:AU$1048576,Table10[[#This Row],[Pcode]],'NFI Distributions'!AM$53:AM$1048576)</f>
        <v>0</v>
      </c>
      <c r="H49" s="106">
        <f>SUMIF('NFI Distributions'!AU$53:AU$1048576,Table10[[#This Row],[Pcode]],'NFI Distributions'!AN$53:AN$1048576)</f>
        <v>0</v>
      </c>
      <c r="I49" s="106">
        <f>SUMIF('NFI Distributions'!AU$53:AU$1048576,Table10[[#This Row],[Pcode]],'NFI Distributions'!AO$53:AO$1048576)</f>
        <v>0</v>
      </c>
      <c r="J49" s="106">
        <f ca="1">MAX(Table10[[#This Row],[HH]]*VLOOKUP("Winter Clothes Adult",NFI,6)-Table10[[#This Row],[Winter Clothes Adult ]],0)</f>
        <v>0</v>
      </c>
      <c r="K49" s="106">
        <f ca="1">MAX(Table10[[#This Row],[HH]]*VLOOKUP("Winter Clothes Children ",NFI,6)-Table10[[#This Row],[Winter Clothes Children ]],0)</f>
        <v>0</v>
      </c>
      <c r="L49" s="106">
        <f ca="1">MAX(Table10[[#This Row],[HH]]*VLOOKUP("Winter Items Other ",NFI,6)-Table10[[#This Row],[Winter Items Other ]],0)</f>
        <v>0</v>
      </c>
      <c r="M49" s="114" t="str">
        <f>IF(OR(Table10[[#This Row],[Winter Clothes Adult ]]&lt;&gt;0,Table10[[#This Row],[Winter Clothes Children ]]&lt;&gt;0,Table10[[#This Row],[Winter Items Other ]]&lt;&gt;0),"No","")</f>
        <v/>
      </c>
      <c r="N49" s="115">
        <f>COUNTIF(A:A,Table10[[#This Row],[Pcode]])-1</f>
        <v>0</v>
      </c>
    </row>
    <row r="50" spans="1:14" x14ac:dyDescent="0.25">
      <c r="A50" s="102" t="s">
        <v>290</v>
      </c>
      <c r="B50" s="7" t="e">
        <f ca="1">OFFSET(#REF!,MATCH(Table10[[#This Row],[Pcode]],CampList[CP_Pcode],0)-1,0,1,1)</f>
        <v>#REF!</v>
      </c>
      <c r="C50" s="7" t="str">
        <f ca="1">OFFSET(CampList[Camp],MATCH(Table10[[#This Row],[Pcode]],CampList[CP_Pcode],0)-1,0,1,1)</f>
        <v>Nam Hkam - Nay Win Ni (Palawng)</v>
      </c>
      <c r="D50" s="7" t="str">
        <f ca="1">OFFSET(CampList[Township],MATCH(Table10[[#This Row],[Pcode]],CampList[CP_Pcode],0)-1,0,1,1)</f>
        <v>Namhkan</v>
      </c>
      <c r="E50" s="7">
        <f ca="1">OFFSET(CampList[HH],MATCH(Table10[[#This Row],[Pcode]],CampList[CP_Pcode],0)-1,0,1,1)</f>
        <v>76</v>
      </c>
      <c r="F50" s="7">
        <f ca="1">OFFSET(CampList[Total],MATCH(Table10[[#This Row],[Pcode]],CampList[CP_Pcode],0)-1,0,1,1)</f>
        <v>373</v>
      </c>
      <c r="G50" s="106">
        <f>SUMIF('NFI Distributions'!AU$53:AU$1048576,Table10[[#This Row],[Pcode]],'NFI Distributions'!AM$53:AM$1048576)</f>
        <v>0</v>
      </c>
      <c r="H50" s="106">
        <f>SUMIF('NFI Distributions'!AU$53:AU$1048576,Table10[[#This Row],[Pcode]],'NFI Distributions'!AN$53:AN$1048576)</f>
        <v>0</v>
      </c>
      <c r="I50" s="106">
        <f>SUMIF('NFI Distributions'!AU$53:AU$1048576,Table10[[#This Row],[Pcode]],'NFI Distributions'!AO$53:AO$1048576)</f>
        <v>0</v>
      </c>
      <c r="J50" s="106">
        <f ca="1">MAX(Table10[[#This Row],[HH]]*VLOOKUP("Winter Clothes Adult",NFI,6)-Table10[[#This Row],[Winter Clothes Adult ]],0)</f>
        <v>152</v>
      </c>
      <c r="K50" s="106">
        <f ca="1">MAX(Table10[[#This Row],[HH]]*VLOOKUP("Winter Clothes Children ",NFI,6)-Table10[[#This Row],[Winter Clothes Children ]],0)</f>
        <v>76</v>
      </c>
      <c r="L50" s="106">
        <f ca="1">MAX(Table10[[#This Row],[HH]]*VLOOKUP("Winter Items Other ",NFI,6)-Table10[[#This Row],[Winter Items Other ]],0)</f>
        <v>76</v>
      </c>
      <c r="M50" s="114" t="str">
        <f>IF(OR(Table10[[#This Row],[Winter Clothes Adult ]]&lt;&gt;0,Table10[[#This Row],[Winter Clothes Children ]]&lt;&gt;0,Table10[[#This Row],[Winter Items Other ]]&lt;&gt;0),"No","")</f>
        <v/>
      </c>
      <c r="N50" s="115">
        <f>COUNTIF(A:A,Table10[[#This Row],[Pcode]])-1</f>
        <v>0</v>
      </c>
    </row>
    <row r="51" spans="1:14" x14ac:dyDescent="0.25">
      <c r="A51" s="102" t="s">
        <v>287</v>
      </c>
      <c r="B51" s="7" t="e">
        <f ca="1">OFFSET(#REF!,MATCH(Table10[[#This Row],[Pcode]],CampList[CP_Pcode],0)-1,0,1,1)</f>
        <v>#REF!</v>
      </c>
      <c r="C51" s="7" t="str">
        <f ca="1">OFFSET(CampList[Camp],MATCH(Table10[[#This Row],[Pcode]],CampList[CP_Pcode],0)-1,0,1,1)</f>
        <v>Nam Hkam (KBC Jaw Wang)</v>
      </c>
      <c r="D51" s="7" t="str">
        <f ca="1">OFFSET(CampList[Township],MATCH(Table10[[#This Row],[Pcode]],CampList[CP_Pcode],0)-1,0,1,1)</f>
        <v>Namhkan</v>
      </c>
      <c r="E51" s="7">
        <f ca="1">OFFSET(CampList[HH],MATCH(Table10[[#This Row],[Pcode]],CampList[CP_Pcode],0)-1,0,1,1)</f>
        <v>67</v>
      </c>
      <c r="F51" s="7">
        <f ca="1">OFFSET(CampList[Total],MATCH(Table10[[#This Row],[Pcode]],CampList[CP_Pcode],0)-1,0,1,1)</f>
        <v>347</v>
      </c>
      <c r="G51" s="106">
        <f>SUMIF('NFI Distributions'!AU$53:AU$1048576,Table10[[#This Row],[Pcode]],'NFI Distributions'!AM$53:AM$1048576)</f>
        <v>0</v>
      </c>
      <c r="H51" s="106">
        <f>SUMIF('NFI Distributions'!AU$53:AU$1048576,Table10[[#This Row],[Pcode]],'NFI Distributions'!AN$53:AN$1048576)</f>
        <v>0</v>
      </c>
      <c r="I51" s="106">
        <f>SUMIF('NFI Distributions'!AU$53:AU$1048576,Table10[[#This Row],[Pcode]],'NFI Distributions'!AO$53:AO$1048576)</f>
        <v>0</v>
      </c>
      <c r="J51" s="106">
        <f ca="1">MAX(Table10[[#This Row],[HH]]*VLOOKUP("Winter Clothes Adult",NFI,6)-Table10[[#This Row],[Winter Clothes Adult ]],0)</f>
        <v>134</v>
      </c>
      <c r="K51" s="106">
        <f ca="1">MAX(Table10[[#This Row],[HH]]*VLOOKUP("Winter Clothes Children ",NFI,6)-Table10[[#This Row],[Winter Clothes Children ]],0)</f>
        <v>67</v>
      </c>
      <c r="L51" s="106">
        <f ca="1">MAX(Table10[[#This Row],[HH]]*VLOOKUP("Winter Items Other ",NFI,6)-Table10[[#This Row],[Winter Items Other ]],0)</f>
        <v>67</v>
      </c>
      <c r="M51" s="114" t="str">
        <f>IF(OR(Table10[[#This Row],[Winter Clothes Adult ]]&lt;&gt;0,Table10[[#This Row],[Winter Clothes Children ]]&lt;&gt;0,Table10[[#This Row],[Winter Items Other ]]&lt;&gt;0),"No","")</f>
        <v/>
      </c>
      <c r="N51" s="115">
        <f>COUNTIF(A:A,Table10[[#This Row],[Pcode]])-1</f>
        <v>0</v>
      </c>
    </row>
    <row r="52" spans="1:14" x14ac:dyDescent="0.25">
      <c r="A52" s="102" t="s">
        <v>294</v>
      </c>
      <c r="B52" s="7" t="e">
        <f ca="1">OFFSET(#REF!,MATCH(Table10[[#This Row],[Pcode]],CampList[CP_Pcode],0)-1,0,1,1)</f>
        <v>#REF!</v>
      </c>
      <c r="C52" s="7" t="str">
        <f ca="1">OFFSET(CampList[Camp],MATCH(Table10[[#This Row],[Pcode]],CampList[CP_Pcode],0)-1,0,1,1)</f>
        <v>Nam Hkam Catholic Church ( St. Thomas I)</v>
      </c>
      <c r="D52" s="7" t="str">
        <f ca="1">OFFSET(CampList[Township],MATCH(Table10[[#This Row],[Pcode]],CampList[CP_Pcode],0)-1,0,1,1)</f>
        <v>Namhkan</v>
      </c>
      <c r="E52" s="7">
        <f ca="1">OFFSET(CampList[HH],MATCH(Table10[[#This Row],[Pcode]],CampList[CP_Pcode],0)-1,0,1,1)</f>
        <v>43</v>
      </c>
      <c r="F52" s="7">
        <f ca="1">OFFSET(CampList[Total],MATCH(Table10[[#This Row],[Pcode]],CampList[CP_Pcode],0)-1,0,1,1)</f>
        <v>218</v>
      </c>
      <c r="G52" s="106">
        <f>SUMIF('NFI Distributions'!AU$53:AU$1048576,Table10[[#This Row],[Pcode]],'NFI Distributions'!AM$53:AM$1048576)</f>
        <v>0</v>
      </c>
      <c r="H52" s="106">
        <f>SUMIF('NFI Distributions'!AU$53:AU$1048576,Table10[[#This Row],[Pcode]],'NFI Distributions'!AN$53:AN$1048576)</f>
        <v>0</v>
      </c>
      <c r="I52" s="106">
        <f>SUMIF('NFI Distributions'!AU$53:AU$1048576,Table10[[#This Row],[Pcode]],'NFI Distributions'!AO$53:AO$1048576)</f>
        <v>0</v>
      </c>
      <c r="J52" s="106">
        <f ca="1">MAX(Table10[[#This Row],[HH]]*VLOOKUP("Winter Clothes Adult",NFI,6)-Table10[[#This Row],[Winter Clothes Adult ]],0)</f>
        <v>86</v>
      </c>
      <c r="K52" s="106">
        <f ca="1">MAX(Table10[[#This Row],[HH]]*VLOOKUP("Winter Clothes Children ",NFI,6)-Table10[[#This Row],[Winter Clothes Children ]],0)</f>
        <v>43</v>
      </c>
      <c r="L52" s="106">
        <f ca="1">MAX(Table10[[#This Row],[HH]]*VLOOKUP("Winter Items Other ",NFI,6)-Table10[[#This Row],[Winter Items Other ]],0)</f>
        <v>43</v>
      </c>
      <c r="M52" s="114" t="str">
        <f>IF(OR(Table10[[#This Row],[Winter Clothes Adult ]]&lt;&gt;0,Table10[[#This Row],[Winter Clothes Children ]]&lt;&gt;0,Table10[[#This Row],[Winter Items Other ]]&lt;&gt;0),"No","")</f>
        <v/>
      </c>
      <c r="N52" s="115">
        <f>COUNTIF(A:A,Table10[[#This Row],[Pcode]])-1</f>
        <v>0</v>
      </c>
    </row>
    <row r="53" spans="1:14" x14ac:dyDescent="0.25">
      <c r="A53" s="102" t="s">
        <v>296</v>
      </c>
      <c r="B53" s="7" t="e">
        <f ca="1">OFFSET(#REF!,MATCH(Table10[[#This Row],[Pcode]],CampList[CP_Pcode],0)-1,0,1,1)</f>
        <v>#REF!</v>
      </c>
      <c r="C53" s="7" t="str">
        <f ca="1">OFFSET(CampList[Camp],MATCH(Table10[[#This Row],[Pcode]],CampList[CP_Pcode],0)-1,0,1,1)</f>
        <v>Nam Tu Baptist</v>
      </c>
      <c r="D53" s="7" t="str">
        <f ca="1">OFFSET(CampList[Township],MATCH(Table10[[#This Row],[Pcode]],CampList[CP_Pcode],0)-1,0,1,1)</f>
        <v>Namtu</v>
      </c>
      <c r="E53" s="7">
        <f ca="1">OFFSET(CampList[HH],MATCH(Table10[[#This Row],[Pcode]],CampList[CP_Pcode],0)-1,0,1,1)</f>
        <v>40</v>
      </c>
      <c r="F53" s="7">
        <f ca="1">OFFSET(CampList[Total],MATCH(Table10[[#This Row],[Pcode]],CampList[CP_Pcode],0)-1,0,1,1)</f>
        <v>171</v>
      </c>
      <c r="G53" s="106">
        <f>SUMIF('NFI Distributions'!AU$53:AU$1048576,Table10[[#This Row],[Pcode]],'NFI Distributions'!AM$53:AM$1048576)</f>
        <v>0</v>
      </c>
      <c r="H53" s="106">
        <f>SUMIF('NFI Distributions'!AU$53:AU$1048576,Table10[[#This Row],[Pcode]],'NFI Distributions'!AN$53:AN$1048576)</f>
        <v>0</v>
      </c>
      <c r="I53" s="106">
        <f>SUMIF('NFI Distributions'!AU$53:AU$1048576,Table10[[#This Row],[Pcode]],'NFI Distributions'!AO$53:AO$1048576)</f>
        <v>0</v>
      </c>
      <c r="J53" s="106">
        <f ca="1">MAX(Table10[[#This Row],[HH]]*VLOOKUP("Winter Clothes Adult",NFI,6)-Table10[[#This Row],[Winter Clothes Adult ]],0)</f>
        <v>80</v>
      </c>
      <c r="K53" s="106">
        <f ca="1">MAX(Table10[[#This Row],[HH]]*VLOOKUP("Winter Clothes Children ",NFI,6)-Table10[[#This Row],[Winter Clothes Children ]],0)</f>
        <v>40</v>
      </c>
      <c r="L53" s="106">
        <f ca="1">MAX(Table10[[#This Row],[HH]]*VLOOKUP("Winter Items Other ",NFI,6)-Table10[[#This Row],[Winter Items Other ]],0)</f>
        <v>40</v>
      </c>
      <c r="M53" s="114" t="str">
        <f>IF(OR(Table10[[#This Row],[Winter Clothes Adult ]]&lt;&gt;0,Table10[[#This Row],[Winter Clothes Children ]]&lt;&gt;0,Table10[[#This Row],[Winter Items Other ]]&lt;&gt;0),"No","")</f>
        <v/>
      </c>
      <c r="N53" s="115">
        <f>COUNTIF(A:A,Table10[[#This Row],[Pcode]])-1</f>
        <v>0</v>
      </c>
    </row>
    <row r="54" spans="1:14" x14ac:dyDescent="0.25">
      <c r="A54" s="102" t="s">
        <v>762</v>
      </c>
      <c r="B54" s="7" t="e">
        <f ca="1">OFFSET(#REF!,MATCH(Table10[[#This Row],[Pcode]],CampList[CP_Pcode],0)-1,0,1,1)</f>
        <v>#REF!</v>
      </c>
      <c r="C54" s="7" t="str">
        <f ca="1">OFFSET(CampList[Camp],MATCH(Table10[[#This Row],[Pcode]],CampList[CP_Pcode],0)-1,0,1,1)</f>
        <v>Nam Tu RC</v>
      </c>
      <c r="D54" s="7" t="str">
        <f ca="1">OFFSET(CampList[Township],MATCH(Table10[[#This Row],[Pcode]],CampList[CP_Pcode],0)-1,0,1,1)</f>
        <v>Namtu</v>
      </c>
      <c r="E54" s="7">
        <f ca="1">OFFSET(CampList[HH],MATCH(Table10[[#This Row],[Pcode]],CampList[CP_Pcode],0)-1,0,1,1)</f>
        <v>118</v>
      </c>
      <c r="F54" s="7">
        <f ca="1">OFFSET(CampList[Total],MATCH(Table10[[#This Row],[Pcode]],CampList[CP_Pcode],0)-1,0,1,1)</f>
        <v>520</v>
      </c>
      <c r="G54" s="106">
        <f>SUMIF('NFI Distributions'!AU$53:AU$1048576,Table10[[#This Row],[Pcode]],'NFI Distributions'!AM$53:AM$1048576)</f>
        <v>0</v>
      </c>
      <c r="H54" s="106">
        <f>SUMIF('NFI Distributions'!AU$53:AU$1048576,Table10[[#This Row],[Pcode]],'NFI Distributions'!AN$53:AN$1048576)</f>
        <v>0</v>
      </c>
      <c r="I54" s="106">
        <f>SUMIF('NFI Distributions'!AU$53:AU$1048576,Table10[[#This Row],[Pcode]],'NFI Distributions'!AO$53:AO$1048576)</f>
        <v>0</v>
      </c>
      <c r="J54" s="106">
        <f ca="1">MAX(Table10[[#This Row],[HH]]*VLOOKUP("Winter Clothes Adult",NFI,6)-Table10[[#This Row],[Winter Clothes Adult ]],0)</f>
        <v>236</v>
      </c>
      <c r="K54" s="106">
        <f ca="1">MAX(Table10[[#This Row],[HH]]*VLOOKUP("Winter Clothes Children ",NFI,6)-Table10[[#This Row],[Winter Clothes Children ]],0)</f>
        <v>118</v>
      </c>
      <c r="L54" s="106">
        <f ca="1">MAX(Table10[[#This Row],[HH]]*VLOOKUP("Winter Items Other ",NFI,6)-Table10[[#This Row],[Winter Items Other ]],0)</f>
        <v>118</v>
      </c>
      <c r="M54" s="114" t="str">
        <f>IF(OR(Table10[[#This Row],[Winter Clothes Adult ]]&lt;&gt;0,Table10[[#This Row],[Winter Clothes Children ]]&lt;&gt;0,Table10[[#This Row],[Winter Items Other ]]&lt;&gt;0),"No","")</f>
        <v/>
      </c>
      <c r="N54" s="115">
        <f>COUNTIF(A:A,Table10[[#This Row],[Pcode]])-1</f>
        <v>0</v>
      </c>
    </row>
    <row r="55" spans="1:14" x14ac:dyDescent="0.25">
      <c r="A55" s="102" t="s">
        <v>61</v>
      </c>
      <c r="B55" s="7" t="e">
        <f ca="1">OFFSET(#REF!,MATCH(Table10[[#This Row],[Pcode]],CampList[CP_Pcode],0)-1,0,1,1)</f>
        <v>#REF!</v>
      </c>
      <c r="C55" s="7" t="str">
        <f ca="1">OFFSET(CampList[Camp],MATCH(Table10[[#This Row],[Pcode]],CampList[CP_Pcode],0)-1,0,1,1)</f>
        <v>5 Ward Baptist Church(lon Khin)</v>
      </c>
      <c r="D55" s="7" t="str">
        <f ca="1">OFFSET(CampList[Township],MATCH(Table10[[#This Row],[Pcode]],CampList[CP_Pcode],0)-1,0,1,1)</f>
        <v>Hpakant</v>
      </c>
      <c r="E55" s="106">
        <f ca="1">OFFSET(CampList[HH],MATCH(Table10[[#This Row],[Pcode]],CampList[CP_Pcode],0)-1,0,1,1)</f>
        <v>0</v>
      </c>
      <c r="F55" s="106">
        <f ca="1">OFFSET(CampList[Total],MATCH(Table10[[#This Row],[Pcode]],CampList[CP_Pcode],0)-1,0,1,1)</f>
        <v>0</v>
      </c>
      <c r="G55" s="106">
        <f>SUMIF('NFI Distributions'!AU$53:AU$1048576,Table10[[#This Row],[Pcode]],'NFI Distributions'!AM$53:AM$1048576)</f>
        <v>0</v>
      </c>
      <c r="H55" s="106">
        <f>SUMIF('NFI Distributions'!AU$53:AU$1048576,Table10[[#This Row],[Pcode]],'NFI Distributions'!AN$53:AN$1048576)</f>
        <v>0</v>
      </c>
      <c r="I55" s="106">
        <f>SUMIF('NFI Distributions'!AU$53:AU$1048576,Table10[[#This Row],[Pcode]],'NFI Distributions'!AO$53:AO$1048576)</f>
        <v>0</v>
      </c>
      <c r="J55" s="106">
        <f ca="1">MAX(Table10[[#This Row],[HH]]*VLOOKUP("Winter Clothes Adult",NFI,6)-Table10[[#This Row],[Winter Clothes Adult ]],0)</f>
        <v>0</v>
      </c>
      <c r="K55" s="106">
        <f ca="1">MAX(Table10[[#This Row],[HH]]*VLOOKUP("Winter Clothes Children ",NFI,6)-Table10[[#This Row],[Winter Clothes Children ]],0)</f>
        <v>0</v>
      </c>
      <c r="L55" s="106">
        <f ca="1">MAX(Table10[[#This Row],[HH]]*VLOOKUP("Winter Items Other ",NFI,6)-Table10[[#This Row],[Winter Items Other ]],0)</f>
        <v>0</v>
      </c>
      <c r="M55" s="114" t="str">
        <f>IF(OR(Table10[[#This Row],[Winter Clothes Adult ]]&lt;&gt;0,Table10[[#This Row],[Winter Clothes Children ]]&lt;&gt;0,Table10[[#This Row],[Winter Items Other ]]&lt;&gt;0),"No","")</f>
        <v/>
      </c>
      <c r="N55" s="115">
        <f>COUNTIF(A:A,Table10[[#This Row],[Pcode]])-1</f>
        <v>0</v>
      </c>
    </row>
    <row r="56" spans="1:14" x14ac:dyDescent="0.25">
      <c r="A56" s="102" t="s">
        <v>119</v>
      </c>
      <c r="B56" s="7" t="e">
        <f ca="1">OFFSET(#REF!,MATCH(Table10[[#This Row],[Pcode]],CampList[CP_Pcode],0)-1,0,1,1)</f>
        <v>#REF!</v>
      </c>
      <c r="C56" s="7" t="str">
        <f ca="1">OFFSET(CampList[Camp],MATCH(Table10[[#This Row],[Pcode]],CampList[CP_Pcode],0)-1,0,1,1)</f>
        <v>5 Ward RC Church(lon Khin)</v>
      </c>
      <c r="D56" s="7" t="str">
        <f ca="1">OFFSET(CampList[Township],MATCH(Table10[[#This Row],[Pcode]],CampList[CP_Pcode],0)-1,0,1,1)</f>
        <v>Hpakant</v>
      </c>
      <c r="E56" s="106">
        <f ca="1">OFFSET(CampList[HH],MATCH(Table10[[#This Row],[Pcode]],CampList[CP_Pcode],0)-1,0,1,1)</f>
        <v>68</v>
      </c>
      <c r="F56" s="106">
        <f ca="1">OFFSET(CampList[Total],MATCH(Table10[[#This Row],[Pcode]],CampList[CP_Pcode],0)-1,0,1,1)</f>
        <v>335</v>
      </c>
      <c r="G56" s="106">
        <f>SUMIF('NFI Distributions'!AU$53:AU$1048576,Table10[[#This Row],[Pcode]],'NFI Distributions'!AM$53:AM$1048576)</f>
        <v>0</v>
      </c>
      <c r="H56" s="106">
        <f>SUMIF('NFI Distributions'!AU$53:AU$1048576,Table10[[#This Row],[Pcode]],'NFI Distributions'!AN$53:AN$1048576)</f>
        <v>0</v>
      </c>
      <c r="I56" s="106">
        <f>SUMIF('NFI Distributions'!AU$53:AU$1048576,Table10[[#This Row],[Pcode]],'NFI Distributions'!AO$53:AO$1048576)</f>
        <v>0</v>
      </c>
      <c r="J56" s="106">
        <f ca="1">MAX(Table10[[#This Row],[HH]]*VLOOKUP("Winter Clothes Adult",NFI,6)-Table10[[#This Row],[Winter Clothes Adult ]],0)</f>
        <v>136</v>
      </c>
      <c r="K56" s="106">
        <f ca="1">MAX(Table10[[#This Row],[HH]]*VLOOKUP("Winter Clothes Children ",NFI,6)-Table10[[#This Row],[Winter Clothes Children ]],0)</f>
        <v>68</v>
      </c>
      <c r="L56" s="106">
        <f ca="1">MAX(Table10[[#This Row],[HH]]*VLOOKUP("Winter Items Other ",NFI,6)-Table10[[#This Row],[Winter Items Other ]],0)</f>
        <v>68</v>
      </c>
      <c r="M56" s="114" t="str">
        <f>IF(OR(Table10[[#This Row],[Winter Clothes Adult ]]&lt;&gt;0,Table10[[#This Row],[Winter Clothes Children ]]&lt;&gt;0,Table10[[#This Row],[Winter Items Other ]]&lt;&gt;0),"No","")</f>
        <v/>
      </c>
      <c r="N56" s="115">
        <f>COUNTIF(A:A,Table10[[#This Row],[Pcode]])-1</f>
        <v>0</v>
      </c>
    </row>
    <row r="57" spans="1:14" x14ac:dyDescent="0.25">
      <c r="A57" s="102" t="s">
        <v>4</v>
      </c>
      <c r="B57" s="7" t="e">
        <f ca="1">OFFSET(#REF!,MATCH(Table10[[#This Row],[Pcode]],CampList[CP_Pcode],0)-1,0,1,1)</f>
        <v>#REF!</v>
      </c>
      <c r="C57" s="7" t="str">
        <f ca="1">OFFSET(CampList[Camp],MATCH(Table10[[#This Row],[Pcode]],CampList[CP_Pcode],0)-1,0,1,1)</f>
        <v>AD-2000 Tharthana Compound</v>
      </c>
      <c r="D57" s="7" t="str">
        <f ca="1">OFFSET(CampList[Township],MATCH(Table10[[#This Row],[Pcode]],CampList[CP_Pcode],0)-1,0,1,1)</f>
        <v>Bhamo</v>
      </c>
      <c r="E57" s="106">
        <f ca="1">OFFSET(CampList[HH],MATCH(Table10[[#This Row],[Pcode]],CampList[CP_Pcode],0)-1,0,1,1)</f>
        <v>235</v>
      </c>
      <c r="F57" s="106">
        <f ca="1">OFFSET(CampList[Total],MATCH(Table10[[#This Row],[Pcode]],CampList[CP_Pcode],0)-1,0,1,1)</f>
        <v>1166</v>
      </c>
      <c r="G57" s="106">
        <f>SUMIF('NFI Distributions'!AU$53:AU$1048576,Table10[[#This Row],[Pcode]],'NFI Distributions'!AM$53:AM$1048576)</f>
        <v>0</v>
      </c>
      <c r="H57" s="106">
        <f>SUMIF('NFI Distributions'!AU$53:AU$1048576,Table10[[#This Row],[Pcode]],'NFI Distributions'!AN$53:AN$1048576)</f>
        <v>0</v>
      </c>
      <c r="I57" s="106">
        <f>SUMIF('NFI Distributions'!AU$53:AU$1048576,Table10[[#This Row],[Pcode]],'NFI Distributions'!AO$53:AO$1048576)</f>
        <v>0</v>
      </c>
      <c r="J57" s="106">
        <f ca="1">MAX(Table10[[#This Row],[HH]]*VLOOKUP("Winter Clothes Adult",NFI,6)-Table10[[#This Row],[Winter Clothes Adult ]],0)</f>
        <v>470</v>
      </c>
      <c r="K57" s="106">
        <f ca="1">MAX(Table10[[#This Row],[HH]]*VLOOKUP("Winter Clothes Children ",NFI,6)-Table10[[#This Row],[Winter Clothes Children ]],0)</f>
        <v>235</v>
      </c>
      <c r="L57" s="106">
        <f ca="1">MAX(Table10[[#This Row],[HH]]*VLOOKUP("Winter Items Other ",NFI,6)-Table10[[#This Row],[Winter Items Other ]],0)</f>
        <v>235</v>
      </c>
      <c r="M57" s="114" t="str">
        <f>IF(OR(Table10[[#This Row],[Winter Clothes Adult ]]&lt;&gt;0,Table10[[#This Row],[Winter Clothes Children ]]&lt;&gt;0,Table10[[#This Row],[Winter Items Other ]]&lt;&gt;0),"No","")</f>
        <v/>
      </c>
      <c r="N57" s="115">
        <f>COUNTIF(A:A,Table10[[#This Row],[Pcode]])-1</f>
        <v>0</v>
      </c>
    </row>
    <row r="58" spans="1:14" x14ac:dyDescent="0.25">
      <c r="A58" s="102" t="s">
        <v>40</v>
      </c>
      <c r="B58" s="7" t="e">
        <f ca="1">OFFSET(#REF!,MATCH(Table10[[#This Row],[Pcode]],CampList[CP_Pcode],0)-1,0,1,1)</f>
        <v>#REF!</v>
      </c>
      <c r="C58" s="7" t="str">
        <f ca="1">OFFSET(CampList[Camp],MATCH(Table10[[#This Row],[Pcode]],CampList[CP_Pcode],0)-1,0,1,1)</f>
        <v>AG Church, Hmaw Si Sa</v>
      </c>
      <c r="D58" s="7" t="str">
        <f ca="1">OFFSET(CampList[Township],MATCH(Table10[[#This Row],[Pcode]],CampList[CP_Pcode],0)-1,0,1,1)</f>
        <v>Hpakant</v>
      </c>
      <c r="E58" s="106">
        <f ca="1">OFFSET(CampList[HH],MATCH(Table10[[#This Row],[Pcode]],CampList[CP_Pcode],0)-1,0,1,1)</f>
        <v>70</v>
      </c>
      <c r="F58" s="106">
        <f ca="1">OFFSET(CampList[Total],MATCH(Table10[[#This Row],[Pcode]],CampList[CP_Pcode],0)-1,0,1,1)</f>
        <v>374</v>
      </c>
      <c r="G58" s="106">
        <f>SUMIF('NFI Distributions'!AU$53:AU$1048576,Table10[[#This Row],[Pcode]],'NFI Distributions'!AM$53:AM$1048576)</f>
        <v>0</v>
      </c>
      <c r="H58" s="106">
        <f>SUMIF('NFI Distributions'!AU$53:AU$1048576,Table10[[#This Row],[Pcode]],'NFI Distributions'!AN$53:AN$1048576)</f>
        <v>0</v>
      </c>
      <c r="I58" s="106">
        <f>SUMIF('NFI Distributions'!AU$53:AU$1048576,Table10[[#This Row],[Pcode]],'NFI Distributions'!AO$53:AO$1048576)</f>
        <v>0</v>
      </c>
      <c r="J58" s="106">
        <f ca="1">MAX(Table10[[#This Row],[HH]]*VLOOKUP("Winter Clothes Adult",NFI,6)-Table10[[#This Row],[Winter Clothes Adult ]],0)</f>
        <v>140</v>
      </c>
      <c r="K58" s="106">
        <f ca="1">MAX(Table10[[#This Row],[HH]]*VLOOKUP("Winter Clothes Children ",NFI,6)-Table10[[#This Row],[Winter Clothes Children ]],0)</f>
        <v>70</v>
      </c>
      <c r="L58" s="106">
        <f ca="1">MAX(Table10[[#This Row],[HH]]*VLOOKUP("Winter Items Other ",NFI,6)-Table10[[#This Row],[Winter Items Other ]],0)</f>
        <v>70</v>
      </c>
      <c r="M58" s="114" t="str">
        <f>IF(OR(Table10[[#This Row],[Winter Clothes Adult ]]&lt;&gt;0,Table10[[#This Row],[Winter Clothes Children ]]&lt;&gt;0,Table10[[#This Row],[Winter Items Other ]]&lt;&gt;0),"No","")</f>
        <v/>
      </c>
      <c r="N58" s="115">
        <f>COUNTIF(A:A,Table10[[#This Row],[Pcode]])-1</f>
        <v>0</v>
      </c>
    </row>
    <row r="59" spans="1:14" x14ac:dyDescent="0.25">
      <c r="A59" s="102" t="s">
        <v>42</v>
      </c>
      <c r="B59" s="7" t="e">
        <f ca="1">OFFSET(#REF!,MATCH(Table10[[#This Row],[Pcode]],CampList[CP_Pcode],0)-1,0,1,1)</f>
        <v>#REF!</v>
      </c>
      <c r="C59" s="7" t="str">
        <f ca="1">OFFSET(CampList[Camp],MATCH(Table10[[#This Row],[Pcode]],CampList[CP_Pcode],0)-1,0,1,1)</f>
        <v>AG Church, Maw Wan</v>
      </c>
      <c r="D59" s="7" t="str">
        <f ca="1">OFFSET(CampList[Township],MATCH(Table10[[#This Row],[Pcode]],CampList[CP_Pcode],0)-1,0,1,1)</f>
        <v>Hpakant</v>
      </c>
      <c r="E59" s="106">
        <f ca="1">OFFSET(CampList[HH],MATCH(Table10[[#This Row],[Pcode]],CampList[CP_Pcode],0)-1,0,1,1)</f>
        <v>13</v>
      </c>
      <c r="F59" s="106">
        <f ca="1">OFFSET(CampList[Total],MATCH(Table10[[#This Row],[Pcode]],CampList[CP_Pcode],0)-1,0,1,1)</f>
        <v>83</v>
      </c>
      <c r="G59" s="106">
        <f>SUMIF('NFI Distributions'!AU$53:AU$1048576,Table10[[#This Row],[Pcode]],'NFI Distributions'!AM$53:AM$1048576)</f>
        <v>0</v>
      </c>
      <c r="H59" s="106">
        <f>SUMIF('NFI Distributions'!AU$53:AU$1048576,Table10[[#This Row],[Pcode]],'NFI Distributions'!AN$53:AN$1048576)</f>
        <v>0</v>
      </c>
      <c r="I59" s="106">
        <f>SUMIF('NFI Distributions'!AU$53:AU$1048576,Table10[[#This Row],[Pcode]],'NFI Distributions'!AO$53:AO$1048576)</f>
        <v>0</v>
      </c>
      <c r="J59" s="106">
        <f ca="1">MAX(Table10[[#This Row],[HH]]*VLOOKUP("Winter Clothes Adult",NFI,6)-Table10[[#This Row],[Winter Clothes Adult ]],0)</f>
        <v>26</v>
      </c>
      <c r="K59" s="106">
        <f ca="1">MAX(Table10[[#This Row],[HH]]*VLOOKUP("Winter Clothes Children ",NFI,6)-Table10[[#This Row],[Winter Clothes Children ]],0)</f>
        <v>13</v>
      </c>
      <c r="L59" s="106">
        <f ca="1">MAX(Table10[[#This Row],[HH]]*VLOOKUP("Winter Items Other ",NFI,6)-Table10[[#This Row],[Winter Items Other ]],0)</f>
        <v>13</v>
      </c>
      <c r="M59" s="114" t="str">
        <f>IF(OR(Table10[[#This Row],[Winter Clothes Adult ]]&lt;&gt;0,Table10[[#This Row],[Winter Clothes Children ]]&lt;&gt;0,Table10[[#This Row],[Winter Items Other ]]&lt;&gt;0),"No","")</f>
        <v/>
      </c>
      <c r="N59" s="115">
        <f>COUNTIF(A:A,Table10[[#This Row],[Pcode]])-1</f>
        <v>0</v>
      </c>
    </row>
    <row r="60" spans="1:14" x14ac:dyDescent="0.25">
      <c r="A60" s="102" t="s">
        <v>375</v>
      </c>
      <c r="B60" s="7" t="e">
        <f ca="1">OFFSET(#REF!,MATCH(Table10[[#This Row],[Pcode]],CampList[CP_Pcode],0)-1,0,1,1)</f>
        <v>#REF!</v>
      </c>
      <c r="C60" s="7" t="str">
        <f ca="1">OFFSET(CampList[Camp],MATCH(Table10[[#This Row],[Pcode]],CampList[CP_Pcode],0)-1,0,1,1)</f>
        <v>Aung Thar Church</v>
      </c>
      <c r="D60" s="7" t="str">
        <f ca="1">OFFSET(CampList[Township],MATCH(Table10[[#This Row],[Pcode]],CampList[CP_Pcode],0)-1,0,1,1)</f>
        <v>Bhamo</v>
      </c>
      <c r="E60" s="106">
        <f ca="1">OFFSET(CampList[HH],MATCH(Table10[[#This Row],[Pcode]],CampList[CP_Pcode],0)-1,0,1,1)</f>
        <v>12</v>
      </c>
      <c r="F60" s="106">
        <f ca="1">OFFSET(CampList[Total],MATCH(Table10[[#This Row],[Pcode]],CampList[CP_Pcode],0)-1,0,1,1)</f>
        <v>52</v>
      </c>
      <c r="G60" s="106">
        <f>SUMIF('NFI Distributions'!AU$53:AU$1048576,Table10[[#This Row],[Pcode]],'NFI Distributions'!AM$53:AM$1048576)</f>
        <v>0</v>
      </c>
      <c r="H60" s="106">
        <f>SUMIF('NFI Distributions'!AU$53:AU$1048576,Table10[[#This Row],[Pcode]],'NFI Distributions'!AN$53:AN$1048576)</f>
        <v>0</v>
      </c>
      <c r="I60" s="106">
        <f>SUMIF('NFI Distributions'!AU$53:AU$1048576,Table10[[#This Row],[Pcode]],'NFI Distributions'!AO$53:AO$1048576)</f>
        <v>0</v>
      </c>
      <c r="J60" s="106">
        <f ca="1">MAX(Table10[[#This Row],[HH]]*VLOOKUP("Winter Clothes Adult",NFI,6)-Table10[[#This Row],[Winter Clothes Adult ]],0)</f>
        <v>24</v>
      </c>
      <c r="K60" s="106">
        <f ca="1">MAX(Table10[[#This Row],[HH]]*VLOOKUP("Winter Clothes Children ",NFI,6)-Table10[[#This Row],[Winter Clothes Children ]],0)</f>
        <v>12</v>
      </c>
      <c r="L60" s="106">
        <f ca="1">MAX(Table10[[#This Row],[HH]]*VLOOKUP("Winter Items Other ",NFI,6)-Table10[[#This Row],[Winter Items Other ]],0)</f>
        <v>12</v>
      </c>
      <c r="M60" s="114" t="str">
        <f>IF(OR(Table10[[#This Row],[Winter Clothes Adult ]]&lt;&gt;0,Table10[[#This Row],[Winter Clothes Children ]]&lt;&gt;0,Table10[[#This Row],[Winter Items Other ]]&lt;&gt;0),"No","")</f>
        <v/>
      </c>
      <c r="N60" s="115">
        <f>COUNTIF(A:A,Table10[[#This Row],[Pcode]])-1</f>
        <v>0</v>
      </c>
    </row>
    <row r="61" spans="1:14" x14ac:dyDescent="0.25">
      <c r="A61" s="102" t="s">
        <v>807</v>
      </c>
      <c r="B61" s="7" t="e">
        <f ca="1">OFFSET(#REF!,MATCH(Table10[[#This Row],[Pcode]],CampList[CP_Pcode],0)-1,0,1,1)</f>
        <v>#REF!</v>
      </c>
      <c r="C61" s="7" t="str">
        <f ca="1">OFFSET(CampList[Camp],MATCH(Table10[[#This Row],[Pcode]],CampList[CP_Pcode],0)-1,0,1,1)</f>
        <v>Ban Hkung Yang</v>
      </c>
      <c r="D61" s="7" t="str">
        <f ca="1">OFFSET(CampList[Township],MATCH(Table10[[#This Row],[Pcode]],CampList[CP_Pcode],0)-1,0,1,1)</f>
        <v>Mansi</v>
      </c>
      <c r="E61" s="106">
        <f ca="1">OFFSET(CampList[HH],MATCH(Table10[[#This Row],[Pcode]],CampList[CP_Pcode],0)-1,0,1,1)</f>
        <v>0</v>
      </c>
      <c r="F61" s="106">
        <f ca="1">OFFSET(CampList[Total],MATCH(Table10[[#This Row],[Pcode]],CampList[CP_Pcode],0)-1,0,1,1)</f>
        <v>0</v>
      </c>
      <c r="G61" s="106">
        <f>SUMIF('NFI Distributions'!AU$53:AU$1048576,Table10[[#This Row],[Pcode]],'NFI Distributions'!AM$53:AM$1048576)</f>
        <v>0</v>
      </c>
      <c r="H61" s="106">
        <f>SUMIF('NFI Distributions'!AU$53:AU$1048576,Table10[[#This Row],[Pcode]],'NFI Distributions'!AN$53:AN$1048576)</f>
        <v>0</v>
      </c>
      <c r="I61" s="106">
        <f>SUMIF('NFI Distributions'!AU$53:AU$1048576,Table10[[#This Row],[Pcode]],'NFI Distributions'!AO$53:AO$1048576)</f>
        <v>0</v>
      </c>
      <c r="J61" s="106">
        <f ca="1">MAX(Table10[[#This Row],[HH]]*VLOOKUP("Winter Clothes Adult",NFI,6)-Table10[[#This Row],[Winter Clothes Adult ]],0)</f>
        <v>0</v>
      </c>
      <c r="K61" s="106">
        <f ca="1">MAX(Table10[[#This Row],[HH]]*VLOOKUP("Winter Clothes Children ",NFI,6)-Table10[[#This Row],[Winter Clothes Children ]],0)</f>
        <v>0</v>
      </c>
      <c r="L61" s="106">
        <f ca="1">MAX(Table10[[#This Row],[HH]]*VLOOKUP("Winter Items Other ",NFI,6)-Table10[[#This Row],[Winter Items Other ]],0)</f>
        <v>0</v>
      </c>
      <c r="M61" s="114" t="str">
        <f>IF(OR(Table10[[#This Row],[Winter Clothes Adult ]]&lt;&gt;0,Table10[[#This Row],[Winter Clothes Children ]]&lt;&gt;0,Table10[[#This Row],[Winter Items Other ]]&lt;&gt;0),"No","")</f>
        <v/>
      </c>
      <c r="N61" s="115">
        <f>COUNTIF(A:A,Table10[[#This Row],[Pcode]])-1</f>
        <v>0</v>
      </c>
    </row>
    <row r="62" spans="1:14" x14ac:dyDescent="0.25">
      <c r="A62" s="102" t="s">
        <v>51</v>
      </c>
      <c r="B62" s="7" t="e">
        <f ca="1">OFFSET(#REF!,MATCH(Table10[[#This Row],[Pcode]],CampList[CP_Pcode],0)-1,0,1,1)</f>
        <v>#REF!</v>
      </c>
      <c r="C62" s="7" t="str">
        <f ca="1">OFFSET(CampList[Camp],MATCH(Table10[[#This Row],[Pcode]],CampList[CP_Pcode],0)-1,0,1,1)</f>
        <v>Baptist Church, Hmaw Si Sar(Lon Khin)</v>
      </c>
      <c r="D62" s="7" t="str">
        <f ca="1">OFFSET(CampList[Township],MATCH(Table10[[#This Row],[Pcode]],CampList[CP_Pcode],0)-1,0,1,1)</f>
        <v>Hpakant</v>
      </c>
      <c r="E62" s="106">
        <f ca="1">OFFSET(CampList[HH],MATCH(Table10[[#This Row],[Pcode]],CampList[CP_Pcode],0)-1,0,1,1)</f>
        <v>36</v>
      </c>
      <c r="F62" s="106">
        <f ca="1">OFFSET(CampList[Total],MATCH(Table10[[#This Row],[Pcode]],CampList[CP_Pcode],0)-1,0,1,1)</f>
        <v>226</v>
      </c>
      <c r="G62" s="106">
        <f>SUMIF('NFI Distributions'!AU$53:AU$1048576,Table10[[#This Row],[Pcode]],'NFI Distributions'!AM$53:AM$1048576)</f>
        <v>0</v>
      </c>
      <c r="H62" s="106">
        <f>SUMIF('NFI Distributions'!AU$53:AU$1048576,Table10[[#This Row],[Pcode]],'NFI Distributions'!AN$53:AN$1048576)</f>
        <v>0</v>
      </c>
      <c r="I62" s="106">
        <f>SUMIF('NFI Distributions'!AU$53:AU$1048576,Table10[[#This Row],[Pcode]],'NFI Distributions'!AO$53:AO$1048576)</f>
        <v>0</v>
      </c>
      <c r="J62" s="106">
        <f ca="1">MAX(Table10[[#This Row],[HH]]*VLOOKUP("Winter Clothes Adult",NFI,6)-Table10[[#This Row],[Winter Clothes Adult ]],0)</f>
        <v>72</v>
      </c>
      <c r="K62" s="106">
        <f ca="1">MAX(Table10[[#This Row],[HH]]*VLOOKUP("Winter Clothes Children ",NFI,6)-Table10[[#This Row],[Winter Clothes Children ]],0)</f>
        <v>36</v>
      </c>
      <c r="L62" s="106">
        <f ca="1">MAX(Table10[[#This Row],[HH]]*VLOOKUP("Winter Items Other ",NFI,6)-Table10[[#This Row],[Winter Items Other ]],0)</f>
        <v>36</v>
      </c>
      <c r="M62" s="114" t="str">
        <f>IF(OR(Table10[[#This Row],[Winter Clothes Adult ]]&lt;&gt;0,Table10[[#This Row],[Winter Clothes Children ]]&lt;&gt;0,Table10[[#This Row],[Winter Items Other ]]&lt;&gt;0),"No","")</f>
        <v/>
      </c>
      <c r="N62" s="115">
        <f>COUNTIF(A:A,Table10[[#This Row],[Pcode]])-1</f>
        <v>0</v>
      </c>
    </row>
    <row r="63" spans="1:14" x14ac:dyDescent="0.25">
      <c r="A63" s="102" t="s">
        <v>57</v>
      </c>
      <c r="B63" s="7" t="e">
        <f ca="1">OFFSET(#REF!,MATCH(Table10[[#This Row],[Pcode]],CampList[CP_Pcode],0)-1,0,1,1)</f>
        <v>#REF!</v>
      </c>
      <c r="C63" s="7" t="str">
        <f ca="1">OFFSET(CampList[Camp],MATCH(Table10[[#This Row],[Pcode]],CampList[CP_Pcode],0)-1,0,1,1)</f>
        <v>Baptist Church, Naung Hmee VT</v>
      </c>
      <c r="D63" s="7" t="str">
        <f ca="1">OFFSET(CampList[Township],MATCH(Table10[[#This Row],[Pcode]],CampList[CP_Pcode],0)-1,0,1,1)</f>
        <v>Hpakant</v>
      </c>
      <c r="E63" s="106">
        <f ca="1">OFFSET(CampList[HH],MATCH(Table10[[#This Row],[Pcode]],CampList[CP_Pcode],0)-1,0,1,1)</f>
        <v>0</v>
      </c>
      <c r="F63" s="106">
        <f ca="1">OFFSET(CampList[Total],MATCH(Table10[[#This Row],[Pcode]],CampList[CP_Pcode],0)-1,0,1,1)</f>
        <v>0</v>
      </c>
      <c r="G63" s="106">
        <f>SUMIF('NFI Distributions'!AU$53:AU$1048576,Table10[[#This Row],[Pcode]],'NFI Distributions'!AM$53:AM$1048576)</f>
        <v>0</v>
      </c>
      <c r="H63" s="106">
        <f>SUMIF('NFI Distributions'!AU$53:AU$1048576,Table10[[#This Row],[Pcode]],'NFI Distributions'!AN$53:AN$1048576)</f>
        <v>0</v>
      </c>
      <c r="I63" s="106">
        <f>SUMIF('NFI Distributions'!AU$53:AU$1048576,Table10[[#This Row],[Pcode]],'NFI Distributions'!AO$53:AO$1048576)</f>
        <v>0</v>
      </c>
      <c r="J63" s="106">
        <f ca="1">MAX(Table10[[#This Row],[HH]]*VLOOKUP("Winter Clothes Adult",NFI,6)-Table10[[#This Row],[Winter Clothes Adult ]],0)</f>
        <v>0</v>
      </c>
      <c r="K63" s="106">
        <f ca="1">MAX(Table10[[#This Row],[HH]]*VLOOKUP("Winter Clothes Children ",NFI,6)-Table10[[#This Row],[Winter Clothes Children ]],0)</f>
        <v>0</v>
      </c>
      <c r="L63" s="106">
        <f ca="1">MAX(Table10[[#This Row],[HH]]*VLOOKUP("Winter Items Other ",NFI,6)-Table10[[#This Row],[Winter Items Other ]],0)</f>
        <v>0</v>
      </c>
      <c r="M63" s="114" t="str">
        <f>IF(OR(Table10[[#This Row],[Winter Clothes Adult ]]&lt;&gt;0,Table10[[#This Row],[Winter Clothes Children ]]&lt;&gt;0,Table10[[#This Row],[Winter Items Other ]]&lt;&gt;0),"No","")</f>
        <v/>
      </c>
      <c r="N63" s="115">
        <f>COUNTIF(A:A,Table10[[#This Row],[Pcode]])-1</f>
        <v>0</v>
      </c>
    </row>
    <row r="64" spans="1:14" x14ac:dyDescent="0.25">
      <c r="A64" s="102" t="s">
        <v>71</v>
      </c>
      <c r="B64" s="7" t="e">
        <f ca="1">OFFSET(#REF!,MATCH(Table10[[#This Row],[Pcode]],CampList[CP_Pcode],0)-1,0,1,1)</f>
        <v>#REF!</v>
      </c>
      <c r="C64" s="7" t="str">
        <f ca="1">OFFSET(CampList[Camp],MATCH(Table10[[#This Row],[Pcode]],CampList[CP_Pcode],0)-1,0,1,1)</f>
        <v>Chin Church, Seik Mu</v>
      </c>
      <c r="D64" s="7" t="str">
        <f ca="1">OFFSET(CampList[Township],MATCH(Table10[[#This Row],[Pcode]],CampList[CP_Pcode],0)-1,0,1,1)</f>
        <v>Hpakant</v>
      </c>
      <c r="E64" s="106">
        <f ca="1">OFFSET(CampList[HH],MATCH(Table10[[#This Row],[Pcode]],CampList[CP_Pcode],0)-1,0,1,1)</f>
        <v>6</v>
      </c>
      <c r="F64" s="106">
        <f ca="1">OFFSET(CampList[Total],MATCH(Table10[[#This Row],[Pcode]],CampList[CP_Pcode],0)-1,0,1,1)</f>
        <v>31</v>
      </c>
      <c r="G64" s="106">
        <f>SUMIF('NFI Distributions'!AU$53:AU$1048576,Table10[[#This Row],[Pcode]],'NFI Distributions'!AM$53:AM$1048576)</f>
        <v>0</v>
      </c>
      <c r="H64" s="106">
        <f>SUMIF('NFI Distributions'!AU$53:AU$1048576,Table10[[#This Row],[Pcode]],'NFI Distributions'!AN$53:AN$1048576)</f>
        <v>0</v>
      </c>
      <c r="I64" s="106">
        <f>SUMIF('NFI Distributions'!AU$53:AU$1048576,Table10[[#This Row],[Pcode]],'NFI Distributions'!AO$53:AO$1048576)</f>
        <v>0</v>
      </c>
      <c r="J64" s="106">
        <f ca="1">MAX(Table10[[#This Row],[HH]]*VLOOKUP("Winter Clothes Adult",NFI,6)-Table10[[#This Row],[Winter Clothes Adult ]],0)</f>
        <v>12</v>
      </c>
      <c r="K64" s="106">
        <f ca="1">MAX(Table10[[#This Row],[HH]]*VLOOKUP("Winter Clothes Children ",NFI,6)-Table10[[#This Row],[Winter Clothes Children ]],0)</f>
        <v>6</v>
      </c>
      <c r="L64" s="106">
        <f ca="1">MAX(Table10[[#This Row],[HH]]*VLOOKUP("Winter Items Other ",NFI,6)-Table10[[#This Row],[Winter Items Other ]],0)</f>
        <v>6</v>
      </c>
      <c r="M64" s="114" t="str">
        <f>IF(OR(Table10[[#This Row],[Winter Clothes Adult ]]&lt;&gt;0,Table10[[#This Row],[Winter Clothes Children ]]&lt;&gt;0,Table10[[#This Row],[Winter Items Other ]]&lt;&gt;0),"No","")</f>
        <v/>
      </c>
      <c r="N64" s="115">
        <f>COUNTIF(A:A,Table10[[#This Row],[Pcode]])-1</f>
        <v>0</v>
      </c>
    </row>
    <row r="65" spans="1:14" x14ac:dyDescent="0.25">
      <c r="A65" s="102" t="s">
        <v>75</v>
      </c>
      <c r="B65" s="7" t="e">
        <f ca="1">OFFSET(#REF!,MATCH(Table10[[#This Row],[Pcode]],CampList[CP_Pcode],0)-1,0,1,1)</f>
        <v>#REF!</v>
      </c>
      <c r="C65" s="7" t="str">
        <f ca="1">OFFSET(CampList[Camp],MATCH(Table10[[#This Row],[Pcode]],CampList[CP_Pcode],0)-1,0,1,1)</f>
        <v>Dhama Rakhita, Nyein Chan Tar Yar Ward(Lon Khin)</v>
      </c>
      <c r="D65" s="7" t="str">
        <f ca="1">OFFSET(CampList[Township],MATCH(Table10[[#This Row],[Pcode]],CampList[CP_Pcode],0)-1,0,1,1)</f>
        <v>Hpakant</v>
      </c>
      <c r="E65" s="106">
        <f ca="1">OFFSET(CampList[HH],MATCH(Table10[[#This Row],[Pcode]],CampList[CP_Pcode],0)-1,0,1,1)</f>
        <v>70</v>
      </c>
      <c r="F65" s="106">
        <f ca="1">OFFSET(CampList[Total],MATCH(Table10[[#This Row],[Pcode]],CampList[CP_Pcode],0)-1,0,1,1)</f>
        <v>375</v>
      </c>
      <c r="G65" s="106">
        <f>SUMIF('NFI Distributions'!AU$53:AU$1048576,Table10[[#This Row],[Pcode]],'NFI Distributions'!AM$53:AM$1048576)</f>
        <v>0</v>
      </c>
      <c r="H65" s="106">
        <f>SUMIF('NFI Distributions'!AU$53:AU$1048576,Table10[[#This Row],[Pcode]],'NFI Distributions'!AN$53:AN$1048576)</f>
        <v>0</v>
      </c>
      <c r="I65" s="106">
        <f>SUMIF('NFI Distributions'!AU$53:AU$1048576,Table10[[#This Row],[Pcode]],'NFI Distributions'!AO$53:AO$1048576)</f>
        <v>0</v>
      </c>
      <c r="J65" s="106">
        <f ca="1">MAX(Table10[[#This Row],[HH]]*VLOOKUP("Winter Clothes Adult",NFI,6)-Table10[[#This Row],[Winter Clothes Adult ]],0)</f>
        <v>140</v>
      </c>
      <c r="K65" s="106">
        <f ca="1">MAX(Table10[[#This Row],[HH]]*VLOOKUP("Winter Clothes Children ",NFI,6)-Table10[[#This Row],[Winter Clothes Children ]],0)</f>
        <v>70</v>
      </c>
      <c r="L65" s="106">
        <f ca="1">MAX(Table10[[#This Row],[HH]]*VLOOKUP("Winter Items Other ",NFI,6)-Table10[[#This Row],[Winter Items Other ]],0)</f>
        <v>70</v>
      </c>
      <c r="M65" s="114" t="str">
        <f>IF(OR(Table10[[#This Row],[Winter Clothes Adult ]]&lt;&gt;0,Table10[[#This Row],[Winter Clothes Children ]]&lt;&gt;0,Table10[[#This Row],[Winter Items Other ]]&lt;&gt;0),"No","")</f>
        <v/>
      </c>
      <c r="N65" s="115">
        <f>COUNTIF(A:A,Table10[[#This Row],[Pcode]])-1</f>
        <v>0</v>
      </c>
    </row>
    <row r="66" spans="1:14" x14ac:dyDescent="0.25">
      <c r="A66" s="102" t="s">
        <v>242</v>
      </c>
      <c r="B66" s="7" t="e">
        <f ca="1">OFFSET(#REF!,MATCH(Table10[[#This Row],[Pcode]],CampList[CP_Pcode],0)-1,0,1,1)</f>
        <v>#REF!</v>
      </c>
      <c r="C66" s="7" t="e">
        <f ca="1">OFFSET(CampList[Camp],MATCH(Table10[[#This Row],[Pcode]],CampList[CP_Pcode],0)-1,0,1,1)</f>
        <v>#N/A</v>
      </c>
      <c r="D66" s="7" t="e">
        <f ca="1">OFFSET(CampList[Township],MATCH(Table10[[#This Row],[Pcode]],CampList[CP_Pcode],0)-1,0,1,1)</f>
        <v>#N/A</v>
      </c>
      <c r="E66" s="106" t="e">
        <f ca="1">OFFSET(CampList[HH],MATCH(Table10[[#This Row],[Pcode]],CampList[CP_Pcode],0)-1,0,1,1)</f>
        <v>#N/A</v>
      </c>
      <c r="F66" s="106" t="e">
        <f ca="1">OFFSET(CampList[Total],MATCH(Table10[[#This Row],[Pcode]],CampList[CP_Pcode],0)-1,0,1,1)</f>
        <v>#N/A</v>
      </c>
      <c r="G66" s="106">
        <f>SUMIF('NFI Distributions'!AU$53:AU$1048576,Table10[[#This Row],[Pcode]],'NFI Distributions'!AM$53:AM$1048576)</f>
        <v>0</v>
      </c>
      <c r="H66" s="106">
        <f>SUMIF('NFI Distributions'!AU$53:AU$1048576,Table10[[#This Row],[Pcode]],'NFI Distributions'!AN$53:AN$1048576)</f>
        <v>0</v>
      </c>
      <c r="I66" s="106">
        <f>SUMIF('NFI Distributions'!AU$53:AU$1048576,Table10[[#This Row],[Pcode]],'NFI Distributions'!AO$53:AO$1048576)</f>
        <v>0</v>
      </c>
      <c r="J66" s="106" t="e">
        <f ca="1">MAX(Table10[[#This Row],[HH]]*VLOOKUP("Winter Clothes Adult",NFI,6)-Table10[[#This Row],[Winter Clothes Adult ]],0)</f>
        <v>#N/A</v>
      </c>
      <c r="K66" s="106" t="e">
        <f ca="1">MAX(Table10[[#This Row],[HH]]*VLOOKUP("Winter Clothes Children ",NFI,6)-Table10[[#This Row],[Winter Clothes Children ]],0)</f>
        <v>#N/A</v>
      </c>
      <c r="L66" s="106" t="e">
        <f ca="1">MAX(Table10[[#This Row],[HH]]*VLOOKUP("Winter Items Other ",NFI,6)-Table10[[#This Row],[Winter Items Other ]],0)</f>
        <v>#N/A</v>
      </c>
      <c r="M66" s="114" t="str">
        <f>IF(OR(Table10[[#This Row],[Winter Clothes Adult ]]&lt;&gt;0,Table10[[#This Row],[Winter Clothes Children ]]&lt;&gt;0,Table10[[#This Row],[Winter Items Other ]]&lt;&gt;0),"No","")</f>
        <v/>
      </c>
      <c r="N66" s="115">
        <f>COUNTIF(A:A,Table10[[#This Row],[Pcode]])-1</f>
        <v>0</v>
      </c>
    </row>
    <row r="67" spans="1:14" x14ac:dyDescent="0.25">
      <c r="A67" s="102" t="s">
        <v>244</v>
      </c>
      <c r="B67" s="7" t="e">
        <f ca="1">OFFSET(#REF!,MATCH(Table10[[#This Row],[Pcode]],CampList[CP_Pcode],0)-1,0,1,1)</f>
        <v>#REF!</v>
      </c>
      <c r="C67" s="7" t="str">
        <f ca="1">OFFSET(CampList[Camp],MATCH(Table10[[#This Row],[Pcode]],CampList[CP_Pcode],0)-1,0,1,1)</f>
        <v>Du Kahtawng Baptist</v>
      </c>
      <c r="D67" s="7" t="str">
        <f ca="1">OFFSET(CampList[Township],MATCH(Table10[[#This Row],[Pcode]],CampList[CP_Pcode],0)-1,0,1,1)</f>
        <v>Myitkyina</v>
      </c>
      <c r="E67" s="106">
        <f ca="1">OFFSET(CampList[HH],MATCH(Table10[[#This Row],[Pcode]],CampList[CP_Pcode],0)-1,0,1,1)</f>
        <v>42</v>
      </c>
      <c r="F67" s="106">
        <f ca="1">OFFSET(CampList[Total],MATCH(Table10[[#This Row],[Pcode]],CampList[CP_Pcode],0)-1,0,1,1)</f>
        <v>187</v>
      </c>
      <c r="G67" s="106">
        <f>SUMIF('NFI Distributions'!AU$53:AU$1048576,Table10[[#This Row],[Pcode]],'NFI Distributions'!AM$53:AM$1048576)</f>
        <v>0</v>
      </c>
      <c r="H67" s="106">
        <f>SUMIF('NFI Distributions'!AU$53:AU$1048576,Table10[[#This Row],[Pcode]],'NFI Distributions'!AN$53:AN$1048576)</f>
        <v>0</v>
      </c>
      <c r="I67" s="106">
        <f>SUMIF('NFI Distributions'!AU$53:AU$1048576,Table10[[#This Row],[Pcode]],'NFI Distributions'!AO$53:AO$1048576)</f>
        <v>0</v>
      </c>
      <c r="J67" s="106">
        <f ca="1">MAX(Table10[[#This Row],[HH]]*VLOOKUP("Winter Clothes Adult",NFI,6)-Table10[[#This Row],[Winter Clothes Adult ]],0)</f>
        <v>84</v>
      </c>
      <c r="K67" s="106">
        <f ca="1">MAX(Table10[[#This Row],[HH]]*VLOOKUP("Winter Clothes Children ",NFI,6)-Table10[[#This Row],[Winter Clothes Children ]],0)</f>
        <v>42</v>
      </c>
      <c r="L67" s="106">
        <f ca="1">MAX(Table10[[#This Row],[HH]]*VLOOKUP("Winter Items Other ",NFI,6)-Table10[[#This Row],[Winter Items Other ]],0)</f>
        <v>42</v>
      </c>
      <c r="M67" s="114" t="str">
        <f>IF(OR(Table10[[#This Row],[Winter Clothes Adult ]]&lt;&gt;0,Table10[[#This Row],[Winter Clothes Children ]]&lt;&gt;0,Table10[[#This Row],[Winter Items Other ]]&lt;&gt;0),"No","")</f>
        <v/>
      </c>
      <c r="N67" s="115">
        <f>COUNTIF(A:A,Table10[[#This Row],[Pcode]])-1</f>
        <v>0</v>
      </c>
    </row>
    <row r="68" spans="1:14" x14ac:dyDescent="0.25">
      <c r="A68" s="102" t="s">
        <v>245</v>
      </c>
      <c r="B68" s="7" t="e">
        <f ca="1">OFFSET(#REF!,MATCH(Table10[[#This Row],[Pcode]],CampList[CP_Pcode],0)-1,0,1,1)</f>
        <v>#REF!</v>
      </c>
      <c r="C68" s="7" t="e">
        <f ca="1">OFFSET(CampList[Camp],MATCH(Table10[[#This Row],[Pcode]],CampList[CP_Pcode],0)-1,0,1,1)</f>
        <v>#N/A</v>
      </c>
      <c r="D68" s="7" t="e">
        <f ca="1">OFFSET(CampList[Township],MATCH(Table10[[#This Row],[Pcode]],CampList[CP_Pcode],0)-1,0,1,1)</f>
        <v>#N/A</v>
      </c>
      <c r="E68" s="106" t="e">
        <f ca="1">OFFSET(CampList[HH],MATCH(Table10[[#This Row],[Pcode]],CampList[CP_Pcode],0)-1,0,1,1)</f>
        <v>#N/A</v>
      </c>
      <c r="F68" s="106" t="e">
        <f ca="1">OFFSET(CampList[Total],MATCH(Table10[[#This Row],[Pcode]],CampList[CP_Pcode],0)-1,0,1,1)</f>
        <v>#N/A</v>
      </c>
      <c r="G68" s="106">
        <f>SUMIF('NFI Distributions'!AU$53:AU$1048576,Table10[[#This Row],[Pcode]],'NFI Distributions'!AM$53:AM$1048576)</f>
        <v>0</v>
      </c>
      <c r="H68" s="106">
        <f>SUMIF('NFI Distributions'!AU$53:AU$1048576,Table10[[#This Row],[Pcode]],'NFI Distributions'!AN$53:AN$1048576)</f>
        <v>0</v>
      </c>
      <c r="I68" s="106">
        <f>SUMIF('NFI Distributions'!AU$53:AU$1048576,Table10[[#This Row],[Pcode]],'NFI Distributions'!AO$53:AO$1048576)</f>
        <v>0</v>
      </c>
      <c r="J68" s="106" t="e">
        <f ca="1">MAX(Table10[[#This Row],[HH]]*VLOOKUP("Winter Clothes Adult",NFI,6)-Table10[[#This Row],[Winter Clothes Adult ]],0)</f>
        <v>#N/A</v>
      </c>
      <c r="K68" s="106" t="e">
        <f ca="1">MAX(Table10[[#This Row],[HH]]*VLOOKUP("Winter Clothes Children ",NFI,6)-Table10[[#This Row],[Winter Clothes Children ]],0)</f>
        <v>#N/A</v>
      </c>
      <c r="L68" s="106" t="e">
        <f ca="1">MAX(Table10[[#This Row],[HH]]*VLOOKUP("Winter Items Other ",NFI,6)-Table10[[#This Row],[Winter Items Other ]],0)</f>
        <v>#N/A</v>
      </c>
      <c r="M68" s="114" t="str">
        <f>IF(OR(Table10[[#This Row],[Winter Clothes Adult ]]&lt;&gt;0,Table10[[#This Row],[Winter Clothes Children ]]&lt;&gt;0,Table10[[#This Row],[Winter Items Other ]]&lt;&gt;0),"No","")</f>
        <v/>
      </c>
      <c r="N68" s="115">
        <f>COUNTIF(A:A,Table10[[#This Row],[Pcode]])-1</f>
        <v>0</v>
      </c>
    </row>
    <row r="69" spans="1:14" x14ac:dyDescent="0.25">
      <c r="A69" s="102" t="s">
        <v>311</v>
      </c>
      <c r="B69" s="7" t="e">
        <f ca="1">OFFSET(#REF!,MATCH(Table10[[#This Row],[Pcode]],CampList[CP_Pcode],0)-1,0,1,1)</f>
        <v>#REF!</v>
      </c>
      <c r="C69" s="7" t="str">
        <f ca="1">OFFSET(CampList[Camp],MATCH(Table10[[#This Row],[Pcode]],CampList[CP_Pcode],0)-1,0,1,1)</f>
        <v xml:space="preserve">Hkat Cho </v>
      </c>
      <c r="D69" s="7" t="str">
        <f ca="1">OFFSET(CampList[Township],MATCH(Table10[[#This Row],[Pcode]],CampList[CP_Pcode],0)-1,0,1,1)</f>
        <v>Waingmaw</v>
      </c>
      <c r="E69" s="106">
        <f ca="1">OFFSET(CampList[HH],MATCH(Table10[[#This Row],[Pcode]],CampList[CP_Pcode],0)-1,0,1,1)</f>
        <v>92</v>
      </c>
      <c r="F69" s="106">
        <f ca="1">OFFSET(CampList[Total],MATCH(Table10[[#This Row],[Pcode]],CampList[CP_Pcode],0)-1,0,1,1)</f>
        <v>447</v>
      </c>
      <c r="G69" s="106">
        <f>SUMIF('NFI Distributions'!AU$53:AU$1048576,Table10[[#This Row],[Pcode]],'NFI Distributions'!AM$53:AM$1048576)</f>
        <v>0</v>
      </c>
      <c r="H69" s="106">
        <f>SUMIF('NFI Distributions'!AU$53:AU$1048576,Table10[[#This Row],[Pcode]],'NFI Distributions'!AN$53:AN$1048576)</f>
        <v>0</v>
      </c>
      <c r="I69" s="106">
        <f>SUMIF('NFI Distributions'!AU$53:AU$1048576,Table10[[#This Row],[Pcode]],'NFI Distributions'!AO$53:AO$1048576)</f>
        <v>0</v>
      </c>
      <c r="J69" s="106">
        <f ca="1">MAX(Table10[[#This Row],[HH]]*VLOOKUP("Winter Clothes Adult",NFI,6)-Table10[[#This Row],[Winter Clothes Adult ]],0)</f>
        <v>184</v>
      </c>
      <c r="K69" s="106">
        <f ca="1">MAX(Table10[[#This Row],[HH]]*VLOOKUP("Winter Clothes Children ",NFI,6)-Table10[[#This Row],[Winter Clothes Children ]],0)</f>
        <v>92</v>
      </c>
      <c r="L69" s="106">
        <f ca="1">MAX(Table10[[#This Row],[HH]]*VLOOKUP("Winter Items Other ",NFI,6)-Table10[[#This Row],[Winter Items Other ]],0)</f>
        <v>92</v>
      </c>
      <c r="M69" s="114" t="str">
        <f>IF(OR(Table10[[#This Row],[Winter Clothes Adult ]]&lt;&gt;0,Table10[[#This Row],[Winter Clothes Children ]]&lt;&gt;0,Table10[[#This Row],[Winter Items Other ]]&lt;&gt;0),"No","")</f>
        <v/>
      </c>
      <c r="N69" s="115">
        <f>COUNTIF(A:A,Table10[[#This Row],[Pcode]])-1</f>
        <v>0</v>
      </c>
    </row>
    <row r="70" spans="1:14" x14ac:dyDescent="0.25">
      <c r="A70" s="102" t="s">
        <v>87</v>
      </c>
      <c r="B70" s="7" t="e">
        <f ca="1">OFFSET(#REF!,MATCH(Table10[[#This Row],[Pcode]],CampList[CP_Pcode],0)-1,0,1,1)</f>
        <v>#REF!</v>
      </c>
      <c r="C70" s="7" t="str">
        <f ca="1">OFFSET(CampList[Camp],MATCH(Table10[[#This Row],[Pcode]],CampList[CP_Pcode],0)-1,0,1,1)</f>
        <v>Hlaing Naung Baptist</v>
      </c>
      <c r="D70" s="7" t="str">
        <f ca="1">OFFSET(CampList[Township],MATCH(Table10[[#This Row],[Pcode]],CampList[CP_Pcode],0)-1,0,1,1)</f>
        <v>Hpakant</v>
      </c>
      <c r="E70" s="106">
        <f ca="1">OFFSET(CampList[HH],MATCH(Table10[[#This Row],[Pcode]],CampList[CP_Pcode],0)-1,0,1,1)</f>
        <v>34</v>
      </c>
      <c r="F70" s="106">
        <f ca="1">OFFSET(CampList[Total],MATCH(Table10[[#This Row],[Pcode]],CampList[CP_Pcode],0)-1,0,1,1)</f>
        <v>136</v>
      </c>
      <c r="G70" s="106">
        <f>SUMIF('NFI Distributions'!AU$53:AU$1048576,Table10[[#This Row],[Pcode]],'NFI Distributions'!AM$53:AM$1048576)</f>
        <v>0</v>
      </c>
      <c r="H70" s="106">
        <f>SUMIF('NFI Distributions'!AU$53:AU$1048576,Table10[[#This Row],[Pcode]],'NFI Distributions'!AN$53:AN$1048576)</f>
        <v>0</v>
      </c>
      <c r="I70" s="106">
        <f>SUMIF('NFI Distributions'!AU$53:AU$1048576,Table10[[#This Row],[Pcode]],'NFI Distributions'!AO$53:AO$1048576)</f>
        <v>0</v>
      </c>
      <c r="J70" s="106">
        <f ca="1">MAX(Table10[[#This Row],[HH]]*VLOOKUP("Winter Clothes Adult",NFI,6)-Table10[[#This Row],[Winter Clothes Adult ]],0)</f>
        <v>68</v>
      </c>
      <c r="K70" s="106">
        <f ca="1">MAX(Table10[[#This Row],[HH]]*VLOOKUP("Winter Clothes Children ",NFI,6)-Table10[[#This Row],[Winter Clothes Children ]],0)</f>
        <v>34</v>
      </c>
      <c r="L70" s="106">
        <f ca="1">MAX(Table10[[#This Row],[HH]]*VLOOKUP("Winter Items Other ",NFI,6)-Table10[[#This Row],[Winter Items Other ]],0)</f>
        <v>34</v>
      </c>
      <c r="M70" s="114" t="str">
        <f>IF(OR(Table10[[#This Row],[Winter Clothes Adult ]]&lt;&gt;0,Table10[[#This Row],[Winter Clothes Children ]]&lt;&gt;0,Table10[[#This Row],[Winter Items Other ]]&lt;&gt;0),"No","")</f>
        <v/>
      </c>
      <c r="N70" s="115">
        <f>COUNTIF(A:A,Table10[[#This Row],[Pcode]])-1</f>
        <v>0</v>
      </c>
    </row>
    <row r="71" spans="1:14" x14ac:dyDescent="0.25">
      <c r="A71" s="102" t="s">
        <v>45</v>
      </c>
      <c r="B71" s="7" t="e">
        <f ca="1">OFFSET(#REF!,MATCH(Table10[[#This Row],[Pcode]],CampList[CP_Pcode],0)-1,0,1,1)</f>
        <v>#REF!</v>
      </c>
      <c r="C71" s="7" t="str">
        <f ca="1">OFFSET(CampList[Camp],MATCH(Table10[[#This Row],[Pcode]],CampList[CP_Pcode],0)-1,0,1,1)</f>
        <v>Hmaw Wan, Anglican</v>
      </c>
      <c r="D71" s="7" t="str">
        <f ca="1">OFFSET(CampList[Township],MATCH(Table10[[#This Row],[Pcode]],CampList[CP_Pcode],0)-1,0,1,1)</f>
        <v>Hpakant</v>
      </c>
      <c r="E71" s="106">
        <f ca="1">OFFSET(CampList[HH],MATCH(Table10[[#This Row],[Pcode]],CampList[CP_Pcode],0)-1,0,1,1)</f>
        <v>2</v>
      </c>
      <c r="F71" s="106">
        <f ca="1">OFFSET(CampList[Total],MATCH(Table10[[#This Row],[Pcode]],CampList[CP_Pcode],0)-1,0,1,1)</f>
        <v>14</v>
      </c>
      <c r="G71" s="106">
        <f>SUMIF('NFI Distributions'!AU$53:AU$1048576,Table10[[#This Row],[Pcode]],'NFI Distributions'!AM$53:AM$1048576)</f>
        <v>0</v>
      </c>
      <c r="H71" s="106">
        <f>SUMIF('NFI Distributions'!AU$53:AU$1048576,Table10[[#This Row],[Pcode]],'NFI Distributions'!AN$53:AN$1048576)</f>
        <v>0</v>
      </c>
      <c r="I71" s="106">
        <f>SUMIF('NFI Distributions'!AU$53:AU$1048576,Table10[[#This Row],[Pcode]],'NFI Distributions'!AO$53:AO$1048576)</f>
        <v>0</v>
      </c>
      <c r="J71" s="106">
        <f ca="1">MAX(Table10[[#This Row],[HH]]*VLOOKUP("Winter Clothes Adult",NFI,6)-Table10[[#This Row],[Winter Clothes Adult ]],0)</f>
        <v>4</v>
      </c>
      <c r="K71" s="106">
        <f ca="1">MAX(Table10[[#This Row],[HH]]*VLOOKUP("Winter Clothes Children ",NFI,6)-Table10[[#This Row],[Winter Clothes Children ]],0)</f>
        <v>2</v>
      </c>
      <c r="L71" s="106">
        <f ca="1">MAX(Table10[[#This Row],[HH]]*VLOOKUP("Winter Items Other ",NFI,6)-Table10[[#This Row],[Winter Items Other ]],0)</f>
        <v>2</v>
      </c>
      <c r="M71" s="114" t="str">
        <f>IF(OR(Table10[[#This Row],[Winter Clothes Adult ]]&lt;&gt;0,Table10[[#This Row],[Winter Clothes Children ]]&lt;&gt;0,Table10[[#This Row],[Winter Items Other ]]&lt;&gt;0),"No","")</f>
        <v/>
      </c>
      <c r="N71" s="115">
        <f>COUNTIF(A:A,Table10[[#This Row],[Pcode]])-1</f>
        <v>0</v>
      </c>
    </row>
    <row r="72" spans="1:14" x14ac:dyDescent="0.25">
      <c r="A72" s="102" t="s">
        <v>11</v>
      </c>
      <c r="B72" s="7" t="e">
        <f ca="1">OFFSET(#REF!,MATCH(Table10[[#This Row],[Pcode]],CampList[CP_Pcode],0)-1,0,1,1)</f>
        <v>#REF!</v>
      </c>
      <c r="C72" s="7" t="str">
        <f ca="1">OFFSET(CampList[Camp],MATCH(Table10[[#This Row],[Pcode]],CampList[CP_Pcode],0)-1,0,1,1)</f>
        <v>Host Families</v>
      </c>
      <c r="D72" s="7" t="str">
        <f ca="1">OFFSET(CampList[Township],MATCH(Table10[[#This Row],[Pcode]],CampList[CP_Pcode],0)-1,0,1,1)</f>
        <v>Bhamo</v>
      </c>
      <c r="E72" s="106">
        <f ca="1">OFFSET(CampList[HH],MATCH(Table10[[#This Row],[Pcode]],CampList[CP_Pcode],0)-1,0,1,1)</f>
        <v>190</v>
      </c>
      <c r="F72" s="106">
        <f ca="1">OFFSET(CampList[Total],MATCH(Table10[[#This Row],[Pcode]],CampList[CP_Pcode],0)-1,0,1,1)</f>
        <v>928</v>
      </c>
      <c r="G72" s="106">
        <f>SUMIF('NFI Distributions'!AU$53:AU$1048576,Table10[[#This Row],[Pcode]],'NFI Distributions'!AM$53:AM$1048576)</f>
        <v>0</v>
      </c>
      <c r="H72" s="106">
        <f>SUMIF('NFI Distributions'!AU$53:AU$1048576,Table10[[#This Row],[Pcode]],'NFI Distributions'!AN$53:AN$1048576)</f>
        <v>0</v>
      </c>
      <c r="I72" s="106">
        <f>SUMIF('NFI Distributions'!AU$53:AU$1048576,Table10[[#This Row],[Pcode]],'NFI Distributions'!AO$53:AO$1048576)</f>
        <v>0</v>
      </c>
      <c r="J72" s="106">
        <f ca="1">MAX(Table10[[#This Row],[HH]]*VLOOKUP("Winter Clothes Adult",NFI,6)-Table10[[#This Row],[Winter Clothes Adult ]],0)</f>
        <v>380</v>
      </c>
      <c r="K72" s="106">
        <f ca="1">MAX(Table10[[#This Row],[HH]]*VLOOKUP("Winter Clothes Children ",NFI,6)-Table10[[#This Row],[Winter Clothes Children ]],0)</f>
        <v>190</v>
      </c>
      <c r="L72" s="106">
        <f ca="1">MAX(Table10[[#This Row],[HH]]*VLOOKUP("Winter Items Other ",NFI,6)-Table10[[#This Row],[Winter Items Other ]],0)</f>
        <v>190</v>
      </c>
      <c r="M72" s="114" t="str">
        <f>IF(OR(Table10[[#This Row],[Winter Clothes Adult ]]&lt;&gt;0,Table10[[#This Row],[Winter Clothes Children ]]&lt;&gt;0,Table10[[#This Row],[Winter Items Other ]]&lt;&gt;0),"No","")</f>
        <v/>
      </c>
      <c r="N72" s="115">
        <f>COUNTIF(A:A,Table10[[#This Row],[Pcode]])-1</f>
        <v>0</v>
      </c>
    </row>
    <row r="73" spans="1:14" x14ac:dyDescent="0.25">
      <c r="A73" s="102" t="s">
        <v>388</v>
      </c>
      <c r="B73" s="7" t="e">
        <f ca="1">OFFSET(#REF!,MATCH(Table10[[#This Row],[Pcode]],CampList[CP_Pcode],0)-1,0,1,1)</f>
        <v>#REF!</v>
      </c>
      <c r="C73" s="7" t="str">
        <f ca="1">OFFSET(CampList[Camp],MATCH(Table10[[#This Row],[Pcode]],CampList[CP_Pcode],0)-1,0,1,1)</f>
        <v>Host Families</v>
      </c>
      <c r="D73" s="7" t="str">
        <f ca="1">OFFSET(CampList[Township],MATCH(Table10[[#This Row],[Pcode]],CampList[CP_Pcode],0)-1,0,1,1)</f>
        <v>Mansi</v>
      </c>
      <c r="E73" s="106">
        <f ca="1">OFFSET(CampList[HH],MATCH(Table10[[#This Row],[Pcode]],CampList[CP_Pcode],0)-1,0,1,1)</f>
        <v>80</v>
      </c>
      <c r="F73" s="106">
        <f ca="1">OFFSET(CampList[Total],MATCH(Table10[[#This Row],[Pcode]],CampList[CP_Pcode],0)-1,0,1,1)</f>
        <v>290</v>
      </c>
      <c r="G73" s="106">
        <f>SUMIF('NFI Distributions'!AU$53:AU$1048576,Table10[[#This Row],[Pcode]],'NFI Distributions'!AM$53:AM$1048576)</f>
        <v>0</v>
      </c>
      <c r="H73" s="106">
        <f>SUMIF('NFI Distributions'!AU$53:AU$1048576,Table10[[#This Row],[Pcode]],'NFI Distributions'!AN$53:AN$1048576)</f>
        <v>0</v>
      </c>
      <c r="I73" s="106">
        <f>SUMIF('NFI Distributions'!AU$53:AU$1048576,Table10[[#This Row],[Pcode]],'NFI Distributions'!AO$53:AO$1048576)</f>
        <v>0</v>
      </c>
      <c r="J73" s="106">
        <f ca="1">MAX(Table10[[#This Row],[HH]]*VLOOKUP("Winter Clothes Adult",NFI,6)-Table10[[#This Row],[Winter Clothes Adult ]],0)</f>
        <v>160</v>
      </c>
      <c r="K73" s="106">
        <f ca="1">MAX(Table10[[#This Row],[HH]]*VLOOKUP("Winter Clothes Children ",NFI,6)-Table10[[#This Row],[Winter Clothes Children ]],0)</f>
        <v>80</v>
      </c>
      <c r="L73" s="106">
        <f ca="1">MAX(Table10[[#This Row],[HH]]*VLOOKUP("Winter Items Other ",NFI,6)-Table10[[#This Row],[Winter Items Other ]],0)</f>
        <v>80</v>
      </c>
      <c r="M73" s="114" t="str">
        <f>IF(OR(Table10[[#This Row],[Winter Clothes Adult ]]&lt;&gt;0,Table10[[#This Row],[Winter Clothes Children ]]&lt;&gt;0,Table10[[#This Row],[Winter Items Other ]]&lt;&gt;0),"No","")</f>
        <v/>
      </c>
      <c r="N73" s="115">
        <f>COUNTIF(A:A,Table10[[#This Row],[Pcode]])-1</f>
        <v>0</v>
      </c>
    </row>
    <row r="74" spans="1:14" x14ac:dyDescent="0.25">
      <c r="A74" s="102" t="s">
        <v>389</v>
      </c>
      <c r="B74" s="7" t="e">
        <f ca="1">OFFSET(#REF!,MATCH(Table10[[#This Row],[Pcode]],CampList[CP_Pcode],0)-1,0,1,1)</f>
        <v>#REF!</v>
      </c>
      <c r="C74" s="7" t="str">
        <f ca="1">OFFSET(CampList[Camp],MATCH(Table10[[#This Row],[Pcode]],CampList[CP_Pcode],0)-1,0,1,1)</f>
        <v>Host Families</v>
      </c>
      <c r="D74" s="7" t="str">
        <f ca="1">OFFSET(CampList[Township],MATCH(Table10[[#This Row],[Pcode]],CampList[CP_Pcode],0)-1,0,1,1)</f>
        <v>Momauk</v>
      </c>
      <c r="E74" s="106">
        <f ca="1">OFFSET(CampList[HH],MATCH(Table10[[#This Row],[Pcode]],CampList[CP_Pcode],0)-1,0,1,1)</f>
        <v>223</v>
      </c>
      <c r="F74" s="106">
        <f ca="1">OFFSET(CampList[Total],MATCH(Table10[[#This Row],[Pcode]],CampList[CP_Pcode],0)-1,0,1,1)</f>
        <v>1067</v>
      </c>
      <c r="G74" s="106">
        <f>SUMIF('NFI Distributions'!AU$53:AU$1048576,Table10[[#This Row],[Pcode]],'NFI Distributions'!AM$53:AM$1048576)</f>
        <v>0</v>
      </c>
      <c r="H74" s="106">
        <f>SUMIF('NFI Distributions'!AU$53:AU$1048576,Table10[[#This Row],[Pcode]],'NFI Distributions'!AN$53:AN$1048576)</f>
        <v>0</v>
      </c>
      <c r="I74" s="106">
        <f>SUMIF('NFI Distributions'!AU$53:AU$1048576,Table10[[#This Row],[Pcode]],'NFI Distributions'!AO$53:AO$1048576)</f>
        <v>0</v>
      </c>
      <c r="J74" s="106">
        <f ca="1">MAX(Table10[[#This Row],[HH]]*VLOOKUP("Winter Clothes Adult",NFI,6)-Table10[[#This Row],[Winter Clothes Adult ]],0)</f>
        <v>446</v>
      </c>
      <c r="K74" s="106">
        <f ca="1">MAX(Table10[[#This Row],[HH]]*VLOOKUP("Winter Clothes Children ",NFI,6)-Table10[[#This Row],[Winter Clothes Children ]],0)</f>
        <v>223</v>
      </c>
      <c r="L74" s="106">
        <f ca="1">MAX(Table10[[#This Row],[HH]]*VLOOKUP("Winter Items Other ",NFI,6)-Table10[[#This Row],[Winter Items Other ]],0)</f>
        <v>223</v>
      </c>
      <c r="M74" s="114" t="str">
        <f>IF(OR(Table10[[#This Row],[Winter Clothes Adult ]]&lt;&gt;0,Table10[[#This Row],[Winter Clothes Children ]]&lt;&gt;0,Table10[[#This Row],[Winter Items Other ]]&lt;&gt;0),"No","")</f>
        <v/>
      </c>
      <c r="N74" s="115">
        <f>COUNTIF(A:A,Table10[[#This Row],[Pcode]])-1</f>
        <v>0</v>
      </c>
    </row>
    <row r="75" spans="1:14" x14ac:dyDescent="0.25">
      <c r="A75" s="102" t="s">
        <v>391</v>
      </c>
      <c r="B75" s="7" t="e">
        <f ca="1">OFFSET(#REF!,MATCH(Table10[[#This Row],[Pcode]],CampList[CP_Pcode],0)-1,0,1,1)</f>
        <v>#REF!</v>
      </c>
      <c r="C75" s="7" t="str">
        <f ca="1">OFFSET(CampList[Camp],MATCH(Table10[[#This Row],[Pcode]],CampList[CP_Pcode],0)-1,0,1,1)</f>
        <v>Host Families</v>
      </c>
      <c r="D75" s="7" t="str">
        <f ca="1">OFFSET(CampList[Township],MATCH(Table10[[#This Row],[Pcode]],CampList[CP_Pcode],0)-1,0,1,1)</f>
        <v>Shwegu</v>
      </c>
      <c r="E75" s="106">
        <f ca="1">OFFSET(CampList[HH],MATCH(Table10[[#This Row],[Pcode]],CampList[CP_Pcode],0)-1,0,1,1)</f>
        <v>0</v>
      </c>
      <c r="F75" s="106">
        <f ca="1">OFFSET(CampList[Total],MATCH(Table10[[#This Row],[Pcode]],CampList[CP_Pcode],0)-1,0,1,1)</f>
        <v>0</v>
      </c>
      <c r="G75" s="106">
        <f>SUMIF('NFI Distributions'!AU$53:AU$1048576,Table10[[#This Row],[Pcode]],'NFI Distributions'!AM$53:AM$1048576)</f>
        <v>0</v>
      </c>
      <c r="H75" s="106">
        <f>SUMIF('NFI Distributions'!AU$53:AU$1048576,Table10[[#This Row],[Pcode]],'NFI Distributions'!AN$53:AN$1048576)</f>
        <v>0</v>
      </c>
      <c r="I75" s="106">
        <f>SUMIF('NFI Distributions'!AU$53:AU$1048576,Table10[[#This Row],[Pcode]],'NFI Distributions'!AO$53:AO$1048576)</f>
        <v>0</v>
      </c>
      <c r="J75" s="106">
        <f ca="1">MAX(Table10[[#This Row],[HH]]*VLOOKUP("Winter Clothes Adult",NFI,6)-Table10[[#This Row],[Winter Clothes Adult ]],0)</f>
        <v>0</v>
      </c>
      <c r="K75" s="106">
        <f ca="1">MAX(Table10[[#This Row],[HH]]*VLOOKUP("Winter Clothes Children ",NFI,6)-Table10[[#This Row],[Winter Clothes Children ]],0)</f>
        <v>0</v>
      </c>
      <c r="L75" s="106">
        <f ca="1">MAX(Table10[[#This Row],[HH]]*VLOOKUP("Winter Items Other ",NFI,6)-Table10[[#This Row],[Winter Items Other ]],0)</f>
        <v>0</v>
      </c>
      <c r="M75" s="114" t="str">
        <f>IF(OR(Table10[[#This Row],[Winter Clothes Adult ]]&lt;&gt;0,Table10[[#This Row],[Winter Clothes Children ]]&lt;&gt;0,Table10[[#This Row],[Winter Items Other ]]&lt;&gt;0),"No","")</f>
        <v/>
      </c>
      <c r="N75" s="115">
        <f>COUNTIF(A:A,Table10[[#This Row],[Pcode]])-1</f>
        <v>0</v>
      </c>
    </row>
    <row r="76" spans="1:14" x14ac:dyDescent="0.25">
      <c r="A76" s="102" t="s">
        <v>386</v>
      </c>
      <c r="B76" s="7" t="e">
        <f ca="1">OFFSET(#REF!,MATCH(Table10[[#This Row],[Pcode]],CampList[CP_Pcode],0)-1,0,1,1)</f>
        <v>#REF!</v>
      </c>
      <c r="C76" s="7" t="str">
        <f ca="1">OFFSET(CampList[Camp],MATCH(Table10[[#This Row],[Pcode]],CampList[CP_Pcode],0)-1,0,1,1)</f>
        <v>Hpai Kawng Mare</v>
      </c>
      <c r="D76" s="7" t="str">
        <f ca="1">OFFSET(CampList[Township],MATCH(Table10[[#This Row],[Pcode]],CampList[CP_Pcode],0)-1,0,1,1)</f>
        <v>Muse</v>
      </c>
      <c r="E76" s="106">
        <f ca="1">OFFSET(CampList[HH],MATCH(Table10[[#This Row],[Pcode]],CampList[CP_Pcode],0)-1,0,1,1)</f>
        <v>32</v>
      </c>
      <c r="F76" s="106">
        <f ca="1">OFFSET(CampList[Total],MATCH(Table10[[#This Row],[Pcode]],CampList[CP_Pcode],0)-1,0,1,1)</f>
        <v>187</v>
      </c>
      <c r="G76" s="106">
        <f>SUMIF('NFI Distributions'!AU$53:AU$1048576,Table10[[#This Row],[Pcode]],'NFI Distributions'!AM$53:AM$1048576)</f>
        <v>0</v>
      </c>
      <c r="H76" s="106">
        <f>SUMIF('NFI Distributions'!AU$53:AU$1048576,Table10[[#This Row],[Pcode]],'NFI Distributions'!AN$53:AN$1048576)</f>
        <v>0</v>
      </c>
      <c r="I76" s="106">
        <f>SUMIF('NFI Distributions'!AU$53:AU$1048576,Table10[[#This Row],[Pcode]],'NFI Distributions'!AO$53:AO$1048576)</f>
        <v>0</v>
      </c>
      <c r="J76" s="106">
        <f ca="1">MAX(Table10[[#This Row],[HH]]*VLOOKUP("Winter Clothes Adult",NFI,6)-Table10[[#This Row],[Winter Clothes Adult ]],0)</f>
        <v>64</v>
      </c>
      <c r="K76" s="106">
        <f ca="1">MAX(Table10[[#This Row],[HH]]*VLOOKUP("Winter Clothes Children ",NFI,6)-Table10[[#This Row],[Winter Clothes Children ]],0)</f>
        <v>32</v>
      </c>
      <c r="L76" s="106">
        <f ca="1">MAX(Table10[[#This Row],[HH]]*VLOOKUP("Winter Items Other ",NFI,6)-Table10[[#This Row],[Winter Items Other ]],0)</f>
        <v>32</v>
      </c>
      <c r="M76" s="114" t="str">
        <f>IF(OR(Table10[[#This Row],[Winter Clothes Adult ]]&lt;&gt;0,Table10[[#This Row],[Winter Clothes Children ]]&lt;&gt;0,Table10[[#This Row],[Winter Items Other ]]&lt;&gt;0),"No","")</f>
        <v/>
      </c>
      <c r="N76" s="115">
        <f>COUNTIF(A:A,Table10[[#This Row],[Pcode]])-1</f>
        <v>0</v>
      </c>
    </row>
    <row r="77" spans="1:14" x14ac:dyDescent="0.25">
      <c r="A77" s="102" t="s">
        <v>915</v>
      </c>
      <c r="B77" s="7" t="e">
        <f ca="1">OFFSET(#REF!,MATCH(Table10[[#This Row],[Pcode]],CampList[CP_Pcode],0)-1,0,1,1)</f>
        <v>#REF!</v>
      </c>
      <c r="C77" s="7" t="str">
        <f ca="1">OFFSET(CampList[Camp],MATCH(Table10[[#This Row],[Pcode]],CampList[CP_Pcode],0)-1,0,1,1)</f>
        <v>Hpakant Baptist Church, Nam Ma Hpit</v>
      </c>
      <c r="D77" s="7" t="str">
        <f ca="1">OFFSET(CampList[Township],MATCH(Table10[[#This Row],[Pcode]],CampList[CP_Pcode],0)-1,0,1,1)</f>
        <v>Hpakant</v>
      </c>
      <c r="E77" s="106">
        <f ca="1">OFFSET(CampList[HH],MATCH(Table10[[#This Row],[Pcode]],CampList[CP_Pcode],0)-1,0,1,1)</f>
        <v>107</v>
      </c>
      <c r="F77" s="106">
        <f ca="1">OFFSET(CampList[Total],MATCH(Table10[[#This Row],[Pcode]],CampList[CP_Pcode],0)-1,0,1,1)</f>
        <v>529</v>
      </c>
      <c r="G77" s="106">
        <f>SUMIF('NFI Distributions'!AU$53:AU$1048576,Table10[[#This Row],[Pcode]],'NFI Distributions'!AM$53:AM$1048576)</f>
        <v>0</v>
      </c>
      <c r="H77" s="106">
        <f>SUMIF('NFI Distributions'!AU$53:AU$1048576,Table10[[#This Row],[Pcode]],'NFI Distributions'!AN$53:AN$1048576)</f>
        <v>0</v>
      </c>
      <c r="I77" s="106">
        <f>SUMIF('NFI Distributions'!AU$53:AU$1048576,Table10[[#This Row],[Pcode]],'NFI Distributions'!AO$53:AO$1048576)</f>
        <v>0</v>
      </c>
      <c r="J77" s="106">
        <f ca="1">MAX(Table10[[#This Row],[HH]]*VLOOKUP("Winter Clothes Adult",NFI,6)-Table10[[#This Row],[Winter Clothes Adult ]],0)</f>
        <v>214</v>
      </c>
      <c r="K77" s="106">
        <f ca="1">MAX(Table10[[#This Row],[HH]]*VLOOKUP("Winter Clothes Children ",NFI,6)-Table10[[#This Row],[Winter Clothes Children ]],0)</f>
        <v>107</v>
      </c>
      <c r="L77" s="106">
        <f ca="1">MAX(Table10[[#This Row],[HH]]*VLOOKUP("Winter Items Other ",NFI,6)-Table10[[#This Row],[Winter Items Other ]],0)</f>
        <v>107</v>
      </c>
      <c r="M77" s="114" t="str">
        <f>IF(OR(Table10[[#This Row],[Winter Clothes Adult ]]&lt;&gt;0,Table10[[#This Row],[Winter Clothes Children ]]&lt;&gt;0,Table10[[#This Row],[Winter Items Other ]]&lt;&gt;0),"No","")</f>
        <v/>
      </c>
      <c r="N77" s="115">
        <f>COUNTIF(A:A,Table10[[#This Row],[Pcode]])-1</f>
        <v>0</v>
      </c>
    </row>
    <row r="78" spans="1:14" x14ac:dyDescent="0.25">
      <c r="A78" s="102" t="s">
        <v>13</v>
      </c>
      <c r="B78" s="7" t="e">
        <f ca="1">OFFSET(#REF!,MATCH(Table10[[#This Row],[Pcode]],CampList[CP_Pcode],0)-1,0,1,1)</f>
        <v>#REF!</v>
      </c>
      <c r="C78" s="7" t="str">
        <f ca="1">OFFSET(CampList[Camp],MATCH(Table10[[#This Row],[Pcode]],CampList[CP_Pcode],0)-1,0,1,1)</f>
        <v>Htoi San Church</v>
      </c>
      <c r="D78" s="7" t="str">
        <f ca="1">OFFSET(CampList[Township],MATCH(Table10[[#This Row],[Pcode]],CampList[CP_Pcode],0)-1,0,1,1)</f>
        <v>Bhamo</v>
      </c>
      <c r="E78" s="106">
        <f ca="1">OFFSET(CampList[HH],MATCH(Table10[[#This Row],[Pcode]],CampList[CP_Pcode],0)-1,0,1,1)</f>
        <v>42</v>
      </c>
      <c r="F78" s="106">
        <f ca="1">OFFSET(CampList[Total],MATCH(Table10[[#This Row],[Pcode]],CampList[CP_Pcode],0)-1,0,1,1)</f>
        <v>234</v>
      </c>
      <c r="G78" s="106">
        <f>SUMIF('NFI Distributions'!AU$53:AU$1048576,Table10[[#This Row],[Pcode]],'NFI Distributions'!AM$53:AM$1048576)</f>
        <v>0</v>
      </c>
      <c r="H78" s="106">
        <f>SUMIF('NFI Distributions'!AU$53:AU$1048576,Table10[[#This Row],[Pcode]],'NFI Distributions'!AN$53:AN$1048576)</f>
        <v>0</v>
      </c>
      <c r="I78" s="106">
        <f>SUMIF('NFI Distributions'!AU$53:AU$1048576,Table10[[#This Row],[Pcode]],'NFI Distributions'!AO$53:AO$1048576)</f>
        <v>0</v>
      </c>
      <c r="J78" s="106">
        <f ca="1">MAX(Table10[[#This Row],[HH]]*VLOOKUP("Winter Clothes Adult",NFI,6)-Table10[[#This Row],[Winter Clothes Adult ]],0)</f>
        <v>84</v>
      </c>
      <c r="K78" s="106">
        <f ca="1">MAX(Table10[[#This Row],[HH]]*VLOOKUP("Winter Clothes Children ",NFI,6)-Table10[[#This Row],[Winter Clothes Children ]],0)</f>
        <v>42</v>
      </c>
      <c r="L78" s="106">
        <f ca="1">MAX(Table10[[#This Row],[HH]]*VLOOKUP("Winter Items Other ",NFI,6)-Table10[[#This Row],[Winter Items Other ]],0)</f>
        <v>42</v>
      </c>
      <c r="M78" s="114" t="str">
        <f>IF(OR(Table10[[#This Row],[Winter Clothes Adult ]]&lt;&gt;0,Table10[[#This Row],[Winter Clothes Children ]]&lt;&gt;0,Table10[[#This Row],[Winter Items Other ]]&lt;&gt;0),"No","")</f>
        <v/>
      </c>
      <c r="N78" s="115">
        <f>COUNTIF(A:A,Table10[[#This Row],[Pcode]])-1</f>
        <v>0</v>
      </c>
    </row>
    <row r="79" spans="1:14" x14ac:dyDescent="0.25">
      <c r="A79" s="102" t="s">
        <v>251</v>
      </c>
      <c r="B79" s="7" t="e">
        <f ca="1">OFFSET(#REF!,MATCH(Table10[[#This Row],[Pcode]],CampList[CP_Pcode],0)-1,0,1,1)</f>
        <v>#REF!</v>
      </c>
      <c r="C79" s="7" t="str">
        <f ca="1">OFFSET(CampList[Camp],MATCH(Table10[[#This Row],[Pcode]],CampList[CP_Pcode],0)-1,0,1,1)</f>
        <v>Jan Mai Kawng Baptist Church</v>
      </c>
      <c r="D79" s="7" t="str">
        <f ca="1">OFFSET(CampList[Township],MATCH(Table10[[#This Row],[Pcode]],CampList[CP_Pcode],0)-1,0,1,1)</f>
        <v>Myitkyina</v>
      </c>
      <c r="E79" s="106">
        <f ca="1">OFFSET(CampList[HH],MATCH(Table10[[#This Row],[Pcode]],CampList[CP_Pcode],0)-1,0,1,1)</f>
        <v>199</v>
      </c>
      <c r="F79" s="106">
        <f ca="1">OFFSET(CampList[Total],MATCH(Table10[[#This Row],[Pcode]],CampList[CP_Pcode],0)-1,0,1,1)</f>
        <v>1118</v>
      </c>
      <c r="G79" s="106">
        <f>SUMIF('NFI Distributions'!AU$53:AU$1048576,Table10[[#This Row],[Pcode]],'NFI Distributions'!AM$53:AM$1048576)</f>
        <v>0</v>
      </c>
      <c r="H79" s="106">
        <f>SUMIF('NFI Distributions'!AU$53:AU$1048576,Table10[[#This Row],[Pcode]],'NFI Distributions'!AN$53:AN$1048576)</f>
        <v>0</v>
      </c>
      <c r="I79" s="106">
        <f>SUMIF('NFI Distributions'!AU$53:AU$1048576,Table10[[#This Row],[Pcode]],'NFI Distributions'!AO$53:AO$1048576)</f>
        <v>0</v>
      </c>
      <c r="J79" s="106">
        <f ca="1">MAX(Table10[[#This Row],[HH]]*VLOOKUP("Winter Clothes Adult",NFI,6)-Table10[[#This Row],[Winter Clothes Adult ]],0)</f>
        <v>398</v>
      </c>
      <c r="K79" s="106">
        <f ca="1">MAX(Table10[[#This Row],[HH]]*VLOOKUP("Winter Clothes Children ",NFI,6)-Table10[[#This Row],[Winter Clothes Children ]],0)</f>
        <v>199</v>
      </c>
      <c r="L79" s="106">
        <f ca="1">MAX(Table10[[#This Row],[HH]]*VLOOKUP("Winter Items Other ",NFI,6)-Table10[[#This Row],[Winter Items Other ]],0)</f>
        <v>199</v>
      </c>
      <c r="M79" s="114" t="str">
        <f>IF(OR(Table10[[#This Row],[Winter Clothes Adult ]]&lt;&gt;0,Table10[[#This Row],[Winter Clothes Children ]]&lt;&gt;0,Table10[[#This Row],[Winter Items Other ]]&lt;&gt;0),"No","")</f>
        <v/>
      </c>
      <c r="N79" s="115">
        <f>COUNTIF(A:A,Table10[[#This Row],[Pcode]])-1</f>
        <v>0</v>
      </c>
    </row>
    <row r="80" spans="1:14" x14ac:dyDescent="0.25">
      <c r="A80" s="102" t="s">
        <v>253</v>
      </c>
      <c r="B80" s="7" t="e">
        <f ca="1">OFFSET(#REF!,MATCH(Table10[[#This Row],[Pcode]],CampList[CP_Pcode],0)-1,0,1,1)</f>
        <v>#REF!</v>
      </c>
      <c r="C80" s="7" t="str">
        <f ca="1">OFFSET(CampList[Camp],MATCH(Table10[[#This Row],[Pcode]],CampList[CP_Pcode],0)-1,0,1,1)</f>
        <v>Jan Mai Kawng Catholic Church</v>
      </c>
      <c r="D80" s="7" t="str">
        <f ca="1">OFFSET(CampList[Township],MATCH(Table10[[#This Row],[Pcode]],CampList[CP_Pcode],0)-1,0,1,1)</f>
        <v>Myitkyina</v>
      </c>
      <c r="E80" s="106">
        <f ca="1">OFFSET(CampList[HH],MATCH(Table10[[#This Row],[Pcode]],CampList[CP_Pcode],0)-1,0,1,1)</f>
        <v>117</v>
      </c>
      <c r="F80" s="106">
        <f ca="1">OFFSET(CampList[Total],MATCH(Table10[[#This Row],[Pcode]],CampList[CP_Pcode],0)-1,0,1,1)</f>
        <v>576</v>
      </c>
      <c r="G80" s="106">
        <f>SUMIF('NFI Distributions'!AU$53:AU$1048576,Table10[[#This Row],[Pcode]],'NFI Distributions'!AM$53:AM$1048576)</f>
        <v>0</v>
      </c>
      <c r="H80" s="106">
        <f>SUMIF('NFI Distributions'!AU$53:AU$1048576,Table10[[#This Row],[Pcode]],'NFI Distributions'!AN$53:AN$1048576)</f>
        <v>0</v>
      </c>
      <c r="I80" s="106">
        <f>SUMIF('NFI Distributions'!AU$53:AU$1048576,Table10[[#This Row],[Pcode]],'NFI Distributions'!AO$53:AO$1048576)</f>
        <v>0</v>
      </c>
      <c r="J80" s="106">
        <f ca="1">MAX(Table10[[#This Row],[HH]]*VLOOKUP("Winter Clothes Adult",NFI,6)-Table10[[#This Row],[Winter Clothes Adult ]],0)</f>
        <v>234</v>
      </c>
      <c r="K80" s="106">
        <f ca="1">MAX(Table10[[#This Row],[HH]]*VLOOKUP("Winter Clothes Children ",NFI,6)-Table10[[#This Row],[Winter Clothes Children ]],0)</f>
        <v>117</v>
      </c>
      <c r="L80" s="106">
        <f ca="1">MAX(Table10[[#This Row],[HH]]*VLOOKUP("Winter Items Other ",NFI,6)-Table10[[#This Row],[Winter Items Other ]],0)</f>
        <v>117</v>
      </c>
      <c r="M80" s="114" t="str">
        <f>IF(OR(Table10[[#This Row],[Winter Clothes Adult ]]&lt;&gt;0,Table10[[#This Row],[Winter Clothes Children ]]&lt;&gt;0,Table10[[#This Row],[Winter Items Other ]]&lt;&gt;0),"No","")</f>
        <v/>
      </c>
      <c r="N80" s="115">
        <f>COUNTIF(A:A,Table10[[#This Row],[Pcode]])-1</f>
        <v>0</v>
      </c>
    </row>
    <row r="81" spans="1:14" x14ac:dyDescent="0.25">
      <c r="A81" s="102" t="s">
        <v>475</v>
      </c>
      <c r="B81" s="7" t="e">
        <f ca="1">OFFSET(#REF!,MATCH(Table10[[#This Row],[Pcode]],CampList[CP_Pcode],0)-1,0,1,1)</f>
        <v>#REF!</v>
      </c>
      <c r="C81" s="7" t="str">
        <f ca="1">OFFSET(CampList[Camp],MATCH(Table10[[#This Row],[Pcode]],CampList[CP_Pcode],0)-1,0,1,1)</f>
        <v>Khun Sint Village</v>
      </c>
      <c r="D81" s="7" t="str">
        <f ca="1">OFFSET(CampList[Township],MATCH(Table10[[#This Row],[Pcode]],CampList[CP_Pcode],0)-1,0,1,1)</f>
        <v>Momauk</v>
      </c>
      <c r="E81" s="106">
        <f ca="1">OFFSET(CampList[HH],MATCH(Table10[[#This Row],[Pcode]],CampList[CP_Pcode],0)-1,0,1,1)</f>
        <v>3</v>
      </c>
      <c r="F81" s="106">
        <f ca="1">OFFSET(CampList[Total],MATCH(Table10[[#This Row],[Pcode]],CampList[CP_Pcode],0)-1,0,1,1)</f>
        <v>18</v>
      </c>
      <c r="G81" s="106">
        <f>SUMIF('NFI Distributions'!AU$53:AU$1048576,Table10[[#This Row],[Pcode]],'NFI Distributions'!AM$53:AM$1048576)</f>
        <v>0</v>
      </c>
      <c r="H81" s="106">
        <f>SUMIF('NFI Distributions'!AU$53:AU$1048576,Table10[[#This Row],[Pcode]],'NFI Distributions'!AN$53:AN$1048576)</f>
        <v>0</v>
      </c>
      <c r="I81" s="106">
        <f>SUMIF('NFI Distributions'!AU$53:AU$1048576,Table10[[#This Row],[Pcode]],'NFI Distributions'!AO$53:AO$1048576)</f>
        <v>0</v>
      </c>
      <c r="J81" s="106">
        <f ca="1">MAX(Table10[[#This Row],[HH]]*VLOOKUP("Winter Clothes Adult",NFI,6)-Table10[[#This Row],[Winter Clothes Adult ]],0)</f>
        <v>6</v>
      </c>
      <c r="K81" s="106">
        <f ca="1">MAX(Table10[[#This Row],[HH]]*VLOOKUP("Winter Clothes Children ",NFI,6)-Table10[[#This Row],[Winter Clothes Children ]],0)</f>
        <v>3</v>
      </c>
      <c r="L81" s="106">
        <f ca="1">MAX(Table10[[#This Row],[HH]]*VLOOKUP("Winter Items Other ",NFI,6)-Table10[[#This Row],[Winter Items Other ]],0)</f>
        <v>3</v>
      </c>
      <c r="M81" s="114" t="str">
        <f>IF(OR(Table10[[#This Row],[Winter Clothes Adult ]]&lt;&gt;0,Table10[[#This Row],[Winter Clothes Children ]]&lt;&gt;0,Table10[[#This Row],[Winter Items Other ]]&lt;&gt;0),"No","")</f>
        <v/>
      </c>
      <c r="N81" s="115">
        <f>COUNTIF(A:A,Table10[[#This Row],[Pcode]])-1</f>
        <v>0</v>
      </c>
    </row>
    <row r="82" spans="1:14" x14ac:dyDescent="0.25">
      <c r="A82" s="102" t="s">
        <v>255</v>
      </c>
      <c r="B82" s="7" t="e">
        <f ca="1">OFFSET(#REF!,MATCH(Table10[[#This Row],[Pcode]],CampList[CP_Pcode],0)-1,0,1,1)</f>
        <v>#REF!</v>
      </c>
      <c r="C82" s="7" t="str">
        <f ca="1">OFFSET(CampList[Camp],MATCH(Table10[[#This Row],[Pcode]],CampList[CP_Pcode],0)-1,0,1,1)</f>
        <v>Kyun Pin Thar Baptist Church</v>
      </c>
      <c r="D82" s="7" t="str">
        <f ca="1">OFFSET(CampList[Township],MATCH(Table10[[#This Row],[Pcode]],CampList[CP_Pcode],0)-1,0,1,1)</f>
        <v>Myitkyina</v>
      </c>
      <c r="E82" s="106">
        <f ca="1">OFFSET(CampList[HH],MATCH(Table10[[#This Row],[Pcode]],CampList[CP_Pcode],0)-1,0,1,1)</f>
        <v>46</v>
      </c>
      <c r="F82" s="106">
        <f ca="1">OFFSET(CampList[Total],MATCH(Table10[[#This Row],[Pcode]],CampList[CP_Pcode],0)-1,0,1,1)</f>
        <v>217</v>
      </c>
      <c r="G82" s="106">
        <f>SUMIF('NFI Distributions'!AU$53:AU$1048576,Table10[[#This Row],[Pcode]],'NFI Distributions'!AM$53:AM$1048576)</f>
        <v>0</v>
      </c>
      <c r="H82" s="106">
        <f>SUMIF('NFI Distributions'!AU$53:AU$1048576,Table10[[#This Row],[Pcode]],'NFI Distributions'!AN$53:AN$1048576)</f>
        <v>0</v>
      </c>
      <c r="I82" s="106">
        <f>SUMIF('NFI Distributions'!AU$53:AU$1048576,Table10[[#This Row],[Pcode]],'NFI Distributions'!AO$53:AO$1048576)</f>
        <v>0</v>
      </c>
      <c r="J82" s="106">
        <f ca="1">MAX(Table10[[#This Row],[HH]]*VLOOKUP("Winter Clothes Adult",NFI,6)-Table10[[#This Row],[Winter Clothes Adult ]],0)</f>
        <v>92</v>
      </c>
      <c r="K82" s="106">
        <f ca="1">MAX(Table10[[#This Row],[HH]]*VLOOKUP("Winter Clothes Children ",NFI,6)-Table10[[#This Row],[Winter Clothes Children ]],0)</f>
        <v>46</v>
      </c>
      <c r="L82" s="106">
        <f ca="1">MAX(Table10[[#This Row],[HH]]*VLOOKUP("Winter Items Other ",NFI,6)-Table10[[#This Row],[Winter Items Other ]],0)</f>
        <v>46</v>
      </c>
      <c r="M82" s="114" t="str">
        <f>IF(OR(Table10[[#This Row],[Winter Clothes Adult ]]&lt;&gt;0,Table10[[#This Row],[Winter Clothes Children ]]&lt;&gt;0,Table10[[#This Row],[Winter Items Other ]]&lt;&gt;0),"No","")</f>
        <v/>
      </c>
      <c r="N82" s="115">
        <f>COUNTIF(A:A,Table10[[#This Row],[Pcode]])-1</f>
        <v>0</v>
      </c>
    </row>
    <row r="83" spans="1:14" x14ac:dyDescent="0.25">
      <c r="A83" s="102" t="s">
        <v>172</v>
      </c>
      <c r="B83" s="7" t="e">
        <f ca="1">OFFSET(#REF!,MATCH(Table10[[#This Row],[Pcode]],CampList[CP_Pcode],0)-1,0,1,1)</f>
        <v>#REF!</v>
      </c>
      <c r="C83" s="7" t="str">
        <f ca="1">OFFSET(CampList[Camp],MATCH(Table10[[#This Row],[Pcode]],CampList[CP_Pcode],0)-1,0,1,1)</f>
        <v xml:space="preserve">Kyun Taw Baptist Church </v>
      </c>
      <c r="D83" s="7" t="str">
        <f ca="1">OFFSET(CampList[Township],MATCH(Table10[[#This Row],[Pcode]],CampList[CP_Pcode],0)-1,0,1,1)</f>
        <v>Mogaung</v>
      </c>
      <c r="E83" s="106">
        <f ca="1">OFFSET(CampList[HH],MATCH(Table10[[#This Row],[Pcode]],CampList[CP_Pcode],0)-1,0,1,1)</f>
        <v>13</v>
      </c>
      <c r="F83" s="106">
        <f ca="1">OFFSET(CampList[Total],MATCH(Table10[[#This Row],[Pcode]],CampList[CP_Pcode],0)-1,0,1,1)</f>
        <v>71</v>
      </c>
      <c r="G83" s="106">
        <f>SUMIF('NFI Distributions'!AU$53:AU$1048576,Table10[[#This Row],[Pcode]],'NFI Distributions'!AM$53:AM$1048576)</f>
        <v>0</v>
      </c>
      <c r="H83" s="106">
        <f>SUMIF('NFI Distributions'!AU$53:AU$1048576,Table10[[#This Row],[Pcode]],'NFI Distributions'!AN$53:AN$1048576)</f>
        <v>0</v>
      </c>
      <c r="I83" s="106">
        <f>SUMIF('NFI Distributions'!AU$53:AU$1048576,Table10[[#This Row],[Pcode]],'NFI Distributions'!AO$53:AO$1048576)</f>
        <v>0</v>
      </c>
      <c r="J83" s="106">
        <f ca="1">MAX(Table10[[#This Row],[HH]]*VLOOKUP("Winter Clothes Adult",NFI,6)-Table10[[#This Row],[Winter Clothes Adult ]],0)</f>
        <v>26</v>
      </c>
      <c r="K83" s="106">
        <f ca="1">MAX(Table10[[#This Row],[HH]]*VLOOKUP("Winter Clothes Children ",NFI,6)-Table10[[#This Row],[Winter Clothes Children ]],0)</f>
        <v>13</v>
      </c>
      <c r="L83" s="106">
        <f ca="1">MAX(Table10[[#This Row],[HH]]*VLOOKUP("Winter Items Other ",NFI,6)-Table10[[#This Row],[Winter Items Other ]],0)</f>
        <v>13</v>
      </c>
      <c r="M83" s="114" t="str">
        <f>IF(OR(Table10[[#This Row],[Winter Clothes Adult ]]&lt;&gt;0,Table10[[#This Row],[Winter Clothes Children ]]&lt;&gt;0,Table10[[#This Row],[Winter Items Other ]]&lt;&gt;0),"No","")</f>
        <v/>
      </c>
      <c r="N83" s="115">
        <f>COUNTIF(A:A,Table10[[#This Row],[Pcode]])-1</f>
        <v>0</v>
      </c>
    </row>
    <row r="84" spans="1:14" x14ac:dyDescent="0.25">
      <c r="A84" s="102" t="s">
        <v>143</v>
      </c>
      <c r="B84" s="7" t="e">
        <f ca="1">OFFSET(#REF!,MATCH(Table10[[#This Row],[Pcode]],CampList[CP_Pcode],0)-1,0,1,1)</f>
        <v>#REF!</v>
      </c>
      <c r="C84" s="7" t="str">
        <f ca="1">OFFSET(CampList[Camp],MATCH(Table10[[#This Row],[Pcode]],CampList[CP_Pcode],0)-1,0,1,1)</f>
        <v>La Ja</v>
      </c>
      <c r="D84" s="7" t="str">
        <f ca="1">OFFSET(CampList[Township],MATCH(Table10[[#This Row],[Pcode]],CampList[CP_Pcode],0)-1,0,1,1)</f>
        <v>Khaunglanhpu</v>
      </c>
      <c r="E84" s="106">
        <f ca="1">OFFSET(CampList[HH],MATCH(Table10[[#This Row],[Pcode]],CampList[CP_Pcode],0)-1,0,1,1)</f>
        <v>0</v>
      </c>
      <c r="F84" s="106">
        <f ca="1">OFFSET(CampList[Total],MATCH(Table10[[#This Row],[Pcode]],CampList[CP_Pcode],0)-1,0,1,1)</f>
        <v>0</v>
      </c>
      <c r="G84" s="106">
        <f>SUMIF('NFI Distributions'!AU$53:AU$1048576,Table10[[#This Row],[Pcode]],'NFI Distributions'!AM$53:AM$1048576)</f>
        <v>0</v>
      </c>
      <c r="H84" s="106">
        <f>SUMIF('NFI Distributions'!AU$53:AU$1048576,Table10[[#This Row],[Pcode]],'NFI Distributions'!AN$53:AN$1048576)</f>
        <v>0</v>
      </c>
      <c r="I84" s="106">
        <f>SUMIF('NFI Distributions'!AU$53:AU$1048576,Table10[[#This Row],[Pcode]],'NFI Distributions'!AO$53:AO$1048576)</f>
        <v>0</v>
      </c>
      <c r="J84" s="106">
        <f ca="1">MAX(Table10[[#This Row],[HH]]*VLOOKUP("Winter Clothes Adult",NFI,6)-Table10[[#This Row],[Winter Clothes Adult ]],0)</f>
        <v>0</v>
      </c>
      <c r="K84" s="106">
        <f ca="1">MAX(Table10[[#This Row],[HH]]*VLOOKUP("Winter Clothes Children ",NFI,6)-Table10[[#This Row],[Winter Clothes Children ]],0)</f>
        <v>0</v>
      </c>
      <c r="L84" s="106">
        <f ca="1">MAX(Table10[[#This Row],[HH]]*VLOOKUP("Winter Items Other ",NFI,6)-Table10[[#This Row],[Winter Items Other ]],0)</f>
        <v>0</v>
      </c>
      <c r="M84" s="114" t="str">
        <f>IF(OR(Table10[[#This Row],[Winter Clothes Adult ]]&lt;&gt;0,Table10[[#This Row],[Winter Clothes Children ]]&lt;&gt;0,Table10[[#This Row],[Winter Items Other ]]&lt;&gt;0),"No","")</f>
        <v/>
      </c>
      <c r="N84" s="115">
        <f>COUNTIF(A:A,Table10[[#This Row],[Pcode]])-1</f>
        <v>0</v>
      </c>
    </row>
    <row r="85" spans="1:14" x14ac:dyDescent="0.25">
      <c r="A85" s="102" t="s">
        <v>470</v>
      </c>
      <c r="B85" s="7" t="e">
        <f ca="1">OFFSET(#REF!,MATCH(Table10[[#This Row],[Pcode]],CampList[CP_Pcode],0)-1,0,1,1)</f>
        <v>#REF!</v>
      </c>
      <c r="C85" s="7" t="str">
        <f ca="1">OFFSET(CampList[Camp],MATCH(Table10[[#This Row],[Pcode]],CampList[CP_Pcode],0)-1,0,1,1)</f>
        <v xml:space="preserve">Lagatyan </v>
      </c>
      <c r="D85" s="7" t="str">
        <f ca="1">OFFSET(CampList[Township],MATCH(Table10[[#This Row],[Pcode]],CampList[CP_Pcode],0)-1,0,1,1)</f>
        <v>Mansi</v>
      </c>
      <c r="E85" s="106">
        <f ca="1">OFFSET(CampList[HH],MATCH(Table10[[#This Row],[Pcode]],CampList[CP_Pcode],0)-1,0,1,1)</f>
        <v>0</v>
      </c>
      <c r="F85" s="106">
        <f ca="1">OFFSET(CampList[Total],MATCH(Table10[[#This Row],[Pcode]],CampList[CP_Pcode],0)-1,0,1,1)</f>
        <v>0</v>
      </c>
      <c r="G85" s="106">
        <f>SUMIF('NFI Distributions'!AU$53:AU$1048576,Table10[[#This Row],[Pcode]],'NFI Distributions'!AM$53:AM$1048576)</f>
        <v>0</v>
      </c>
      <c r="H85" s="106">
        <f>SUMIF('NFI Distributions'!AU$53:AU$1048576,Table10[[#This Row],[Pcode]],'NFI Distributions'!AN$53:AN$1048576)</f>
        <v>0</v>
      </c>
      <c r="I85" s="106">
        <f>SUMIF('NFI Distributions'!AU$53:AU$1048576,Table10[[#This Row],[Pcode]],'NFI Distributions'!AO$53:AO$1048576)</f>
        <v>0</v>
      </c>
      <c r="J85" s="106">
        <f ca="1">MAX(Table10[[#This Row],[HH]]*VLOOKUP("Winter Clothes Adult",NFI,6)-Table10[[#This Row],[Winter Clothes Adult ]],0)</f>
        <v>0</v>
      </c>
      <c r="K85" s="106">
        <f ca="1">MAX(Table10[[#This Row],[HH]]*VLOOKUP("Winter Clothes Children ",NFI,6)-Table10[[#This Row],[Winter Clothes Children ]],0)</f>
        <v>0</v>
      </c>
      <c r="L85" s="106">
        <f ca="1">MAX(Table10[[#This Row],[HH]]*VLOOKUP("Winter Items Other ",NFI,6)-Table10[[#This Row],[Winter Items Other ]],0)</f>
        <v>0</v>
      </c>
      <c r="M85" s="114" t="str">
        <f>IF(OR(Table10[[#This Row],[Winter Clothes Adult ]]&lt;&gt;0,Table10[[#This Row],[Winter Clothes Children ]]&lt;&gt;0,Table10[[#This Row],[Winter Items Other ]]&lt;&gt;0),"No","")</f>
        <v/>
      </c>
      <c r="N85" s="115">
        <f>COUNTIF(A:A,Table10[[#This Row],[Pcode]])-1</f>
        <v>0</v>
      </c>
    </row>
    <row r="86" spans="1:14" x14ac:dyDescent="0.25">
      <c r="A86" s="102" t="s">
        <v>338</v>
      </c>
      <c r="B86" s="7" t="e">
        <f ca="1">OFFSET(#REF!,MATCH(Table10[[#This Row],[Pcode]],CampList[CP_Pcode],0)-1,0,1,1)</f>
        <v>#REF!</v>
      </c>
      <c r="C86" s="7" t="e">
        <f ca="1">OFFSET(CampList[Camp],MATCH(Table10[[#This Row],[Pcode]],CampList[CP_Pcode],0)-1,0,1,1)</f>
        <v>#N/A</v>
      </c>
      <c r="D86" s="7" t="e">
        <f ca="1">OFFSET(CampList[Township],MATCH(Table10[[#This Row],[Pcode]],CampList[CP_Pcode],0)-1,0,1,1)</f>
        <v>#N/A</v>
      </c>
      <c r="E86" s="106" t="e">
        <f ca="1">OFFSET(CampList[HH],MATCH(Table10[[#This Row],[Pcode]],CampList[CP_Pcode],0)-1,0,1,1)</f>
        <v>#N/A</v>
      </c>
      <c r="F86" s="106" t="e">
        <f ca="1">OFFSET(CampList[Total],MATCH(Table10[[#This Row],[Pcode]],CampList[CP_Pcode],0)-1,0,1,1)</f>
        <v>#N/A</v>
      </c>
      <c r="G86" s="106">
        <f>SUMIF('NFI Distributions'!AU$53:AU$1048576,Table10[[#This Row],[Pcode]],'NFI Distributions'!AM$53:AM$1048576)</f>
        <v>0</v>
      </c>
      <c r="H86" s="106">
        <f>SUMIF('NFI Distributions'!AU$53:AU$1048576,Table10[[#This Row],[Pcode]],'NFI Distributions'!AN$53:AN$1048576)</f>
        <v>0</v>
      </c>
      <c r="I86" s="106">
        <f>SUMIF('NFI Distributions'!AU$53:AU$1048576,Table10[[#This Row],[Pcode]],'NFI Distributions'!AO$53:AO$1048576)</f>
        <v>0</v>
      </c>
      <c r="J86" s="106" t="e">
        <f ca="1">MAX(Table10[[#This Row],[HH]]*VLOOKUP("Winter Clothes Adult",NFI,6)-Table10[[#This Row],[Winter Clothes Adult ]],0)</f>
        <v>#N/A</v>
      </c>
      <c r="K86" s="106" t="e">
        <f ca="1">MAX(Table10[[#This Row],[HH]]*VLOOKUP("Winter Clothes Children ",NFI,6)-Table10[[#This Row],[Winter Clothes Children ]],0)</f>
        <v>#N/A</v>
      </c>
      <c r="L86" s="106" t="e">
        <f ca="1">MAX(Table10[[#This Row],[HH]]*VLOOKUP("Winter Items Other ",NFI,6)-Table10[[#This Row],[Winter Items Other ]],0)</f>
        <v>#N/A</v>
      </c>
      <c r="M86" s="114" t="str">
        <f>IF(OR(Table10[[#This Row],[Winter Clothes Adult ]]&lt;&gt;0,Table10[[#This Row],[Winter Clothes Children ]]&lt;&gt;0,Table10[[#This Row],[Winter Items Other ]]&lt;&gt;0),"No","")</f>
        <v/>
      </c>
      <c r="N86" s="115">
        <f>COUNTIF(A:A,Table10[[#This Row],[Pcode]])-1</f>
        <v>0</v>
      </c>
    </row>
    <row r="87" spans="1:14" x14ac:dyDescent="0.25">
      <c r="A87" s="102" t="s">
        <v>302</v>
      </c>
      <c r="B87" s="7" t="e">
        <f ca="1">OFFSET(#REF!,MATCH(Table10[[#This Row],[Pcode]],CampList[CP_Pcode],0)-1,0,1,1)</f>
        <v>#REF!</v>
      </c>
      <c r="C87" s="7" t="str">
        <f ca="1">OFFSET(CampList[Camp],MATCH(Table10[[#This Row],[Pcode]],CampList[CP_Pcode],0)-1,0,1,1)</f>
        <v>Lawk Awng Mare D. (Sinbo Area)</v>
      </c>
      <c r="D87" s="7" t="str">
        <f ca="1">OFFSET(CampList[Township],MATCH(Table10[[#This Row],[Pcode]],CampList[CP_Pcode],0)-1,0,1,1)</f>
        <v>Myitkyina</v>
      </c>
      <c r="E87" s="106">
        <f ca="1">OFFSET(CampList[HH],MATCH(Table10[[#This Row],[Pcode]],CampList[CP_Pcode],0)-1,0,1,1)</f>
        <v>375</v>
      </c>
      <c r="F87" s="106">
        <f ca="1">OFFSET(CampList[Total],MATCH(Table10[[#This Row],[Pcode]],CampList[CP_Pcode],0)-1,0,1,1)</f>
        <v>1691</v>
      </c>
      <c r="G87" s="106">
        <f>SUMIF('NFI Distributions'!AU$53:AU$1048576,Table10[[#This Row],[Pcode]],'NFI Distributions'!AM$53:AM$1048576)</f>
        <v>0</v>
      </c>
      <c r="H87" s="106">
        <f>SUMIF('NFI Distributions'!AU$53:AU$1048576,Table10[[#This Row],[Pcode]],'NFI Distributions'!AN$53:AN$1048576)</f>
        <v>0</v>
      </c>
      <c r="I87" s="106">
        <f>SUMIF('NFI Distributions'!AU$53:AU$1048576,Table10[[#This Row],[Pcode]],'NFI Distributions'!AO$53:AO$1048576)</f>
        <v>0</v>
      </c>
      <c r="J87" s="106">
        <f ca="1">MAX(Table10[[#This Row],[HH]]*VLOOKUP("Winter Clothes Adult",NFI,6)-Table10[[#This Row],[Winter Clothes Adult ]],0)</f>
        <v>750</v>
      </c>
      <c r="K87" s="106">
        <f ca="1">MAX(Table10[[#This Row],[HH]]*VLOOKUP("Winter Clothes Children ",NFI,6)-Table10[[#This Row],[Winter Clothes Children ]],0)</f>
        <v>375</v>
      </c>
      <c r="L87" s="106">
        <f ca="1">MAX(Table10[[#This Row],[HH]]*VLOOKUP("Winter Items Other ",NFI,6)-Table10[[#This Row],[Winter Items Other ]],0)</f>
        <v>375</v>
      </c>
      <c r="M87" s="114" t="str">
        <f>IF(OR(Table10[[#This Row],[Winter Clothes Adult ]]&lt;&gt;0,Table10[[#This Row],[Winter Clothes Children ]]&lt;&gt;0,Table10[[#This Row],[Winter Items Other ]]&lt;&gt;0),"No","")</f>
        <v/>
      </c>
      <c r="N87" s="115">
        <f>COUNTIF(A:A,Table10[[#This Row],[Pcode]])-1</f>
        <v>0</v>
      </c>
    </row>
    <row r="88" spans="1:14" x14ac:dyDescent="0.25">
      <c r="A88" s="102" t="s">
        <v>239</v>
      </c>
      <c r="B88" s="7" t="e">
        <f ca="1">OFFSET(#REF!,MATCH(Table10[[#This Row],[Pcode]],CampList[CP_Pcode],0)-1,0,1,1)</f>
        <v>#REF!</v>
      </c>
      <c r="C88" s="7" t="str">
        <f ca="1">OFFSET(CampList[Camp],MATCH(Table10[[#This Row],[Pcode]],CampList[CP_Pcode],0)-1,0,1,1)</f>
        <v>Le Kone Bethlehem Church</v>
      </c>
      <c r="D88" s="7" t="str">
        <f ca="1">OFFSET(CampList[Township],MATCH(Table10[[#This Row],[Pcode]],CampList[CP_Pcode],0)-1,0,1,1)</f>
        <v>Myitkyina</v>
      </c>
      <c r="E88" s="106">
        <f ca="1">OFFSET(CampList[HH],MATCH(Table10[[#This Row],[Pcode]],CampList[CP_Pcode],0)-1,0,1,1)</f>
        <v>107</v>
      </c>
      <c r="F88" s="106">
        <f ca="1">OFFSET(CampList[Total],MATCH(Table10[[#This Row],[Pcode]],CampList[CP_Pcode],0)-1,0,1,1)</f>
        <v>561</v>
      </c>
      <c r="G88" s="106">
        <f>SUMIF('NFI Distributions'!AU$53:AU$1048576,Table10[[#This Row],[Pcode]],'NFI Distributions'!AM$53:AM$1048576)</f>
        <v>0</v>
      </c>
      <c r="H88" s="106">
        <f>SUMIF('NFI Distributions'!AU$53:AU$1048576,Table10[[#This Row],[Pcode]],'NFI Distributions'!AN$53:AN$1048576)</f>
        <v>0</v>
      </c>
      <c r="I88" s="106">
        <f>SUMIF('NFI Distributions'!AU$53:AU$1048576,Table10[[#This Row],[Pcode]],'NFI Distributions'!AO$53:AO$1048576)</f>
        <v>0</v>
      </c>
      <c r="J88" s="106">
        <f ca="1">MAX(Table10[[#This Row],[HH]]*VLOOKUP("Winter Clothes Adult",NFI,6)-Table10[[#This Row],[Winter Clothes Adult ]],0)</f>
        <v>214</v>
      </c>
      <c r="K88" s="106">
        <f ca="1">MAX(Table10[[#This Row],[HH]]*VLOOKUP("Winter Clothes Children ",NFI,6)-Table10[[#This Row],[Winter Clothes Children ]],0)</f>
        <v>107</v>
      </c>
      <c r="L88" s="106">
        <f ca="1">MAX(Table10[[#This Row],[HH]]*VLOOKUP("Winter Items Other ",NFI,6)-Table10[[#This Row],[Winter Items Other ]],0)</f>
        <v>107</v>
      </c>
      <c r="M88" s="114" t="str">
        <f>IF(OR(Table10[[#This Row],[Winter Clothes Adult ]]&lt;&gt;0,Table10[[#This Row],[Winter Clothes Children ]]&lt;&gt;0,Table10[[#This Row],[Winter Items Other ]]&lt;&gt;0),"No","")</f>
        <v/>
      </c>
      <c r="N88" s="115">
        <f>COUNTIF(A:A,Table10[[#This Row],[Pcode]])-1</f>
        <v>0</v>
      </c>
    </row>
    <row r="89" spans="1:14" x14ac:dyDescent="0.25">
      <c r="A89" s="102" t="s">
        <v>283</v>
      </c>
      <c r="B89" s="7" t="e">
        <f ca="1">OFFSET(#REF!,MATCH(Table10[[#This Row],[Pcode]],CampList[CP_Pcode],0)-1,0,1,1)</f>
        <v>#REF!</v>
      </c>
      <c r="C89" s="7" t="str">
        <f ca="1">OFFSET(CampList[Camp],MATCH(Table10[[#This Row],[Pcode]],CampList[CP_Pcode],0)-1,0,1,1)</f>
        <v xml:space="preserve">Le Kone Ziun Baptist Church </v>
      </c>
      <c r="D89" s="7" t="str">
        <f ca="1">OFFSET(CampList[Township],MATCH(Table10[[#This Row],[Pcode]],CampList[CP_Pcode],0)-1,0,1,1)</f>
        <v>Myitkyina</v>
      </c>
      <c r="E89" s="106">
        <f ca="1">OFFSET(CampList[HH],MATCH(Table10[[#This Row],[Pcode]],CampList[CP_Pcode],0)-1,0,1,1)</f>
        <v>138</v>
      </c>
      <c r="F89" s="106">
        <f ca="1">OFFSET(CampList[Total],MATCH(Table10[[#This Row],[Pcode]],CampList[CP_Pcode],0)-1,0,1,1)</f>
        <v>705</v>
      </c>
      <c r="G89" s="106">
        <f>SUMIF('NFI Distributions'!AU$53:AU$1048576,Table10[[#This Row],[Pcode]],'NFI Distributions'!AM$53:AM$1048576)</f>
        <v>0</v>
      </c>
      <c r="H89" s="106">
        <f>SUMIF('NFI Distributions'!AU$53:AU$1048576,Table10[[#This Row],[Pcode]],'NFI Distributions'!AN$53:AN$1048576)</f>
        <v>0</v>
      </c>
      <c r="I89" s="106">
        <f>SUMIF('NFI Distributions'!AU$53:AU$1048576,Table10[[#This Row],[Pcode]],'NFI Distributions'!AO$53:AO$1048576)</f>
        <v>0</v>
      </c>
      <c r="J89" s="106">
        <f ca="1">MAX(Table10[[#This Row],[HH]]*VLOOKUP("Winter Clothes Adult",NFI,6)-Table10[[#This Row],[Winter Clothes Adult ]],0)</f>
        <v>276</v>
      </c>
      <c r="K89" s="106">
        <f ca="1">MAX(Table10[[#This Row],[HH]]*VLOOKUP("Winter Clothes Children ",NFI,6)-Table10[[#This Row],[Winter Clothes Children ]],0)</f>
        <v>138</v>
      </c>
      <c r="L89" s="106">
        <f ca="1">MAX(Table10[[#This Row],[HH]]*VLOOKUP("Winter Items Other ",NFI,6)-Table10[[#This Row],[Winter Items Other ]],0)</f>
        <v>138</v>
      </c>
      <c r="M89" s="114" t="str">
        <f>IF(OR(Table10[[#This Row],[Winter Clothes Adult ]]&lt;&gt;0,Table10[[#This Row],[Winter Clothes Children ]]&lt;&gt;0,Table10[[#This Row],[Winter Items Other ]]&lt;&gt;0),"No","")</f>
        <v/>
      </c>
      <c r="N89" s="115">
        <f>COUNTIF(A:A,Table10[[#This Row],[Pcode]])-1</f>
        <v>0</v>
      </c>
    </row>
    <row r="90" spans="1:14" x14ac:dyDescent="0.25">
      <c r="A90" s="102" t="s">
        <v>89</v>
      </c>
      <c r="B90" s="7" t="e">
        <f ca="1">OFFSET(#REF!,MATCH(Table10[[#This Row],[Pcode]],CampList[CP_Pcode],0)-1,0,1,1)</f>
        <v>#REF!</v>
      </c>
      <c r="C90" s="7" t="str">
        <f ca="1">OFFSET(CampList[Camp],MATCH(Table10[[#This Row],[Pcode]],CampList[CP_Pcode],0)-1,0,1,1)</f>
        <v>Lisu Baptist Church, Maw Shan Vil,. Seik Mu</v>
      </c>
      <c r="D90" s="7" t="str">
        <f ca="1">OFFSET(CampList[Township],MATCH(Table10[[#This Row],[Pcode]],CampList[CP_Pcode],0)-1,0,1,1)</f>
        <v>Hpakant</v>
      </c>
      <c r="E90" s="106">
        <f ca="1">OFFSET(CampList[HH],MATCH(Table10[[#This Row],[Pcode]],CampList[CP_Pcode],0)-1,0,1,1)</f>
        <v>18</v>
      </c>
      <c r="F90" s="106">
        <f ca="1">OFFSET(CampList[Total],MATCH(Table10[[#This Row],[Pcode]],CampList[CP_Pcode],0)-1,0,1,1)</f>
        <v>102</v>
      </c>
      <c r="G90" s="106">
        <f>SUMIF('NFI Distributions'!AU$53:AU$1048576,Table10[[#This Row],[Pcode]],'NFI Distributions'!AM$53:AM$1048576)</f>
        <v>0</v>
      </c>
      <c r="H90" s="106">
        <f>SUMIF('NFI Distributions'!AU$53:AU$1048576,Table10[[#This Row],[Pcode]],'NFI Distributions'!AN$53:AN$1048576)</f>
        <v>0</v>
      </c>
      <c r="I90" s="106">
        <f>SUMIF('NFI Distributions'!AU$53:AU$1048576,Table10[[#This Row],[Pcode]],'NFI Distributions'!AO$53:AO$1048576)</f>
        <v>0</v>
      </c>
      <c r="J90" s="106">
        <f ca="1">MAX(Table10[[#This Row],[HH]]*VLOOKUP("Winter Clothes Adult",NFI,6)-Table10[[#This Row],[Winter Clothes Adult ]],0)</f>
        <v>36</v>
      </c>
      <c r="K90" s="106">
        <f ca="1">MAX(Table10[[#This Row],[HH]]*VLOOKUP("Winter Clothes Children ",NFI,6)-Table10[[#This Row],[Winter Clothes Children ]],0)</f>
        <v>18</v>
      </c>
      <c r="L90" s="106">
        <f ca="1">MAX(Table10[[#This Row],[HH]]*VLOOKUP("Winter Items Other ",NFI,6)-Table10[[#This Row],[Winter Items Other ]],0)</f>
        <v>18</v>
      </c>
      <c r="M90" s="114" t="str">
        <f>IF(OR(Table10[[#This Row],[Winter Clothes Adult ]]&lt;&gt;0,Table10[[#This Row],[Winter Clothes Children ]]&lt;&gt;0,Table10[[#This Row],[Winter Items Other ]]&lt;&gt;0),"No","")</f>
        <v/>
      </c>
      <c r="N90" s="115">
        <f>COUNTIF(A:A,Table10[[#This Row],[Pcode]])-1</f>
        <v>0</v>
      </c>
    </row>
    <row r="91" spans="1:14" x14ac:dyDescent="0.25">
      <c r="A91" s="102" t="s">
        <v>91</v>
      </c>
      <c r="B91" s="7" t="e">
        <f ca="1">OFFSET(#REF!,MATCH(Table10[[#This Row],[Pcode]],CampList[CP_Pcode],0)-1,0,1,1)</f>
        <v>#REF!</v>
      </c>
      <c r="C91" s="7" t="str">
        <f ca="1">OFFSET(CampList[Camp],MATCH(Table10[[#This Row],[Pcode]],CampList[CP_Pcode],0)-1,0,1,1)</f>
        <v>Lisu Baptist Church, Maw Wan Ward</v>
      </c>
      <c r="D91" s="7" t="str">
        <f ca="1">OFFSET(CampList[Township],MATCH(Table10[[#This Row],[Pcode]],CampList[CP_Pcode],0)-1,0,1,1)</f>
        <v>Hpakant</v>
      </c>
      <c r="E91" s="106">
        <f ca="1">OFFSET(CampList[HH],MATCH(Table10[[#This Row],[Pcode]],CampList[CP_Pcode],0)-1,0,1,1)</f>
        <v>11</v>
      </c>
      <c r="F91" s="106">
        <f ca="1">OFFSET(CampList[Total],MATCH(Table10[[#This Row],[Pcode]],CampList[CP_Pcode],0)-1,0,1,1)</f>
        <v>55</v>
      </c>
      <c r="G91" s="106">
        <f>SUMIF('NFI Distributions'!AU$53:AU$1048576,Table10[[#This Row],[Pcode]],'NFI Distributions'!AM$53:AM$1048576)</f>
        <v>0</v>
      </c>
      <c r="H91" s="106">
        <f>SUMIF('NFI Distributions'!AU$53:AU$1048576,Table10[[#This Row],[Pcode]],'NFI Distributions'!AN$53:AN$1048576)</f>
        <v>0</v>
      </c>
      <c r="I91" s="106">
        <f>SUMIF('NFI Distributions'!AU$53:AU$1048576,Table10[[#This Row],[Pcode]],'NFI Distributions'!AO$53:AO$1048576)</f>
        <v>0</v>
      </c>
      <c r="J91" s="106">
        <f ca="1">MAX(Table10[[#This Row],[HH]]*VLOOKUP("Winter Clothes Adult",NFI,6)-Table10[[#This Row],[Winter Clothes Adult ]],0)</f>
        <v>22</v>
      </c>
      <c r="K91" s="106">
        <f ca="1">MAX(Table10[[#This Row],[HH]]*VLOOKUP("Winter Clothes Children ",NFI,6)-Table10[[#This Row],[Winter Clothes Children ]],0)</f>
        <v>11</v>
      </c>
      <c r="L91" s="106">
        <f ca="1">MAX(Table10[[#This Row],[HH]]*VLOOKUP("Winter Items Other ",NFI,6)-Table10[[#This Row],[Winter Items Other ]],0)</f>
        <v>11</v>
      </c>
      <c r="M91" s="114" t="str">
        <f>IF(OR(Table10[[#This Row],[Winter Clothes Adult ]]&lt;&gt;0,Table10[[#This Row],[Winter Clothes Children ]]&lt;&gt;0,Table10[[#This Row],[Winter Items Other ]]&lt;&gt;0),"No","")</f>
        <v/>
      </c>
      <c r="N91" s="115">
        <f>COUNTIF(A:A,Table10[[#This Row],[Pcode]])-1</f>
        <v>0</v>
      </c>
    </row>
    <row r="92" spans="1:14" x14ac:dyDescent="0.25">
      <c r="A92" s="102" t="s">
        <v>17</v>
      </c>
      <c r="B92" s="7" t="e">
        <f ca="1">OFFSET(#REF!,MATCH(Table10[[#This Row],[Pcode]],CampList[CP_Pcode],0)-1,0,1,1)</f>
        <v>#REF!</v>
      </c>
      <c r="C92" s="7" t="str">
        <f ca="1">OFFSET(CampList[Camp],MATCH(Table10[[#This Row],[Pcode]],CampList[CP_Pcode],0)-1,0,1,1)</f>
        <v>Lisu Boarding-House</v>
      </c>
      <c r="D92" s="7" t="str">
        <f ca="1">OFFSET(CampList[Township],MATCH(Table10[[#This Row],[Pcode]],CampList[CP_Pcode],0)-1,0,1,1)</f>
        <v>Bhamo</v>
      </c>
      <c r="E92" s="106">
        <f ca="1">OFFSET(CampList[HH],MATCH(Table10[[#This Row],[Pcode]],CampList[CP_Pcode],0)-1,0,1,1)</f>
        <v>132</v>
      </c>
      <c r="F92" s="106">
        <f ca="1">OFFSET(CampList[Total],MATCH(Table10[[#This Row],[Pcode]],CampList[CP_Pcode],0)-1,0,1,1)</f>
        <v>774</v>
      </c>
      <c r="G92" s="106">
        <f>SUMIF('NFI Distributions'!AU$53:AU$1048576,Table10[[#This Row],[Pcode]],'NFI Distributions'!AM$53:AM$1048576)</f>
        <v>0</v>
      </c>
      <c r="H92" s="106">
        <f>SUMIF('NFI Distributions'!AU$53:AU$1048576,Table10[[#This Row],[Pcode]],'NFI Distributions'!AN$53:AN$1048576)</f>
        <v>0</v>
      </c>
      <c r="I92" s="106">
        <f>SUMIF('NFI Distributions'!AU$53:AU$1048576,Table10[[#This Row],[Pcode]],'NFI Distributions'!AO$53:AO$1048576)</f>
        <v>0</v>
      </c>
      <c r="J92" s="106">
        <f ca="1">MAX(Table10[[#This Row],[HH]]*VLOOKUP("Winter Clothes Adult",NFI,6)-Table10[[#This Row],[Winter Clothes Adult ]],0)</f>
        <v>264</v>
      </c>
      <c r="K92" s="106">
        <f ca="1">MAX(Table10[[#This Row],[HH]]*VLOOKUP("Winter Clothes Children ",NFI,6)-Table10[[#This Row],[Winter Clothes Children ]],0)</f>
        <v>132</v>
      </c>
      <c r="L92" s="106">
        <f ca="1">MAX(Table10[[#This Row],[HH]]*VLOOKUP("Winter Items Other ",NFI,6)-Table10[[#This Row],[Winter Items Other ]],0)</f>
        <v>132</v>
      </c>
      <c r="M92" s="114" t="str">
        <f>IF(OR(Table10[[#This Row],[Winter Clothes Adult ]]&lt;&gt;0,Table10[[#This Row],[Winter Clothes Children ]]&lt;&gt;0,Table10[[#This Row],[Winter Items Other ]]&lt;&gt;0),"No","")</f>
        <v/>
      </c>
      <c r="N92" s="115">
        <f>COUNTIF(A:A,Table10[[#This Row],[Pcode]])-1</f>
        <v>0</v>
      </c>
    </row>
    <row r="93" spans="1:14" x14ac:dyDescent="0.25">
      <c r="A93" s="102" t="s">
        <v>318</v>
      </c>
      <c r="B93" s="7" t="e">
        <f ca="1">OFFSET(#REF!,MATCH(Table10[[#This Row],[Pcode]],CampList[CP_Pcode],0)-1,0,1,1)</f>
        <v>#REF!</v>
      </c>
      <c r="C93" s="7" t="str">
        <f ca="1">OFFSET(CampList[Camp],MATCH(Table10[[#This Row],[Pcode]],CampList[CP_Pcode],0)-1,0,1,1)</f>
        <v>Mading Baptist Church</v>
      </c>
      <c r="D93" s="7" t="str">
        <f ca="1">OFFSET(CampList[Township],MATCH(Table10[[#This Row],[Pcode]],CampList[CP_Pcode],0)-1,0,1,1)</f>
        <v>Waingmaw</v>
      </c>
      <c r="E93" s="106">
        <f ca="1">OFFSET(CampList[HH],MATCH(Table10[[#This Row],[Pcode]],CampList[CP_Pcode],0)-1,0,1,1)</f>
        <v>31</v>
      </c>
      <c r="F93" s="106">
        <f ca="1">OFFSET(CampList[Total],MATCH(Table10[[#This Row],[Pcode]],CampList[CP_Pcode],0)-1,0,1,1)</f>
        <v>181</v>
      </c>
      <c r="G93" s="106">
        <f>SUMIF('NFI Distributions'!AU$53:AU$1048576,Table10[[#This Row],[Pcode]],'NFI Distributions'!AM$53:AM$1048576)</f>
        <v>0</v>
      </c>
      <c r="H93" s="106">
        <f>SUMIF('NFI Distributions'!AU$53:AU$1048576,Table10[[#This Row],[Pcode]],'NFI Distributions'!AN$53:AN$1048576)</f>
        <v>0</v>
      </c>
      <c r="I93" s="106">
        <f>SUMIF('NFI Distributions'!AU$53:AU$1048576,Table10[[#This Row],[Pcode]],'NFI Distributions'!AO$53:AO$1048576)</f>
        <v>0</v>
      </c>
      <c r="J93" s="106">
        <f ca="1">MAX(Table10[[#This Row],[HH]]*VLOOKUP("Winter Clothes Adult",NFI,6)-Table10[[#This Row],[Winter Clothes Adult ]],0)</f>
        <v>62</v>
      </c>
      <c r="K93" s="106">
        <f ca="1">MAX(Table10[[#This Row],[HH]]*VLOOKUP("Winter Clothes Children ",NFI,6)-Table10[[#This Row],[Winter Clothes Children ]],0)</f>
        <v>31</v>
      </c>
      <c r="L93" s="106">
        <f ca="1">MAX(Table10[[#This Row],[HH]]*VLOOKUP("Winter Items Other ",NFI,6)-Table10[[#This Row],[Winter Items Other ]],0)</f>
        <v>31</v>
      </c>
      <c r="M93" s="114" t="str">
        <f>IF(OR(Table10[[#This Row],[Winter Clothes Adult ]]&lt;&gt;0,Table10[[#This Row],[Winter Clothes Children ]]&lt;&gt;0,Table10[[#This Row],[Winter Items Other ]]&lt;&gt;0),"No","")</f>
        <v/>
      </c>
      <c r="N93" s="115">
        <f>COUNTIF(A:A,Table10[[#This Row],[Pcode]])-1</f>
        <v>0</v>
      </c>
    </row>
    <row r="94" spans="1:14" x14ac:dyDescent="0.25">
      <c r="A94" s="102" t="s">
        <v>199</v>
      </c>
      <c r="B94" s="7" t="e">
        <f ca="1">OFFSET(#REF!,MATCH(Table10[[#This Row],[Pcode]],CampList[CP_Pcode],0)-1,0,1,1)</f>
        <v>#REF!</v>
      </c>
      <c r="C94" s="7" t="str">
        <f ca="1">OFFSET(CampList[Camp],MATCH(Table10[[#This Row],[Pcode]],CampList[CP_Pcode],0)-1,0,1,1)</f>
        <v xml:space="preserve">Mai Khat </v>
      </c>
      <c r="D94" s="7" t="str">
        <f ca="1">OFFSET(CampList[Township],MATCH(Table10[[#This Row],[Pcode]],CampList[CP_Pcode],0)-1,0,1,1)</f>
        <v>Momauk</v>
      </c>
      <c r="E94" s="106">
        <f ca="1">OFFSET(CampList[HH],MATCH(Table10[[#This Row],[Pcode]],CampList[CP_Pcode],0)-1,0,1,1)</f>
        <v>0</v>
      </c>
      <c r="F94" s="106">
        <f ca="1">OFFSET(CampList[Total],MATCH(Table10[[#This Row],[Pcode]],CampList[CP_Pcode],0)-1,0,1,1)</f>
        <v>0</v>
      </c>
      <c r="G94" s="106">
        <f>SUMIF('NFI Distributions'!AU$53:AU$1048576,Table10[[#This Row],[Pcode]],'NFI Distributions'!AM$53:AM$1048576)</f>
        <v>0</v>
      </c>
      <c r="H94" s="106">
        <f>SUMIF('NFI Distributions'!AU$53:AU$1048576,Table10[[#This Row],[Pcode]],'NFI Distributions'!AN$53:AN$1048576)</f>
        <v>0</v>
      </c>
      <c r="I94" s="106">
        <f>SUMIF('NFI Distributions'!AU$53:AU$1048576,Table10[[#This Row],[Pcode]],'NFI Distributions'!AO$53:AO$1048576)</f>
        <v>0</v>
      </c>
      <c r="J94" s="106">
        <f ca="1">MAX(Table10[[#This Row],[HH]]*VLOOKUP("Winter Clothes Adult",NFI,6)-Table10[[#This Row],[Winter Clothes Adult ]],0)</f>
        <v>0</v>
      </c>
      <c r="K94" s="106">
        <f ca="1">MAX(Table10[[#This Row],[HH]]*VLOOKUP("Winter Clothes Children ",NFI,6)-Table10[[#This Row],[Winter Clothes Children ]],0)</f>
        <v>0</v>
      </c>
      <c r="L94" s="106">
        <f ca="1">MAX(Table10[[#This Row],[HH]]*VLOOKUP("Winter Items Other ",NFI,6)-Table10[[#This Row],[Winter Items Other ]],0)</f>
        <v>0</v>
      </c>
      <c r="M94" s="114" t="str">
        <f>IF(OR(Table10[[#This Row],[Winter Clothes Adult ]]&lt;&gt;0,Table10[[#This Row],[Winter Clothes Children ]]&lt;&gt;0,Table10[[#This Row],[Winter Items Other ]]&lt;&gt;0),"No","")</f>
        <v/>
      </c>
      <c r="N94" s="115">
        <f>COUNTIF(A:A,Table10[[#This Row],[Pcode]])-1</f>
        <v>0</v>
      </c>
    </row>
    <row r="95" spans="1:14" x14ac:dyDescent="0.25">
      <c r="A95" s="102" t="s">
        <v>326</v>
      </c>
      <c r="B95" s="7" t="e">
        <f ca="1">OFFSET(#REF!,MATCH(Table10[[#This Row],[Pcode]],CampList[CP_Pcode],0)-1,0,1,1)</f>
        <v>#REF!</v>
      </c>
      <c r="C95" s="7" t="str">
        <f ca="1">OFFSET(CampList[Camp],MATCH(Table10[[#This Row],[Pcode]],CampList[CP_Pcode],0)-1,0,1,1)</f>
        <v>Maina AG Church</v>
      </c>
      <c r="D95" s="7" t="str">
        <f ca="1">OFFSET(CampList[Township],MATCH(Table10[[#This Row],[Pcode]],CampList[CP_Pcode],0)-1,0,1,1)</f>
        <v>Waingmaw</v>
      </c>
      <c r="E95" s="106">
        <f ca="1">OFFSET(CampList[HH],MATCH(Table10[[#This Row],[Pcode]],CampList[CP_Pcode],0)-1,0,1,1)</f>
        <v>347</v>
      </c>
      <c r="F95" s="106">
        <f ca="1">OFFSET(CampList[Total],MATCH(Table10[[#This Row],[Pcode]],CampList[CP_Pcode],0)-1,0,1,1)</f>
        <v>2047</v>
      </c>
      <c r="G95" s="106">
        <f>SUMIF('NFI Distributions'!AU$53:AU$1048576,Table10[[#This Row],[Pcode]],'NFI Distributions'!AM$53:AM$1048576)</f>
        <v>0</v>
      </c>
      <c r="H95" s="106">
        <f>SUMIF('NFI Distributions'!AU$53:AU$1048576,Table10[[#This Row],[Pcode]],'NFI Distributions'!AN$53:AN$1048576)</f>
        <v>0</v>
      </c>
      <c r="I95" s="106">
        <f>SUMIF('NFI Distributions'!AU$53:AU$1048576,Table10[[#This Row],[Pcode]],'NFI Distributions'!AO$53:AO$1048576)</f>
        <v>0</v>
      </c>
      <c r="J95" s="106">
        <f ca="1">MAX(Table10[[#This Row],[HH]]*VLOOKUP("Winter Clothes Adult",NFI,6)-Table10[[#This Row],[Winter Clothes Adult ]],0)</f>
        <v>694</v>
      </c>
      <c r="K95" s="106">
        <f ca="1">MAX(Table10[[#This Row],[HH]]*VLOOKUP("Winter Clothes Children ",NFI,6)-Table10[[#This Row],[Winter Clothes Children ]],0)</f>
        <v>347</v>
      </c>
      <c r="L95" s="106">
        <f ca="1">MAX(Table10[[#This Row],[HH]]*VLOOKUP("Winter Items Other ",NFI,6)-Table10[[#This Row],[Winter Items Other ]],0)</f>
        <v>347</v>
      </c>
      <c r="M95" s="114" t="str">
        <f>IF(OR(Table10[[#This Row],[Winter Clothes Adult ]]&lt;&gt;0,Table10[[#This Row],[Winter Clothes Children ]]&lt;&gt;0,Table10[[#This Row],[Winter Items Other ]]&lt;&gt;0),"No","")</f>
        <v/>
      </c>
      <c r="N95" s="115">
        <f>COUNTIF(A:A,Table10[[#This Row],[Pcode]])-1</f>
        <v>0</v>
      </c>
    </row>
    <row r="96" spans="1:14" x14ac:dyDescent="0.25">
      <c r="A96" s="102" t="s">
        <v>328</v>
      </c>
      <c r="B96" s="7" t="e">
        <f ca="1">OFFSET(#REF!,MATCH(Table10[[#This Row],[Pcode]],CampList[CP_Pcode],0)-1,0,1,1)</f>
        <v>#REF!</v>
      </c>
      <c r="C96" s="7" t="str">
        <f ca="1">OFFSET(CampList[Camp],MATCH(Table10[[#This Row],[Pcode]],CampList[CP_Pcode],0)-1,0,1,1)</f>
        <v>Maina Catholic Church (St. Joseph)</v>
      </c>
      <c r="D96" s="7" t="str">
        <f ca="1">OFFSET(CampList[Township],MATCH(Table10[[#This Row],[Pcode]],CampList[CP_Pcode],0)-1,0,1,1)</f>
        <v>Waingmaw</v>
      </c>
      <c r="E96" s="106">
        <f ca="1">OFFSET(CampList[HH],MATCH(Table10[[#This Row],[Pcode]],CampList[CP_Pcode],0)-1,0,1,1)</f>
        <v>335</v>
      </c>
      <c r="F96" s="106">
        <f ca="1">OFFSET(CampList[Total],MATCH(Table10[[#This Row],[Pcode]],CampList[CP_Pcode],0)-1,0,1,1)</f>
        <v>1774</v>
      </c>
      <c r="G96" s="106">
        <f>SUMIF('NFI Distributions'!AU$53:AU$1048576,Table10[[#This Row],[Pcode]],'NFI Distributions'!AM$53:AM$1048576)</f>
        <v>0</v>
      </c>
      <c r="H96" s="106">
        <f>SUMIF('NFI Distributions'!AU$53:AU$1048576,Table10[[#This Row],[Pcode]],'NFI Distributions'!AN$53:AN$1048576)</f>
        <v>0</v>
      </c>
      <c r="I96" s="106">
        <f>SUMIF('NFI Distributions'!AU$53:AU$1048576,Table10[[#This Row],[Pcode]],'NFI Distributions'!AO$53:AO$1048576)</f>
        <v>0</v>
      </c>
      <c r="J96" s="106">
        <f ca="1">MAX(Table10[[#This Row],[HH]]*VLOOKUP("Winter Clothes Adult",NFI,6)-Table10[[#This Row],[Winter Clothes Adult ]],0)</f>
        <v>670</v>
      </c>
      <c r="K96" s="106">
        <f ca="1">MAX(Table10[[#This Row],[HH]]*VLOOKUP("Winter Clothes Children ",NFI,6)-Table10[[#This Row],[Winter Clothes Children ]],0)</f>
        <v>335</v>
      </c>
      <c r="L96" s="106">
        <f ca="1">MAX(Table10[[#This Row],[HH]]*VLOOKUP("Winter Items Other ",NFI,6)-Table10[[#This Row],[Winter Items Other ]],0)</f>
        <v>335</v>
      </c>
      <c r="M96" s="114" t="str">
        <f>IF(OR(Table10[[#This Row],[Winter Clothes Adult ]]&lt;&gt;0,Table10[[#This Row],[Winter Clothes Children ]]&lt;&gt;0,Table10[[#This Row],[Winter Items Other ]]&lt;&gt;0),"No","")</f>
        <v/>
      </c>
      <c r="N96" s="115">
        <f>COUNTIF(A:A,Table10[[#This Row],[Pcode]])-1</f>
        <v>0</v>
      </c>
    </row>
    <row r="97" spans="1:14" x14ac:dyDescent="0.25">
      <c r="A97" s="102" t="s">
        <v>322</v>
      </c>
      <c r="B97" s="7" t="e">
        <f ca="1">OFFSET(#REF!,MATCH(Table10[[#This Row],[Pcode]],CampList[CP_Pcode],0)-1,0,1,1)</f>
        <v>#REF!</v>
      </c>
      <c r="C97" s="7" t="str">
        <f ca="1">OFFSET(CampList[Camp],MATCH(Table10[[#This Row],[Pcode]],CampList[CP_Pcode],0)-1,0,1,1)</f>
        <v>Maina KBC (Bawng Ring)</v>
      </c>
      <c r="D97" s="7" t="str">
        <f ca="1">OFFSET(CampList[Township],MATCH(Table10[[#This Row],[Pcode]],CampList[CP_Pcode],0)-1,0,1,1)</f>
        <v>Waingmaw</v>
      </c>
      <c r="E97" s="106">
        <f ca="1">OFFSET(CampList[HH],MATCH(Table10[[#This Row],[Pcode]],CampList[CP_Pcode],0)-1,0,1,1)</f>
        <v>506</v>
      </c>
      <c r="F97" s="106">
        <f ca="1">OFFSET(CampList[Total],MATCH(Table10[[#This Row],[Pcode]],CampList[CP_Pcode],0)-1,0,1,1)</f>
        <v>2702</v>
      </c>
      <c r="G97" s="106">
        <f>SUMIF('NFI Distributions'!AU$53:AU$1048576,Table10[[#This Row],[Pcode]],'NFI Distributions'!AM$53:AM$1048576)</f>
        <v>0</v>
      </c>
      <c r="H97" s="106">
        <f>SUMIF('NFI Distributions'!AU$53:AU$1048576,Table10[[#This Row],[Pcode]],'NFI Distributions'!AN$53:AN$1048576)</f>
        <v>0</v>
      </c>
      <c r="I97" s="106">
        <f>SUMIF('NFI Distributions'!AU$53:AU$1048576,Table10[[#This Row],[Pcode]],'NFI Distributions'!AO$53:AO$1048576)</f>
        <v>0</v>
      </c>
      <c r="J97" s="106">
        <f ca="1">MAX(Table10[[#This Row],[HH]]*VLOOKUP("Winter Clothes Adult",NFI,6)-Table10[[#This Row],[Winter Clothes Adult ]],0)</f>
        <v>1012</v>
      </c>
      <c r="K97" s="106">
        <f ca="1">MAX(Table10[[#This Row],[HH]]*VLOOKUP("Winter Clothes Children ",NFI,6)-Table10[[#This Row],[Winter Clothes Children ]],0)</f>
        <v>506</v>
      </c>
      <c r="L97" s="106">
        <f ca="1">MAX(Table10[[#This Row],[HH]]*VLOOKUP("Winter Items Other ",NFI,6)-Table10[[#This Row],[Winter Items Other ]],0)</f>
        <v>506</v>
      </c>
      <c r="M97" s="114" t="str">
        <f>IF(OR(Table10[[#This Row],[Winter Clothes Adult ]]&lt;&gt;0,Table10[[#This Row],[Winter Clothes Children ]]&lt;&gt;0,Table10[[#This Row],[Winter Items Other ]]&lt;&gt;0),"No","")</f>
        <v/>
      </c>
      <c r="N97" s="115">
        <f>COUNTIF(A:A,Table10[[#This Row],[Pcode]])-1</f>
        <v>0</v>
      </c>
    </row>
    <row r="98" spans="1:14" x14ac:dyDescent="0.25">
      <c r="A98" s="102" t="s">
        <v>324</v>
      </c>
      <c r="B98" s="7" t="e">
        <f ca="1">OFFSET(#REF!,MATCH(Table10[[#This Row],[Pcode]],CampList[CP_Pcode],0)-1,0,1,1)</f>
        <v>#REF!</v>
      </c>
      <c r="C98" s="7" t="str">
        <f ca="1">OFFSET(CampList[Camp],MATCH(Table10[[#This Row],[Pcode]],CampList[CP_Pcode],0)-1,0,1,1)</f>
        <v>Maina Lawang Baptist Church</v>
      </c>
      <c r="D98" s="7" t="str">
        <f ca="1">OFFSET(CampList[Township],MATCH(Table10[[#This Row],[Pcode]],CampList[CP_Pcode],0)-1,0,1,1)</f>
        <v>Waingmaw</v>
      </c>
      <c r="E98" s="106">
        <f ca="1">OFFSET(CampList[HH],MATCH(Table10[[#This Row],[Pcode]],CampList[CP_Pcode],0)-1,0,1,1)</f>
        <v>52</v>
      </c>
      <c r="F98" s="106">
        <f ca="1">OFFSET(CampList[Total],MATCH(Table10[[#This Row],[Pcode]],CampList[CP_Pcode],0)-1,0,1,1)</f>
        <v>235</v>
      </c>
      <c r="G98" s="106">
        <f>SUMIF('NFI Distributions'!AU$53:AU$1048576,Table10[[#This Row],[Pcode]],'NFI Distributions'!AM$53:AM$1048576)</f>
        <v>0</v>
      </c>
      <c r="H98" s="106">
        <f>SUMIF('NFI Distributions'!AU$53:AU$1048576,Table10[[#This Row],[Pcode]],'NFI Distributions'!AN$53:AN$1048576)</f>
        <v>0</v>
      </c>
      <c r="I98" s="106">
        <f>SUMIF('NFI Distributions'!AU$53:AU$1048576,Table10[[#This Row],[Pcode]],'NFI Distributions'!AO$53:AO$1048576)</f>
        <v>0</v>
      </c>
      <c r="J98" s="106">
        <f ca="1">MAX(Table10[[#This Row],[HH]]*VLOOKUP("Winter Clothes Adult",NFI,6)-Table10[[#This Row],[Winter Clothes Adult ]],0)</f>
        <v>104</v>
      </c>
      <c r="K98" s="106">
        <f ca="1">MAX(Table10[[#This Row],[HH]]*VLOOKUP("Winter Clothes Children ",NFI,6)-Table10[[#This Row],[Winter Clothes Children ]],0)</f>
        <v>52</v>
      </c>
      <c r="L98" s="106">
        <f ca="1">MAX(Table10[[#This Row],[HH]]*VLOOKUP("Winter Items Other ",NFI,6)-Table10[[#This Row],[Winter Items Other ]],0)</f>
        <v>52</v>
      </c>
      <c r="M98" s="114" t="str">
        <f>IF(OR(Table10[[#This Row],[Winter Clothes Adult ]]&lt;&gt;0,Table10[[#This Row],[Winter Clothes Children ]]&lt;&gt;0,Table10[[#This Row],[Winter Items Other ]]&lt;&gt;0),"No","")</f>
        <v/>
      </c>
      <c r="N98" s="115">
        <f>COUNTIF(A:A,Table10[[#This Row],[Pcode]])-1</f>
        <v>0</v>
      </c>
    </row>
    <row r="99" spans="1:14" x14ac:dyDescent="0.25">
      <c r="A99" s="102" t="s">
        <v>812</v>
      </c>
      <c r="B99" s="7" t="e">
        <f ca="1">OFFSET(#REF!,MATCH(Table10[[#This Row],[Pcode]],CampList[CP_Pcode],0)-1,0,1,1)</f>
        <v>#REF!</v>
      </c>
      <c r="C99" s="7" t="str">
        <f ca="1">OFFSET(CampList[Camp],MATCH(Table10[[#This Row],[Pcode]],CampList[CP_Pcode],0)-1,0,1,1)</f>
        <v>Maing Khaung</v>
      </c>
      <c r="D99" s="7" t="str">
        <f ca="1">OFFSET(CampList[Township],MATCH(Table10[[#This Row],[Pcode]],CampList[CP_Pcode],0)-1,0,1,1)</f>
        <v>Mansi</v>
      </c>
      <c r="E99" s="106">
        <f ca="1">OFFSET(CampList[HH],MATCH(Table10[[#This Row],[Pcode]],CampList[CP_Pcode],0)-1,0,1,1)</f>
        <v>433</v>
      </c>
      <c r="F99" s="106">
        <f ca="1">OFFSET(CampList[Total],MATCH(Table10[[#This Row],[Pcode]],CampList[CP_Pcode],0)-1,0,1,1)</f>
        <v>2154</v>
      </c>
      <c r="G99" s="106">
        <f>SUMIF('NFI Distributions'!AU$53:AU$1048576,Table10[[#This Row],[Pcode]],'NFI Distributions'!AM$53:AM$1048576)</f>
        <v>0</v>
      </c>
      <c r="H99" s="106">
        <f>SUMIF('NFI Distributions'!AU$53:AU$1048576,Table10[[#This Row],[Pcode]],'NFI Distributions'!AN$53:AN$1048576)</f>
        <v>0</v>
      </c>
      <c r="I99" s="106">
        <f>SUMIF('NFI Distributions'!AU$53:AU$1048576,Table10[[#This Row],[Pcode]],'NFI Distributions'!AO$53:AO$1048576)</f>
        <v>0</v>
      </c>
      <c r="J99" s="106">
        <f ca="1">MAX(Table10[[#This Row],[HH]]*VLOOKUP("Winter Clothes Adult",NFI,6)-Table10[[#This Row],[Winter Clothes Adult ]],0)</f>
        <v>866</v>
      </c>
      <c r="K99" s="106">
        <f ca="1">MAX(Table10[[#This Row],[HH]]*VLOOKUP("Winter Clothes Children ",NFI,6)-Table10[[#This Row],[Winter Clothes Children ]],0)</f>
        <v>433</v>
      </c>
      <c r="L99" s="106">
        <f ca="1">MAX(Table10[[#This Row],[HH]]*VLOOKUP("Winter Items Other ",NFI,6)-Table10[[#This Row],[Winter Items Other ]],0)</f>
        <v>433</v>
      </c>
      <c r="M99" s="114" t="str">
        <f>IF(OR(Table10[[#This Row],[Winter Clothes Adult ]]&lt;&gt;0,Table10[[#This Row],[Winter Clothes Children ]]&lt;&gt;0,Table10[[#This Row],[Winter Items Other ]]&lt;&gt;0),"No","")</f>
        <v/>
      </c>
      <c r="N99" s="115">
        <f>COUNTIF(A:A,Table10[[#This Row],[Pcode]])-1</f>
        <v>0</v>
      </c>
    </row>
    <row r="100" spans="1:14" x14ac:dyDescent="0.25">
      <c r="A100" s="102" t="s">
        <v>845</v>
      </c>
      <c r="B100" s="7" t="e">
        <f ca="1">OFFSET(#REF!,MATCH(Table10[[#This Row],[Pcode]],CampList[CP_Pcode],0)-1,0,1,1)</f>
        <v>#REF!</v>
      </c>
      <c r="C100" s="7" t="str">
        <f ca="1">OFFSET(CampList[Camp],MATCH(Table10[[#This Row],[Pcode]],CampList[CP_Pcode],0)-1,0,1,1)</f>
        <v>Maing Khaung Catholic Church</v>
      </c>
      <c r="D100" s="7" t="str">
        <f ca="1">OFFSET(CampList[Township],MATCH(Table10[[#This Row],[Pcode]],CampList[CP_Pcode],0)-1,0,1,1)</f>
        <v>Mansi</v>
      </c>
      <c r="E100" s="106">
        <f ca="1">OFFSET(CampList[HH],MATCH(Table10[[#This Row],[Pcode]],CampList[CP_Pcode],0)-1,0,1,1)</f>
        <v>167</v>
      </c>
      <c r="F100" s="106">
        <f ca="1">OFFSET(CampList[Total],MATCH(Table10[[#This Row],[Pcode]],CampList[CP_Pcode],0)-1,0,1,1)</f>
        <v>789</v>
      </c>
      <c r="G100" s="106">
        <f>SUMIF('NFI Distributions'!AU$53:AU$1048576,Table10[[#This Row],[Pcode]],'NFI Distributions'!AM$53:AM$1048576)</f>
        <v>0</v>
      </c>
      <c r="H100" s="106">
        <f>SUMIF('NFI Distributions'!AU$53:AU$1048576,Table10[[#This Row],[Pcode]],'NFI Distributions'!AN$53:AN$1048576)</f>
        <v>0</v>
      </c>
      <c r="I100" s="106">
        <f>SUMIF('NFI Distributions'!AU$53:AU$1048576,Table10[[#This Row],[Pcode]],'NFI Distributions'!AO$53:AO$1048576)</f>
        <v>0</v>
      </c>
      <c r="J100" s="106">
        <f ca="1">MAX(Table10[[#This Row],[HH]]*VLOOKUP("Winter Clothes Adult",NFI,6)-Table10[[#This Row],[Winter Clothes Adult ]],0)</f>
        <v>334</v>
      </c>
      <c r="K100" s="106">
        <f ca="1">MAX(Table10[[#This Row],[HH]]*VLOOKUP("Winter Clothes Children ",NFI,6)-Table10[[#This Row],[Winter Clothes Children ]],0)</f>
        <v>167</v>
      </c>
      <c r="L100" s="106">
        <f ca="1">MAX(Table10[[#This Row],[HH]]*VLOOKUP("Winter Items Other ",NFI,6)-Table10[[#This Row],[Winter Items Other ]],0)</f>
        <v>167</v>
      </c>
      <c r="M100" s="114" t="str">
        <f>IF(OR(Table10[[#This Row],[Winter Clothes Adult ]]&lt;&gt;0,Table10[[#This Row],[Winter Clothes Children ]]&lt;&gt;0,Table10[[#This Row],[Winter Items Other ]]&lt;&gt;0),"No","")</f>
        <v/>
      </c>
      <c r="N100" s="115">
        <f>COUNTIF(A:A,Table10[[#This Row],[Pcode]])-1</f>
        <v>0</v>
      </c>
    </row>
    <row r="101" spans="1:14" x14ac:dyDescent="0.25">
      <c r="A101" s="102" t="s">
        <v>257</v>
      </c>
      <c r="B101" s="7" t="e">
        <f ca="1">OFFSET(#REF!,MATCH(Table10[[#This Row],[Pcode]],CampList[CP_Pcode],0)-1,0,1,1)</f>
        <v>#REF!</v>
      </c>
      <c r="C101" s="7" t="str">
        <f ca="1">OFFSET(CampList[Camp],MATCH(Table10[[#This Row],[Pcode]],CampList[CP_Pcode],0)-1,0,1,1)</f>
        <v>Maliyang Baptist Church</v>
      </c>
      <c r="D101" s="7" t="str">
        <f ca="1">OFFSET(CampList[Township],MATCH(Table10[[#This Row],[Pcode]],CampList[CP_Pcode],0)-1,0,1,1)</f>
        <v>Myitkyina</v>
      </c>
      <c r="E101" s="106">
        <f ca="1">OFFSET(CampList[HH],MATCH(Table10[[#This Row],[Pcode]],CampList[CP_Pcode],0)-1,0,1,1)</f>
        <v>62</v>
      </c>
      <c r="F101" s="106">
        <f ca="1">OFFSET(CampList[Total],MATCH(Table10[[#This Row],[Pcode]],CampList[CP_Pcode],0)-1,0,1,1)</f>
        <v>310</v>
      </c>
      <c r="G101" s="106">
        <f>SUMIF('NFI Distributions'!AU$53:AU$1048576,Table10[[#This Row],[Pcode]],'NFI Distributions'!AM$53:AM$1048576)</f>
        <v>0</v>
      </c>
      <c r="H101" s="106">
        <f>SUMIF('NFI Distributions'!AU$53:AU$1048576,Table10[[#This Row],[Pcode]],'NFI Distributions'!AN$53:AN$1048576)</f>
        <v>0</v>
      </c>
      <c r="I101" s="106">
        <f>SUMIF('NFI Distributions'!AU$53:AU$1048576,Table10[[#This Row],[Pcode]],'NFI Distributions'!AO$53:AO$1048576)</f>
        <v>0</v>
      </c>
      <c r="J101" s="106">
        <f ca="1">MAX(Table10[[#This Row],[HH]]*VLOOKUP("Winter Clothes Adult",NFI,6)-Table10[[#This Row],[Winter Clothes Adult ]],0)</f>
        <v>124</v>
      </c>
      <c r="K101" s="106">
        <f ca="1">MAX(Table10[[#This Row],[HH]]*VLOOKUP("Winter Clothes Children ",NFI,6)-Table10[[#This Row],[Winter Clothes Children ]],0)</f>
        <v>62</v>
      </c>
      <c r="L101" s="106">
        <f ca="1">MAX(Table10[[#This Row],[HH]]*VLOOKUP("Winter Items Other ",NFI,6)-Table10[[#This Row],[Winter Items Other ]],0)</f>
        <v>62</v>
      </c>
      <c r="M101" s="114" t="str">
        <f>IF(OR(Table10[[#This Row],[Winter Clothes Adult ]]&lt;&gt;0,Table10[[#This Row],[Winter Clothes Children ]]&lt;&gt;0,Table10[[#This Row],[Winter Items Other ]]&lt;&gt;0),"No","")</f>
        <v/>
      </c>
      <c r="N101" s="115">
        <f>COUNTIF(A:A,Table10[[#This Row],[Pcode]])-1</f>
        <v>0</v>
      </c>
    </row>
    <row r="102" spans="1:14" x14ac:dyDescent="0.25">
      <c r="A102" s="102" t="s">
        <v>201</v>
      </c>
      <c r="B102" s="7" t="e">
        <f ca="1">OFFSET(#REF!,MATCH(Table10[[#This Row],[Pcode]],CampList[CP_Pcode],0)-1,0,1,1)</f>
        <v>#REF!</v>
      </c>
      <c r="C102" s="7" t="str">
        <f ca="1">OFFSET(CampList[Camp],MATCH(Table10[[#This Row],[Pcode]],CampList[CP_Pcode],0)-1,0,1,1)</f>
        <v>Man Bung Catholic compound</v>
      </c>
      <c r="D102" s="7" t="str">
        <f ca="1">OFFSET(CampList[Township],MATCH(Table10[[#This Row],[Pcode]],CampList[CP_Pcode],0)-1,0,1,1)</f>
        <v>Momauk</v>
      </c>
      <c r="E102" s="106">
        <f ca="1">OFFSET(CampList[HH],MATCH(Table10[[#This Row],[Pcode]],CampList[CP_Pcode],0)-1,0,1,1)</f>
        <v>304</v>
      </c>
      <c r="F102" s="106">
        <f ca="1">OFFSET(CampList[Total],MATCH(Table10[[#This Row],[Pcode]],CampList[CP_Pcode],0)-1,0,1,1)</f>
        <v>1389</v>
      </c>
      <c r="G102" s="106">
        <f>SUMIF('NFI Distributions'!AU$53:AU$1048576,Table10[[#This Row],[Pcode]],'NFI Distributions'!AM$53:AM$1048576)</f>
        <v>0</v>
      </c>
      <c r="H102" s="106">
        <f>SUMIF('NFI Distributions'!AU$53:AU$1048576,Table10[[#This Row],[Pcode]],'NFI Distributions'!AN$53:AN$1048576)</f>
        <v>0</v>
      </c>
      <c r="I102" s="106">
        <f>SUMIF('NFI Distributions'!AU$53:AU$1048576,Table10[[#This Row],[Pcode]],'NFI Distributions'!AO$53:AO$1048576)</f>
        <v>0</v>
      </c>
      <c r="J102" s="106">
        <f ca="1">MAX(Table10[[#This Row],[HH]]*VLOOKUP("Winter Clothes Adult",NFI,6)-Table10[[#This Row],[Winter Clothes Adult ]],0)</f>
        <v>608</v>
      </c>
      <c r="K102" s="106">
        <f ca="1">MAX(Table10[[#This Row],[HH]]*VLOOKUP("Winter Clothes Children ",NFI,6)-Table10[[#This Row],[Winter Clothes Children ]],0)</f>
        <v>304</v>
      </c>
      <c r="L102" s="106">
        <f ca="1">MAX(Table10[[#This Row],[HH]]*VLOOKUP("Winter Items Other ",NFI,6)-Table10[[#This Row],[Winter Items Other ]],0)</f>
        <v>304</v>
      </c>
      <c r="M102" s="114" t="str">
        <f>IF(OR(Table10[[#This Row],[Winter Clothes Adult ]]&lt;&gt;0,Table10[[#This Row],[Winter Clothes Children ]]&lt;&gt;0,Table10[[#This Row],[Winter Items Other ]]&lt;&gt;0),"No","")</f>
        <v/>
      </c>
      <c r="N102" s="115">
        <f>COUNTIF(A:A,Table10[[#This Row],[Pcode]])-1</f>
        <v>0</v>
      </c>
    </row>
    <row r="103" spans="1:14" x14ac:dyDescent="0.25">
      <c r="A103" s="102" t="s">
        <v>259</v>
      </c>
      <c r="B103" s="7" t="e">
        <f ca="1">OFFSET(#REF!,MATCH(Table10[[#This Row],[Pcode]],CampList[CP_Pcode],0)-1,0,1,1)</f>
        <v>#REF!</v>
      </c>
      <c r="C103" s="7" t="str">
        <f ca="1">OFFSET(CampList[Camp],MATCH(Table10[[#This Row],[Pcode]],CampList[CP_Pcode],0)-1,0,1,1)</f>
        <v>Man Hkring Baptist Church</v>
      </c>
      <c r="D103" s="7" t="str">
        <f ca="1">OFFSET(CampList[Township],MATCH(Table10[[#This Row],[Pcode]],CampList[CP_Pcode],0)-1,0,1,1)</f>
        <v>Myitkyina</v>
      </c>
      <c r="E103" s="106">
        <f ca="1">OFFSET(CampList[HH],MATCH(Table10[[#This Row],[Pcode]],CampList[CP_Pcode],0)-1,0,1,1)</f>
        <v>103</v>
      </c>
      <c r="F103" s="106">
        <f ca="1">OFFSET(CampList[Total],MATCH(Table10[[#This Row],[Pcode]],CampList[CP_Pcode],0)-1,0,1,1)</f>
        <v>586</v>
      </c>
      <c r="G103" s="106">
        <f>SUMIF('NFI Distributions'!AU$53:AU$1048576,Table10[[#This Row],[Pcode]],'NFI Distributions'!AM$53:AM$1048576)</f>
        <v>0</v>
      </c>
      <c r="H103" s="106">
        <f>SUMIF('NFI Distributions'!AU$53:AU$1048576,Table10[[#This Row],[Pcode]],'NFI Distributions'!AN$53:AN$1048576)</f>
        <v>0</v>
      </c>
      <c r="I103" s="106">
        <f>SUMIF('NFI Distributions'!AU$53:AU$1048576,Table10[[#This Row],[Pcode]],'NFI Distributions'!AO$53:AO$1048576)</f>
        <v>0</v>
      </c>
      <c r="J103" s="106">
        <f ca="1">MAX(Table10[[#This Row],[HH]]*VLOOKUP("Winter Clothes Adult",NFI,6)-Table10[[#This Row],[Winter Clothes Adult ]],0)</f>
        <v>206</v>
      </c>
      <c r="K103" s="106">
        <f ca="1">MAX(Table10[[#This Row],[HH]]*VLOOKUP("Winter Clothes Children ",NFI,6)-Table10[[#This Row],[Winter Clothes Children ]],0)</f>
        <v>103</v>
      </c>
      <c r="L103" s="106">
        <f ca="1">MAX(Table10[[#This Row],[HH]]*VLOOKUP("Winter Items Other ",NFI,6)-Table10[[#This Row],[Winter Items Other ]],0)</f>
        <v>103</v>
      </c>
      <c r="M103" s="114" t="str">
        <f>IF(OR(Table10[[#This Row],[Winter Clothes Adult ]]&lt;&gt;0,Table10[[#This Row],[Winter Clothes Children ]]&lt;&gt;0,Table10[[#This Row],[Winter Items Other ]]&lt;&gt;0),"No","")</f>
        <v/>
      </c>
      <c r="N103" s="115">
        <f>COUNTIF(A:A,Table10[[#This Row],[Pcode]])-1</f>
        <v>0</v>
      </c>
    </row>
    <row r="104" spans="1:14" x14ac:dyDescent="0.25">
      <c r="A104" s="102" t="s">
        <v>203</v>
      </c>
      <c r="B104" s="7" t="e">
        <f ca="1">OFFSET(#REF!,MATCH(Table10[[#This Row],[Pcode]],CampList[CP_Pcode],0)-1,0,1,1)</f>
        <v>#REF!</v>
      </c>
      <c r="C104" s="7" t="str">
        <f ca="1">OFFSET(CampList[Camp],MATCH(Table10[[#This Row],[Pcode]],CampList[CP_Pcode],0)-1,0,1,1)</f>
        <v xml:space="preserve">Man Nawng </v>
      </c>
      <c r="D104" s="7" t="str">
        <f ca="1">OFFSET(CampList[Township],MATCH(Table10[[#This Row],[Pcode]],CampList[CP_Pcode],0)-1,0,1,1)</f>
        <v>Momauk</v>
      </c>
      <c r="E104" s="106">
        <f ca="1">OFFSET(CampList[HH],MATCH(Table10[[#This Row],[Pcode]],CampList[CP_Pcode],0)-1,0,1,1)</f>
        <v>0</v>
      </c>
      <c r="F104" s="106">
        <f ca="1">OFFSET(CampList[Total],MATCH(Table10[[#This Row],[Pcode]],CampList[CP_Pcode],0)-1,0,1,1)</f>
        <v>0</v>
      </c>
      <c r="G104" s="106">
        <f>SUMIF('NFI Distributions'!AU$53:AU$1048576,Table10[[#This Row],[Pcode]],'NFI Distributions'!AM$53:AM$1048576)</f>
        <v>0</v>
      </c>
      <c r="H104" s="106">
        <f>SUMIF('NFI Distributions'!AU$53:AU$1048576,Table10[[#This Row],[Pcode]],'NFI Distributions'!AN$53:AN$1048576)</f>
        <v>0</v>
      </c>
      <c r="I104" s="106">
        <f>SUMIF('NFI Distributions'!AU$53:AU$1048576,Table10[[#This Row],[Pcode]],'NFI Distributions'!AO$53:AO$1048576)</f>
        <v>0</v>
      </c>
      <c r="J104" s="106">
        <f ca="1">MAX(Table10[[#This Row],[HH]]*VLOOKUP("Winter Clothes Adult",NFI,6)-Table10[[#This Row],[Winter Clothes Adult ]],0)</f>
        <v>0</v>
      </c>
      <c r="K104" s="106">
        <f ca="1">MAX(Table10[[#This Row],[HH]]*VLOOKUP("Winter Clothes Children ",NFI,6)-Table10[[#This Row],[Winter Clothes Children ]],0)</f>
        <v>0</v>
      </c>
      <c r="L104" s="106">
        <f ca="1">MAX(Table10[[#This Row],[HH]]*VLOOKUP("Winter Items Other ",NFI,6)-Table10[[#This Row],[Winter Items Other ]],0)</f>
        <v>0</v>
      </c>
      <c r="M104" s="114" t="str">
        <f>IF(OR(Table10[[#This Row],[Winter Clothes Adult ]]&lt;&gt;0,Table10[[#This Row],[Winter Clothes Children ]]&lt;&gt;0,Table10[[#This Row],[Winter Items Other ]]&lt;&gt;0),"No","")</f>
        <v/>
      </c>
      <c r="N104" s="115">
        <f>COUNTIF(A:A,Table10[[#This Row],[Pcode]])-1</f>
        <v>0</v>
      </c>
    </row>
    <row r="105" spans="1:14" x14ac:dyDescent="0.25">
      <c r="A105" s="102" t="s">
        <v>390</v>
      </c>
      <c r="B105" s="7" t="e">
        <f ca="1">OFFSET(#REF!,MATCH(Table10[[#This Row],[Pcode]],CampList[CP_Pcode],0)-1,0,1,1)</f>
        <v>#REF!</v>
      </c>
      <c r="C105" s="7" t="str">
        <f ca="1">OFFSET(CampList[Camp],MATCH(Table10[[#This Row],[Pcode]],CampList[CP_Pcode],0)-1,0,1,1)</f>
        <v>Man Ting</v>
      </c>
      <c r="D105" s="7" t="str">
        <f ca="1">OFFSET(CampList[Township],MATCH(Table10[[#This Row],[Pcode]],CampList[CP_Pcode],0)-1,0,1,1)</f>
        <v>Momauk</v>
      </c>
      <c r="E105" s="106">
        <f ca="1">OFFSET(CampList[HH],MATCH(Table10[[#This Row],[Pcode]],CampList[CP_Pcode],0)-1,0,1,1)</f>
        <v>0</v>
      </c>
      <c r="F105" s="106">
        <f ca="1">OFFSET(CampList[Total],MATCH(Table10[[#This Row],[Pcode]],CampList[CP_Pcode],0)-1,0,1,1)</f>
        <v>0</v>
      </c>
      <c r="G105" s="106">
        <f>SUMIF('NFI Distributions'!AU$53:AU$1048576,Table10[[#This Row],[Pcode]],'NFI Distributions'!AM$53:AM$1048576)</f>
        <v>0</v>
      </c>
      <c r="H105" s="106">
        <f>SUMIF('NFI Distributions'!AU$53:AU$1048576,Table10[[#This Row],[Pcode]],'NFI Distributions'!AN$53:AN$1048576)</f>
        <v>0</v>
      </c>
      <c r="I105" s="106">
        <f>SUMIF('NFI Distributions'!AU$53:AU$1048576,Table10[[#This Row],[Pcode]],'NFI Distributions'!AO$53:AO$1048576)</f>
        <v>0</v>
      </c>
      <c r="J105" s="106">
        <f ca="1">MAX(Table10[[#This Row],[HH]]*VLOOKUP("Winter Clothes Adult",NFI,6)-Table10[[#This Row],[Winter Clothes Adult ]],0)</f>
        <v>0</v>
      </c>
      <c r="K105" s="106">
        <f ca="1">MAX(Table10[[#This Row],[HH]]*VLOOKUP("Winter Clothes Children ",NFI,6)-Table10[[#This Row],[Winter Clothes Children ]],0)</f>
        <v>0</v>
      </c>
      <c r="L105" s="106">
        <f ca="1">MAX(Table10[[#This Row],[HH]]*VLOOKUP("Winter Items Other ",NFI,6)-Table10[[#This Row],[Winter Items Other ]],0)</f>
        <v>0</v>
      </c>
      <c r="M105" s="114" t="str">
        <f>IF(OR(Table10[[#This Row],[Winter Clothes Adult ]]&lt;&gt;0,Table10[[#This Row],[Winter Clothes Children ]]&lt;&gt;0,Table10[[#This Row],[Winter Items Other ]]&lt;&gt;0),"No","")</f>
        <v/>
      </c>
      <c r="N105" s="115">
        <f>COUNTIF(A:A,Table10[[#This Row],[Pcode]])-1</f>
        <v>0</v>
      </c>
    </row>
    <row r="106" spans="1:14" x14ac:dyDescent="0.25">
      <c r="A106" s="102" t="s">
        <v>159</v>
      </c>
      <c r="B106" s="7" t="e">
        <f ca="1">OFFSET(#REF!,MATCH(Table10[[#This Row],[Pcode]],CampList[CP_Pcode],0)-1,0,1,1)</f>
        <v>#REF!</v>
      </c>
      <c r="C106" s="7" t="str">
        <f ca="1">OFFSET(CampList[Camp],MATCH(Table10[[#This Row],[Pcode]],CampList[CP_Pcode],0)-1,0,1,1)</f>
        <v>Man Wing Baptist Church</v>
      </c>
      <c r="D106" s="7" t="str">
        <f ca="1">OFFSET(CampList[Township],MATCH(Table10[[#This Row],[Pcode]],CampList[CP_Pcode],0)-1,0,1,1)</f>
        <v>Mansi</v>
      </c>
      <c r="E106" s="106">
        <f ca="1">OFFSET(CampList[HH],MATCH(Table10[[#This Row],[Pcode]],CampList[CP_Pcode],0)-1,0,1,1)</f>
        <v>127</v>
      </c>
      <c r="F106" s="106">
        <f ca="1">OFFSET(CampList[Total],MATCH(Table10[[#This Row],[Pcode]],CampList[CP_Pcode],0)-1,0,1,1)</f>
        <v>653</v>
      </c>
      <c r="G106" s="106">
        <f>SUMIF('NFI Distributions'!AU$53:AU$1048576,Table10[[#This Row],[Pcode]],'NFI Distributions'!AM$53:AM$1048576)</f>
        <v>0</v>
      </c>
      <c r="H106" s="106">
        <f>SUMIF('NFI Distributions'!AU$53:AU$1048576,Table10[[#This Row],[Pcode]],'NFI Distributions'!AN$53:AN$1048576)</f>
        <v>0</v>
      </c>
      <c r="I106" s="106">
        <f>SUMIF('NFI Distributions'!AU$53:AU$1048576,Table10[[#This Row],[Pcode]],'NFI Distributions'!AO$53:AO$1048576)</f>
        <v>0</v>
      </c>
      <c r="J106" s="106">
        <f ca="1">MAX(Table10[[#This Row],[HH]]*VLOOKUP("Winter Clothes Adult",NFI,6)-Table10[[#This Row],[Winter Clothes Adult ]],0)</f>
        <v>254</v>
      </c>
      <c r="K106" s="106">
        <f ca="1">MAX(Table10[[#This Row],[HH]]*VLOOKUP("Winter Clothes Children ",NFI,6)-Table10[[#This Row],[Winter Clothes Children ]],0)</f>
        <v>127</v>
      </c>
      <c r="L106" s="106">
        <f ca="1">MAX(Table10[[#This Row],[HH]]*VLOOKUP("Winter Items Other ",NFI,6)-Table10[[#This Row],[Winter Items Other ]],0)</f>
        <v>127</v>
      </c>
      <c r="M106" s="114" t="str">
        <f>IF(OR(Table10[[#This Row],[Winter Clothes Adult ]]&lt;&gt;0,Table10[[#This Row],[Winter Clothes Children ]]&lt;&gt;0,Table10[[#This Row],[Winter Items Other ]]&lt;&gt;0),"No","")</f>
        <v/>
      </c>
      <c r="N106" s="115">
        <f>COUNTIF(A:A,Table10[[#This Row],[Pcode]])-1</f>
        <v>0</v>
      </c>
    </row>
    <row r="107" spans="1:14" x14ac:dyDescent="0.25">
      <c r="A107" s="102" t="s">
        <v>153</v>
      </c>
      <c r="B107" s="7" t="e">
        <f ca="1">OFFSET(#REF!,MATCH(Table10[[#This Row],[Pcode]],CampList[CP_Pcode],0)-1,0,1,1)</f>
        <v>#REF!</v>
      </c>
      <c r="C107" s="7" t="str">
        <f ca="1">OFFSET(CampList[Camp],MATCH(Table10[[#This Row],[Pcode]],CampList[CP_Pcode],0)-1,0,1,1)</f>
        <v>Man Wing Catholic Church</v>
      </c>
      <c r="D107" s="7" t="str">
        <f ca="1">OFFSET(CampList[Township],MATCH(Table10[[#This Row],[Pcode]],CampList[CP_Pcode],0)-1,0,1,1)</f>
        <v>Mansi</v>
      </c>
      <c r="E107" s="106">
        <f ca="1">OFFSET(CampList[HH],MATCH(Table10[[#This Row],[Pcode]],CampList[CP_Pcode],0)-1,0,1,1)</f>
        <v>442</v>
      </c>
      <c r="F107" s="106">
        <f ca="1">OFFSET(CampList[Total],MATCH(Table10[[#This Row],[Pcode]],CampList[CP_Pcode],0)-1,0,1,1)</f>
        <v>2301</v>
      </c>
      <c r="G107" s="106">
        <f>SUMIF('NFI Distributions'!AU$53:AU$1048576,Table10[[#This Row],[Pcode]],'NFI Distributions'!AM$53:AM$1048576)</f>
        <v>0</v>
      </c>
      <c r="H107" s="106">
        <f>SUMIF('NFI Distributions'!AU$53:AU$1048576,Table10[[#This Row],[Pcode]],'NFI Distributions'!AN$53:AN$1048576)</f>
        <v>0</v>
      </c>
      <c r="I107" s="106">
        <f>SUMIF('NFI Distributions'!AU$53:AU$1048576,Table10[[#This Row],[Pcode]],'NFI Distributions'!AO$53:AO$1048576)</f>
        <v>0</v>
      </c>
      <c r="J107" s="106">
        <f ca="1">MAX(Table10[[#This Row],[HH]]*VLOOKUP("Winter Clothes Adult",NFI,6)-Table10[[#This Row],[Winter Clothes Adult ]],0)</f>
        <v>884</v>
      </c>
      <c r="K107" s="106">
        <f ca="1">MAX(Table10[[#This Row],[HH]]*VLOOKUP("Winter Clothes Children ",NFI,6)-Table10[[#This Row],[Winter Clothes Children ]],0)</f>
        <v>442</v>
      </c>
      <c r="L107" s="106">
        <f ca="1">MAX(Table10[[#This Row],[HH]]*VLOOKUP("Winter Items Other ",NFI,6)-Table10[[#This Row],[Winter Items Other ]],0)</f>
        <v>442</v>
      </c>
      <c r="M107" s="114" t="str">
        <f>IF(OR(Table10[[#This Row],[Winter Clothes Adult ]]&lt;&gt;0,Table10[[#This Row],[Winter Clothes Children ]]&lt;&gt;0,Table10[[#This Row],[Winter Items Other ]]&lt;&gt;0),"No","")</f>
        <v/>
      </c>
      <c r="N107" s="115">
        <f>COUNTIF(A:A,Table10[[#This Row],[Pcode]])-1</f>
        <v>0</v>
      </c>
    </row>
    <row r="108" spans="1:14" x14ac:dyDescent="0.25">
      <c r="A108" s="102" t="s">
        <v>911</v>
      </c>
      <c r="B108" s="7" t="e">
        <f ca="1">OFFSET(#REF!,MATCH(Table10[[#This Row],[Pcode]],CampList[CP_Pcode],0)-1,0,1,1)</f>
        <v>#REF!</v>
      </c>
      <c r="C108" s="7" t="str">
        <f ca="1">OFFSET(CampList[Camp],MATCH(Table10[[#This Row],[Pcode]],CampList[CP_Pcode],0)-1,0,1,1)</f>
        <v>Man Wing Catholic Church II</v>
      </c>
      <c r="D108" s="7" t="str">
        <f ca="1">OFFSET(CampList[Township],MATCH(Table10[[#This Row],[Pcode]],CampList[CP_Pcode],0)-1,0,1,1)</f>
        <v>Mansi</v>
      </c>
      <c r="E108" s="106">
        <f ca="1">OFFSET(CampList[HH],MATCH(Table10[[#This Row],[Pcode]],CampList[CP_Pcode],0)-1,0,1,1)</f>
        <v>151</v>
      </c>
      <c r="F108" s="106">
        <f ca="1">OFFSET(CampList[Total],MATCH(Table10[[#This Row],[Pcode]],CampList[CP_Pcode],0)-1,0,1,1)</f>
        <v>729</v>
      </c>
      <c r="G108" s="106">
        <f>SUMIF('NFI Distributions'!AU$53:AU$1048576,Table10[[#This Row],[Pcode]],'NFI Distributions'!AM$53:AM$1048576)</f>
        <v>0</v>
      </c>
      <c r="H108" s="106">
        <f>SUMIF('NFI Distributions'!AU$53:AU$1048576,Table10[[#This Row],[Pcode]],'NFI Distributions'!AN$53:AN$1048576)</f>
        <v>0</v>
      </c>
      <c r="I108" s="106">
        <f>SUMIF('NFI Distributions'!AU$53:AU$1048576,Table10[[#This Row],[Pcode]],'NFI Distributions'!AO$53:AO$1048576)</f>
        <v>0</v>
      </c>
      <c r="J108" s="106">
        <f ca="1">MAX(Table10[[#This Row],[HH]]*VLOOKUP("Winter Clothes Adult",NFI,6)-Table10[[#This Row],[Winter Clothes Adult ]],0)</f>
        <v>302</v>
      </c>
      <c r="K108" s="106">
        <f ca="1">MAX(Table10[[#This Row],[HH]]*VLOOKUP("Winter Clothes Children ",NFI,6)-Table10[[#This Row],[Winter Clothes Children ]],0)</f>
        <v>151</v>
      </c>
      <c r="L108" s="106">
        <f ca="1">MAX(Table10[[#This Row],[HH]]*VLOOKUP("Winter Items Other ",NFI,6)-Table10[[#This Row],[Winter Items Other ]],0)</f>
        <v>151</v>
      </c>
      <c r="M108" s="114" t="str">
        <f>IF(OR(Table10[[#This Row],[Winter Clothes Adult ]]&lt;&gt;0,Table10[[#This Row],[Winter Clothes Children ]]&lt;&gt;0,Table10[[#This Row],[Winter Items Other ]]&lt;&gt;0),"No","")</f>
        <v/>
      </c>
      <c r="N108" s="115">
        <f>COUNTIF(A:A,Table10[[#This Row],[Pcode]])-1</f>
        <v>0</v>
      </c>
    </row>
    <row r="109" spans="1:14" x14ac:dyDescent="0.25">
      <c r="A109" s="102" t="s">
        <v>155</v>
      </c>
      <c r="B109" s="7" t="e">
        <f ca="1">OFFSET(#REF!,MATCH(Table10[[#This Row],[Pcode]],CampList[CP_Pcode],0)-1,0,1,1)</f>
        <v>#REF!</v>
      </c>
      <c r="C109" s="7" t="str">
        <f ca="1">OFFSET(CampList[Camp],MATCH(Table10[[#This Row],[Pcode]],CampList[CP_Pcode],0)-1,0,1,1)</f>
        <v>Man Wing Host Families</v>
      </c>
      <c r="D109" s="7" t="str">
        <f ca="1">OFFSET(CampList[Township],MATCH(Table10[[#This Row],[Pcode]],CampList[CP_Pcode],0)-1,0,1,1)</f>
        <v>Mansi</v>
      </c>
      <c r="E109" s="106">
        <f ca="1">OFFSET(CampList[HH],MATCH(Table10[[#This Row],[Pcode]],CampList[CP_Pcode],0)-1,0,1,1)</f>
        <v>175</v>
      </c>
      <c r="F109" s="106">
        <f ca="1">OFFSET(CampList[Total],MATCH(Table10[[#This Row],[Pcode]],CampList[CP_Pcode],0)-1,0,1,1)</f>
        <v>834</v>
      </c>
      <c r="G109" s="106">
        <f>SUMIF('NFI Distributions'!AU$53:AU$1048576,Table10[[#This Row],[Pcode]],'NFI Distributions'!AM$53:AM$1048576)</f>
        <v>0</v>
      </c>
      <c r="H109" s="106">
        <f>SUMIF('NFI Distributions'!AU$53:AU$1048576,Table10[[#This Row],[Pcode]],'NFI Distributions'!AN$53:AN$1048576)</f>
        <v>0</v>
      </c>
      <c r="I109" s="106">
        <f>SUMIF('NFI Distributions'!AU$53:AU$1048576,Table10[[#This Row],[Pcode]],'NFI Distributions'!AO$53:AO$1048576)</f>
        <v>0</v>
      </c>
      <c r="J109" s="106">
        <f ca="1">MAX(Table10[[#This Row],[HH]]*VLOOKUP("Winter Clothes Adult",NFI,6)-Table10[[#This Row],[Winter Clothes Adult ]],0)</f>
        <v>350</v>
      </c>
      <c r="K109" s="106">
        <f ca="1">MAX(Table10[[#This Row],[HH]]*VLOOKUP("Winter Clothes Children ",NFI,6)-Table10[[#This Row],[Winter Clothes Children ]],0)</f>
        <v>175</v>
      </c>
      <c r="L109" s="106">
        <f ca="1">MAX(Table10[[#This Row],[HH]]*VLOOKUP("Winter Items Other ",NFI,6)-Table10[[#This Row],[Winter Items Other ]],0)</f>
        <v>175</v>
      </c>
      <c r="M109" s="114" t="str">
        <f>IF(OR(Table10[[#This Row],[Winter Clothes Adult ]]&lt;&gt;0,Table10[[#This Row],[Winter Clothes Children ]]&lt;&gt;0,Table10[[#This Row],[Winter Items Other ]]&lt;&gt;0),"No","")</f>
        <v/>
      </c>
      <c r="N109" s="115">
        <f>COUNTIF(A:A,Table10[[#This Row],[Pcode]])-1</f>
        <v>0</v>
      </c>
    </row>
    <row r="110" spans="1:14" x14ac:dyDescent="0.25">
      <c r="A110" s="102" t="s">
        <v>206</v>
      </c>
      <c r="B110" s="7" t="e">
        <f ca="1">OFFSET(#REF!,MATCH(Table10[[#This Row],[Pcode]],CampList[CP_Pcode],0)-1,0,1,1)</f>
        <v>#REF!</v>
      </c>
      <c r="C110" s="7" t="str">
        <f ca="1">OFFSET(CampList[Camp],MATCH(Table10[[#This Row],[Pcode]],CampList[CP_Pcode],0)-1,0,1,1)</f>
        <v>Mandalay Monestry</v>
      </c>
      <c r="D110" s="7" t="str">
        <f ca="1">OFFSET(CampList[Township],MATCH(Table10[[#This Row],[Pcode]],CampList[CP_Pcode],0)-1,0,1,1)</f>
        <v>Momauk</v>
      </c>
      <c r="E110" s="106">
        <f ca="1">OFFSET(CampList[HH],MATCH(Table10[[#This Row],[Pcode]],CampList[CP_Pcode],0)-1,0,1,1)</f>
        <v>0</v>
      </c>
      <c r="F110" s="106">
        <f ca="1">OFFSET(CampList[Total],MATCH(Table10[[#This Row],[Pcode]],CampList[CP_Pcode],0)-1,0,1,1)</f>
        <v>0</v>
      </c>
      <c r="G110" s="106">
        <f>SUMIF('NFI Distributions'!AU$53:AU$1048576,Table10[[#This Row],[Pcode]],'NFI Distributions'!AM$53:AM$1048576)</f>
        <v>0</v>
      </c>
      <c r="H110" s="106">
        <f>SUMIF('NFI Distributions'!AU$53:AU$1048576,Table10[[#This Row],[Pcode]],'NFI Distributions'!AN$53:AN$1048576)</f>
        <v>0</v>
      </c>
      <c r="I110" s="106">
        <f>SUMIF('NFI Distributions'!AU$53:AU$1048576,Table10[[#This Row],[Pcode]],'NFI Distributions'!AO$53:AO$1048576)</f>
        <v>0</v>
      </c>
      <c r="J110" s="106">
        <f ca="1">MAX(Table10[[#This Row],[HH]]*VLOOKUP("Winter Clothes Adult",NFI,6)-Table10[[#This Row],[Winter Clothes Adult ]],0)</f>
        <v>0</v>
      </c>
      <c r="K110" s="106">
        <f ca="1">MAX(Table10[[#This Row],[HH]]*VLOOKUP("Winter Clothes Children ",NFI,6)-Table10[[#This Row],[Winter Clothes Children ]],0)</f>
        <v>0</v>
      </c>
      <c r="L110" s="106">
        <f ca="1">MAX(Table10[[#This Row],[HH]]*VLOOKUP("Winter Items Other ",NFI,6)-Table10[[#This Row],[Winter Items Other ]],0)</f>
        <v>0</v>
      </c>
      <c r="M110" s="114" t="str">
        <f>IF(OR(Table10[[#This Row],[Winter Clothes Adult ]]&lt;&gt;0,Table10[[#This Row],[Winter Clothes Children ]]&lt;&gt;0,Table10[[#This Row],[Winter Items Other ]]&lt;&gt;0),"No","")</f>
        <v/>
      </c>
      <c r="N110" s="115">
        <f>COUNTIF(A:A,Table10[[#This Row],[Pcode]])-1</f>
        <v>0</v>
      </c>
    </row>
    <row r="111" spans="1:14" x14ac:dyDescent="0.25">
      <c r="A111" s="102" t="s">
        <v>175</v>
      </c>
      <c r="B111" s="7" t="e">
        <f ca="1">OFFSET(#REF!,MATCH(Table10[[#This Row],[Pcode]],CampList[CP_Pcode],0)-1,0,1,1)</f>
        <v>#REF!</v>
      </c>
      <c r="C111" s="7" t="str">
        <f ca="1">OFFSET(CampList[Camp],MATCH(Table10[[#This Row],[Pcode]],CampList[CP_Pcode],0)-1,0,1,1)</f>
        <v>Ma Hawng Baptist Church</v>
      </c>
      <c r="D111" s="7" t="str">
        <f ca="1">OFFSET(CampList[Township],MATCH(Table10[[#This Row],[Pcode]],CampList[CP_Pcode],0)-1,0,1,1)</f>
        <v>Mogaung</v>
      </c>
      <c r="E111" s="106">
        <f ca="1">OFFSET(CampList[HH],MATCH(Table10[[#This Row],[Pcode]],CampList[CP_Pcode],0)-1,0,1,1)</f>
        <v>15</v>
      </c>
      <c r="F111" s="106">
        <f ca="1">OFFSET(CampList[Total],MATCH(Table10[[#This Row],[Pcode]],CampList[CP_Pcode],0)-1,0,1,1)</f>
        <v>75</v>
      </c>
      <c r="G111" s="106">
        <f>SUMIF('NFI Distributions'!AU$53:AU$1048576,Table10[[#This Row],[Pcode]],'NFI Distributions'!AM$53:AM$1048576)</f>
        <v>0</v>
      </c>
      <c r="H111" s="106">
        <f>SUMIF('NFI Distributions'!AU$53:AU$1048576,Table10[[#This Row],[Pcode]],'NFI Distributions'!AN$53:AN$1048576)</f>
        <v>0</v>
      </c>
      <c r="I111" s="106">
        <f>SUMIF('NFI Distributions'!AU$53:AU$1048576,Table10[[#This Row],[Pcode]],'NFI Distributions'!AO$53:AO$1048576)</f>
        <v>0</v>
      </c>
      <c r="J111" s="106">
        <f ca="1">MAX(Table10[[#This Row],[HH]]*VLOOKUP("Winter Clothes Adult",NFI,6)-Table10[[#This Row],[Winter Clothes Adult ]],0)</f>
        <v>30</v>
      </c>
      <c r="K111" s="106">
        <f ca="1">MAX(Table10[[#This Row],[HH]]*VLOOKUP("Winter Clothes Children ",NFI,6)-Table10[[#This Row],[Winter Clothes Children ]],0)</f>
        <v>15</v>
      </c>
      <c r="L111" s="106">
        <f ca="1">MAX(Table10[[#This Row],[HH]]*VLOOKUP("Winter Items Other ",NFI,6)-Table10[[#This Row],[Winter Items Other ]],0)</f>
        <v>15</v>
      </c>
      <c r="M111" s="114" t="str">
        <f>IF(OR(Table10[[#This Row],[Winter Clothes Adult ]]&lt;&gt;0,Table10[[#This Row],[Winter Clothes Children ]]&lt;&gt;0,Table10[[#This Row],[Winter Items Other ]]&lt;&gt;0),"No","")</f>
        <v/>
      </c>
      <c r="N111" s="115">
        <f>COUNTIF(A:A,Table10[[#This Row],[Pcode]])-1</f>
        <v>0</v>
      </c>
    </row>
    <row r="112" spans="1:14" x14ac:dyDescent="0.25">
      <c r="A112" s="102" t="s">
        <v>150</v>
      </c>
      <c r="B112" s="7" t="e">
        <f ca="1">OFFSET(#REF!,MATCH(Table10[[#This Row],[Pcode]],CampList[CP_Pcode],0)-1,0,1,1)</f>
        <v>#REF!</v>
      </c>
      <c r="C112" s="7" t="str">
        <f ca="1">OFFSET(CampList[Camp],MATCH(Table10[[#This Row],[Pcode]],CampList[CP_Pcode],0)-1,0,1,1)</f>
        <v>Mansi Baptist Church</v>
      </c>
      <c r="D112" s="7" t="str">
        <f ca="1">OFFSET(CampList[Township],MATCH(Table10[[#This Row],[Pcode]],CampList[CP_Pcode],0)-1,0,1,1)</f>
        <v>Mansi</v>
      </c>
      <c r="E112" s="106">
        <f ca="1">OFFSET(CampList[HH],MATCH(Table10[[#This Row],[Pcode]],CampList[CP_Pcode],0)-1,0,1,1)</f>
        <v>189</v>
      </c>
      <c r="F112" s="106">
        <f ca="1">OFFSET(CampList[Total],MATCH(Table10[[#This Row],[Pcode]],CampList[CP_Pcode],0)-1,0,1,1)</f>
        <v>834</v>
      </c>
      <c r="G112" s="106">
        <f>SUMIF('NFI Distributions'!AU$53:AU$1048576,Table10[[#This Row],[Pcode]],'NFI Distributions'!AM$53:AM$1048576)</f>
        <v>0</v>
      </c>
      <c r="H112" s="106">
        <f>SUMIF('NFI Distributions'!AU$53:AU$1048576,Table10[[#This Row],[Pcode]],'NFI Distributions'!AN$53:AN$1048576)</f>
        <v>0</v>
      </c>
      <c r="I112" s="106">
        <f>SUMIF('NFI Distributions'!AU$53:AU$1048576,Table10[[#This Row],[Pcode]],'NFI Distributions'!AO$53:AO$1048576)</f>
        <v>0</v>
      </c>
      <c r="J112" s="106">
        <f ca="1">MAX(Table10[[#This Row],[HH]]*VLOOKUP("Winter Clothes Adult",NFI,6)-Table10[[#This Row],[Winter Clothes Adult ]],0)</f>
        <v>378</v>
      </c>
      <c r="K112" s="106">
        <f ca="1">MAX(Table10[[#This Row],[HH]]*VLOOKUP("Winter Clothes Children ",NFI,6)-Table10[[#This Row],[Winter Clothes Children ]],0)</f>
        <v>189</v>
      </c>
      <c r="L112" s="106">
        <f ca="1">MAX(Table10[[#This Row],[HH]]*VLOOKUP("Winter Items Other ",NFI,6)-Table10[[#This Row],[Winter Items Other ]],0)</f>
        <v>189</v>
      </c>
      <c r="M112" s="114" t="str">
        <f>IF(OR(Table10[[#This Row],[Winter Clothes Adult ]]&lt;&gt;0,Table10[[#This Row],[Winter Clothes Children ]]&lt;&gt;0,Table10[[#This Row],[Winter Items Other ]]&lt;&gt;0),"No","")</f>
        <v/>
      </c>
      <c r="N112" s="115">
        <f>COUNTIF(A:A,Table10[[#This Row],[Pcode]])-1</f>
        <v>0</v>
      </c>
    </row>
    <row r="113" spans="1:14" x14ac:dyDescent="0.25">
      <c r="A113" s="102" t="s">
        <v>261</v>
      </c>
      <c r="B113" s="7" t="e">
        <f ca="1">OFFSET(#REF!,MATCH(Table10[[#This Row],[Pcode]],CampList[CP_Pcode],0)-1,0,1,1)</f>
        <v>#REF!</v>
      </c>
      <c r="C113" s="7" t="str">
        <f ca="1">OFFSET(CampList[Camp],MATCH(Table10[[#This Row],[Pcode]],CampList[CP_Pcode],0)-1,0,1,1)</f>
        <v>Maw Hpawng Hka Nan Baptist Church</v>
      </c>
      <c r="D113" s="7" t="str">
        <f ca="1">OFFSET(CampList[Township],MATCH(Table10[[#This Row],[Pcode]],CampList[CP_Pcode],0)-1,0,1,1)</f>
        <v>Myitkyina</v>
      </c>
      <c r="E113" s="106">
        <f ca="1">OFFSET(CampList[HH],MATCH(Table10[[#This Row],[Pcode]],CampList[CP_Pcode],0)-1,0,1,1)</f>
        <v>22</v>
      </c>
      <c r="F113" s="106">
        <f ca="1">OFFSET(CampList[Total],MATCH(Table10[[#This Row],[Pcode]],CampList[CP_Pcode],0)-1,0,1,1)</f>
        <v>92</v>
      </c>
      <c r="G113" s="106">
        <f>SUMIF('NFI Distributions'!AU$53:AU$1048576,Table10[[#This Row],[Pcode]],'NFI Distributions'!AM$53:AM$1048576)</f>
        <v>0</v>
      </c>
      <c r="H113" s="106">
        <f>SUMIF('NFI Distributions'!AU$53:AU$1048576,Table10[[#This Row],[Pcode]],'NFI Distributions'!AN$53:AN$1048576)</f>
        <v>0</v>
      </c>
      <c r="I113" s="106">
        <f>SUMIF('NFI Distributions'!AU$53:AU$1048576,Table10[[#This Row],[Pcode]],'NFI Distributions'!AO$53:AO$1048576)</f>
        <v>0</v>
      </c>
      <c r="J113" s="106">
        <f ca="1">MAX(Table10[[#This Row],[HH]]*VLOOKUP("Winter Clothes Adult",NFI,6)-Table10[[#This Row],[Winter Clothes Adult ]],0)</f>
        <v>44</v>
      </c>
      <c r="K113" s="106">
        <f ca="1">MAX(Table10[[#This Row],[HH]]*VLOOKUP("Winter Clothes Children ",NFI,6)-Table10[[#This Row],[Winter Clothes Children ]],0)</f>
        <v>22</v>
      </c>
      <c r="L113" s="106">
        <f ca="1">MAX(Table10[[#This Row],[HH]]*VLOOKUP("Winter Items Other ",NFI,6)-Table10[[#This Row],[Winter Items Other ]],0)</f>
        <v>22</v>
      </c>
      <c r="M113" s="114" t="str">
        <f>IF(OR(Table10[[#This Row],[Winter Clothes Adult ]]&lt;&gt;0,Table10[[#This Row],[Winter Clothes Children ]]&lt;&gt;0,Table10[[#This Row],[Winter Items Other ]]&lt;&gt;0),"No","")</f>
        <v/>
      </c>
      <c r="N113" s="115">
        <f>COUNTIF(A:A,Table10[[#This Row],[Pcode]])-1</f>
        <v>0</v>
      </c>
    </row>
    <row r="114" spans="1:14" x14ac:dyDescent="0.25">
      <c r="A114" s="102" t="s">
        <v>263</v>
      </c>
      <c r="B114" s="7" t="e">
        <f ca="1">OFFSET(#REF!,MATCH(Table10[[#This Row],[Pcode]],CampList[CP_Pcode],0)-1,0,1,1)</f>
        <v>#REF!</v>
      </c>
      <c r="C114" s="7" t="str">
        <f ca="1">OFFSET(CampList[Camp],MATCH(Table10[[#This Row],[Pcode]],CampList[CP_Pcode],0)-1,0,1,1)</f>
        <v>Maw Hpawng Lhaovo Baptist Church</v>
      </c>
      <c r="D114" s="7" t="str">
        <f ca="1">OFFSET(CampList[Township],MATCH(Table10[[#This Row],[Pcode]],CampList[CP_Pcode],0)-1,0,1,1)</f>
        <v>Myitkyina</v>
      </c>
      <c r="E114" s="106">
        <f ca="1">OFFSET(CampList[HH],MATCH(Table10[[#This Row],[Pcode]],CampList[CP_Pcode],0)-1,0,1,1)</f>
        <v>21</v>
      </c>
      <c r="F114" s="106">
        <f ca="1">OFFSET(CampList[Total],MATCH(Table10[[#This Row],[Pcode]],CampList[CP_Pcode],0)-1,0,1,1)</f>
        <v>123</v>
      </c>
      <c r="G114" s="106">
        <f>SUMIF('NFI Distributions'!AU$53:AU$1048576,Table10[[#This Row],[Pcode]],'NFI Distributions'!AM$53:AM$1048576)</f>
        <v>0</v>
      </c>
      <c r="H114" s="106">
        <f>SUMIF('NFI Distributions'!AU$53:AU$1048576,Table10[[#This Row],[Pcode]],'NFI Distributions'!AN$53:AN$1048576)</f>
        <v>0</v>
      </c>
      <c r="I114" s="106">
        <f>SUMIF('NFI Distributions'!AU$53:AU$1048576,Table10[[#This Row],[Pcode]],'NFI Distributions'!AO$53:AO$1048576)</f>
        <v>0</v>
      </c>
      <c r="J114" s="106">
        <f ca="1">MAX(Table10[[#This Row],[HH]]*VLOOKUP("Winter Clothes Adult",NFI,6)-Table10[[#This Row],[Winter Clothes Adult ]],0)</f>
        <v>42</v>
      </c>
      <c r="K114" s="106">
        <f ca="1">MAX(Table10[[#This Row],[HH]]*VLOOKUP("Winter Clothes Children ",NFI,6)-Table10[[#This Row],[Winter Clothes Children ]],0)</f>
        <v>21</v>
      </c>
      <c r="L114" s="106">
        <f ca="1">MAX(Table10[[#This Row],[HH]]*VLOOKUP("Winter Items Other ",NFI,6)-Table10[[#This Row],[Winter Items Other ]],0)</f>
        <v>21</v>
      </c>
      <c r="M114" s="114" t="str">
        <f>IF(OR(Table10[[#This Row],[Winter Clothes Adult ]]&lt;&gt;0,Table10[[#This Row],[Winter Clothes Children ]]&lt;&gt;0,Table10[[#This Row],[Winter Items Other ]]&lt;&gt;0),"No","")</f>
        <v/>
      </c>
      <c r="N114" s="115">
        <f>COUNTIF(A:A,Table10[[#This Row],[Pcode]])-1</f>
        <v>0</v>
      </c>
    </row>
    <row r="115" spans="1:14" x14ac:dyDescent="0.25">
      <c r="A115" s="102" t="s">
        <v>99</v>
      </c>
      <c r="B115" s="7" t="e">
        <f ca="1">OFFSET(#REF!,MATCH(Table10[[#This Row],[Pcode]],CampList[CP_Pcode],0)-1,0,1,1)</f>
        <v>#REF!</v>
      </c>
      <c r="C115" s="7" t="str">
        <f ca="1">OFFSET(CampList[Camp],MATCH(Table10[[#This Row],[Pcode]],CampList[CP_Pcode],0)-1,0,1,1)</f>
        <v>Maw Wan, Mu-yin Baptist Church</v>
      </c>
      <c r="D115" s="7" t="str">
        <f ca="1">OFFSET(CampList[Township],MATCH(Table10[[#This Row],[Pcode]],CampList[CP_Pcode],0)-1,0,1,1)</f>
        <v>Hpakant</v>
      </c>
      <c r="E115" s="106">
        <f ca="1">OFFSET(CampList[HH],MATCH(Table10[[#This Row],[Pcode]],CampList[CP_Pcode],0)-1,0,1,1)</f>
        <v>3</v>
      </c>
      <c r="F115" s="106">
        <f ca="1">OFFSET(CampList[Total],MATCH(Table10[[#This Row],[Pcode]],CampList[CP_Pcode],0)-1,0,1,1)</f>
        <v>15</v>
      </c>
      <c r="G115" s="106">
        <f>SUMIF('NFI Distributions'!AU$53:AU$1048576,Table10[[#This Row],[Pcode]],'NFI Distributions'!AM$53:AM$1048576)</f>
        <v>0</v>
      </c>
      <c r="H115" s="106">
        <f>SUMIF('NFI Distributions'!AU$53:AU$1048576,Table10[[#This Row],[Pcode]],'NFI Distributions'!AN$53:AN$1048576)</f>
        <v>0</v>
      </c>
      <c r="I115" s="106">
        <f>SUMIF('NFI Distributions'!AU$53:AU$1048576,Table10[[#This Row],[Pcode]],'NFI Distributions'!AO$53:AO$1048576)</f>
        <v>0</v>
      </c>
      <c r="J115" s="106">
        <f ca="1">MAX(Table10[[#This Row],[HH]]*VLOOKUP("Winter Clothes Adult",NFI,6)-Table10[[#This Row],[Winter Clothes Adult ]],0)</f>
        <v>6</v>
      </c>
      <c r="K115" s="106">
        <f ca="1">MAX(Table10[[#This Row],[HH]]*VLOOKUP("Winter Clothes Children ",NFI,6)-Table10[[#This Row],[Winter Clothes Children ]],0)</f>
        <v>3</v>
      </c>
      <c r="L115" s="106">
        <f ca="1">MAX(Table10[[#This Row],[HH]]*VLOOKUP("Winter Items Other ",NFI,6)-Table10[[#This Row],[Winter Items Other ]],0)</f>
        <v>3</v>
      </c>
      <c r="M115" s="114" t="str">
        <f>IF(OR(Table10[[#This Row],[Winter Clothes Adult ]]&lt;&gt;0,Table10[[#This Row],[Winter Clothes Children ]]&lt;&gt;0,Table10[[#This Row],[Winter Items Other ]]&lt;&gt;0),"No","")</f>
        <v/>
      </c>
      <c r="N115" s="115">
        <f>COUNTIF(A:A,Table10[[#This Row],[Pcode]])-1</f>
        <v>0</v>
      </c>
    </row>
    <row r="116" spans="1:14" x14ac:dyDescent="0.25">
      <c r="A116" s="102" t="s">
        <v>208</v>
      </c>
      <c r="B116" s="7" t="e">
        <f ca="1">OFFSET(#REF!,MATCH(Table10[[#This Row],[Pcode]],CampList[CP_Pcode],0)-1,0,1,1)</f>
        <v>#REF!</v>
      </c>
      <c r="C116" s="7" t="str">
        <f ca="1">OFFSET(CampList[Camp],MATCH(Table10[[#This Row],[Pcode]],CampList[CP_Pcode],0)-1,0,1,1)</f>
        <v>Momauk Baptist Church</v>
      </c>
      <c r="D116" s="7" t="str">
        <f ca="1">OFFSET(CampList[Township],MATCH(Table10[[#This Row],[Pcode]],CampList[CP_Pcode],0)-1,0,1,1)</f>
        <v>Momauk</v>
      </c>
      <c r="E116" s="106">
        <f ca="1">OFFSET(CampList[HH],MATCH(Table10[[#This Row],[Pcode]],CampList[CP_Pcode],0)-1,0,1,1)</f>
        <v>427</v>
      </c>
      <c r="F116" s="106">
        <f ca="1">OFFSET(CampList[Total],MATCH(Table10[[#This Row],[Pcode]],CampList[CP_Pcode],0)-1,0,1,1)</f>
        <v>2054</v>
      </c>
      <c r="G116" s="106">
        <f>SUMIF('NFI Distributions'!AU$53:AU$1048576,Table10[[#This Row],[Pcode]],'NFI Distributions'!AM$53:AM$1048576)</f>
        <v>0</v>
      </c>
      <c r="H116" s="106">
        <f>SUMIF('NFI Distributions'!AU$53:AU$1048576,Table10[[#This Row],[Pcode]],'NFI Distributions'!AN$53:AN$1048576)</f>
        <v>0</v>
      </c>
      <c r="I116" s="106">
        <f>SUMIF('NFI Distributions'!AU$53:AU$1048576,Table10[[#This Row],[Pcode]],'NFI Distributions'!AO$53:AO$1048576)</f>
        <v>0</v>
      </c>
      <c r="J116" s="106">
        <f ca="1">MAX(Table10[[#This Row],[HH]]*VLOOKUP("Winter Clothes Adult",NFI,6)-Table10[[#This Row],[Winter Clothes Adult ]],0)</f>
        <v>854</v>
      </c>
      <c r="K116" s="106">
        <f ca="1">MAX(Table10[[#This Row],[HH]]*VLOOKUP("Winter Clothes Children ",NFI,6)-Table10[[#This Row],[Winter Clothes Children ]],0)</f>
        <v>427</v>
      </c>
      <c r="L116" s="106">
        <f ca="1">MAX(Table10[[#This Row],[HH]]*VLOOKUP("Winter Items Other ",NFI,6)-Table10[[#This Row],[Winter Items Other ]],0)</f>
        <v>427</v>
      </c>
      <c r="M116" s="114" t="str">
        <f>IF(OR(Table10[[#This Row],[Winter Clothes Adult ]]&lt;&gt;0,Table10[[#This Row],[Winter Clothes Children ]]&lt;&gt;0,Table10[[#This Row],[Winter Items Other ]]&lt;&gt;0),"No","")</f>
        <v/>
      </c>
      <c r="N116" s="115">
        <f>COUNTIF(A:A,Table10[[#This Row],[Pcode]])-1</f>
        <v>0</v>
      </c>
    </row>
    <row r="117" spans="1:14" x14ac:dyDescent="0.25">
      <c r="A117" s="102" t="s">
        <v>210</v>
      </c>
      <c r="B117" s="7" t="e">
        <f ca="1">OFFSET(#REF!,MATCH(Table10[[#This Row],[Pcode]],CampList[CP_Pcode],0)-1,0,1,1)</f>
        <v>#REF!</v>
      </c>
      <c r="C117" s="7" t="str">
        <f ca="1">OFFSET(CampList[Camp],MATCH(Table10[[#This Row],[Pcode]],CampList[CP_Pcode],0)-1,0,1,1)</f>
        <v>Momauk Catholic Church (St. Patrick)</v>
      </c>
      <c r="D117" s="7" t="str">
        <f ca="1">OFFSET(CampList[Township],MATCH(Table10[[#This Row],[Pcode]],CampList[CP_Pcode],0)-1,0,1,1)</f>
        <v>Momauk</v>
      </c>
      <c r="E117" s="106">
        <f ca="1">OFFSET(CampList[HH],MATCH(Table10[[#This Row],[Pcode]],CampList[CP_Pcode],0)-1,0,1,1)</f>
        <v>0</v>
      </c>
      <c r="F117" s="106">
        <f ca="1">OFFSET(CampList[Total],MATCH(Table10[[#This Row],[Pcode]],CampList[CP_Pcode],0)-1,0,1,1)</f>
        <v>0</v>
      </c>
      <c r="G117" s="106">
        <f>SUMIF('NFI Distributions'!AU$53:AU$1048576,Table10[[#This Row],[Pcode]],'NFI Distributions'!AM$53:AM$1048576)</f>
        <v>0</v>
      </c>
      <c r="H117" s="106">
        <f>SUMIF('NFI Distributions'!AU$53:AU$1048576,Table10[[#This Row],[Pcode]],'NFI Distributions'!AN$53:AN$1048576)</f>
        <v>0</v>
      </c>
      <c r="I117" s="106">
        <f>SUMIF('NFI Distributions'!AU$53:AU$1048576,Table10[[#This Row],[Pcode]],'NFI Distributions'!AO$53:AO$1048576)</f>
        <v>0</v>
      </c>
      <c r="J117" s="106">
        <f ca="1">MAX(Table10[[#This Row],[HH]]*VLOOKUP("Winter Clothes Adult",NFI,6)-Table10[[#This Row],[Winter Clothes Adult ]],0)</f>
        <v>0</v>
      </c>
      <c r="K117" s="106">
        <f ca="1">MAX(Table10[[#This Row],[HH]]*VLOOKUP("Winter Clothes Children ",NFI,6)-Table10[[#This Row],[Winter Clothes Children ]],0)</f>
        <v>0</v>
      </c>
      <c r="L117" s="106">
        <f ca="1">MAX(Table10[[#This Row],[HH]]*VLOOKUP("Winter Items Other ",NFI,6)-Table10[[#This Row],[Winter Items Other ]],0)</f>
        <v>0</v>
      </c>
      <c r="M117" s="114" t="str">
        <f>IF(OR(Table10[[#This Row],[Winter Clothes Adult ]]&lt;&gt;0,Table10[[#This Row],[Winter Clothes Children ]]&lt;&gt;0,Table10[[#This Row],[Winter Items Other ]]&lt;&gt;0),"No","")</f>
        <v/>
      </c>
      <c r="N117" s="115">
        <f>COUNTIF(A:A,Table10[[#This Row],[Pcode]])-1</f>
        <v>0</v>
      </c>
    </row>
    <row r="118" spans="1:14" x14ac:dyDescent="0.25">
      <c r="A118" s="102" t="s">
        <v>903</v>
      </c>
      <c r="B118" s="7" t="e">
        <f ca="1">OFFSET(#REF!,MATCH(Table10[[#This Row],[Pcode]],CampList[CP_Pcode],0)-1,0,1,1)</f>
        <v>#REF!</v>
      </c>
      <c r="C118" s="7" t="str">
        <f ca="1">OFFSET(CampList[Camp],MATCH(Table10[[#This Row],[Pcode]],CampList[CP_Pcode],0)-1,0,1,1)</f>
        <v>Muse Baptist Church</v>
      </c>
      <c r="D118" s="7" t="str">
        <f ca="1">OFFSET(CampList[Township],MATCH(Table10[[#This Row],[Pcode]],CampList[CP_Pcode],0)-1,0,1,1)</f>
        <v>Muse</v>
      </c>
      <c r="E118" s="106">
        <f ca="1">OFFSET(CampList[HH],MATCH(Table10[[#This Row],[Pcode]],CampList[CP_Pcode],0)-1,0,1,1)</f>
        <v>41</v>
      </c>
      <c r="F118" s="106">
        <f ca="1">OFFSET(CampList[Total],MATCH(Table10[[#This Row],[Pcode]],CampList[CP_Pcode],0)-1,0,1,1)</f>
        <v>187</v>
      </c>
      <c r="G118" s="106">
        <f>SUMIF('NFI Distributions'!AU$53:AU$1048576,Table10[[#This Row],[Pcode]],'NFI Distributions'!AM$53:AM$1048576)</f>
        <v>0</v>
      </c>
      <c r="H118" s="106">
        <f>SUMIF('NFI Distributions'!AU$53:AU$1048576,Table10[[#This Row],[Pcode]],'NFI Distributions'!AN$53:AN$1048576)</f>
        <v>0</v>
      </c>
      <c r="I118" s="106">
        <f>SUMIF('NFI Distributions'!AU$53:AU$1048576,Table10[[#This Row],[Pcode]],'NFI Distributions'!AO$53:AO$1048576)</f>
        <v>0</v>
      </c>
      <c r="J118" s="106">
        <f ca="1">MAX(Table10[[#This Row],[HH]]*VLOOKUP("Winter Clothes Adult",NFI,6)-Table10[[#This Row],[Winter Clothes Adult ]],0)</f>
        <v>82</v>
      </c>
      <c r="K118" s="106">
        <f ca="1">MAX(Table10[[#This Row],[HH]]*VLOOKUP("Winter Clothes Children ",NFI,6)-Table10[[#This Row],[Winter Clothes Children ]],0)</f>
        <v>41</v>
      </c>
      <c r="L118" s="106">
        <f ca="1">MAX(Table10[[#This Row],[HH]]*VLOOKUP("Winter Items Other ",NFI,6)-Table10[[#This Row],[Winter Items Other ]],0)</f>
        <v>41</v>
      </c>
      <c r="M118" s="114" t="str">
        <f>IF(OR(Table10[[#This Row],[Winter Clothes Adult ]]&lt;&gt;0,Table10[[#This Row],[Winter Clothes Children ]]&lt;&gt;0,Table10[[#This Row],[Winter Items Other ]]&lt;&gt;0),"No","")</f>
        <v/>
      </c>
      <c r="N118" s="115">
        <f>COUNTIF(A:A,Table10[[#This Row],[Pcode]])-1</f>
        <v>0</v>
      </c>
    </row>
    <row r="119" spans="1:14" x14ac:dyDescent="0.25">
      <c r="A119" s="102" t="s">
        <v>913</v>
      </c>
      <c r="B119" s="7" t="e">
        <f ca="1">OFFSET(#REF!,MATCH(Table10[[#This Row],[Pcode]],CampList[CP_Pcode],0)-1,0,1,1)</f>
        <v>#REF!</v>
      </c>
      <c r="C119" s="7" t="str">
        <f ca="1">OFFSET(CampList[Camp],MATCH(Table10[[#This Row],[Pcode]],CampList[CP_Pcode],0)-1,0,1,1)</f>
        <v>Muse Catholic Church</v>
      </c>
      <c r="D119" s="7" t="str">
        <f ca="1">OFFSET(CampList[Township],MATCH(Table10[[#This Row],[Pcode]],CampList[CP_Pcode],0)-1,0,1,1)</f>
        <v>Muse</v>
      </c>
      <c r="E119" s="106">
        <f ca="1">OFFSET(CampList[HH],MATCH(Table10[[#This Row],[Pcode]],CampList[CP_Pcode],0)-1,0,1,1)</f>
        <v>18</v>
      </c>
      <c r="F119" s="106">
        <f ca="1">OFFSET(CampList[Total],MATCH(Table10[[#This Row],[Pcode]],CampList[CP_Pcode],0)-1,0,1,1)</f>
        <v>80</v>
      </c>
      <c r="G119" s="106">
        <f>SUMIF('NFI Distributions'!AU$53:AU$1048576,Table10[[#This Row],[Pcode]],'NFI Distributions'!AM$53:AM$1048576)</f>
        <v>0</v>
      </c>
      <c r="H119" s="106">
        <f>SUMIF('NFI Distributions'!AU$53:AU$1048576,Table10[[#This Row],[Pcode]],'NFI Distributions'!AN$53:AN$1048576)</f>
        <v>0</v>
      </c>
      <c r="I119" s="106">
        <f>SUMIF('NFI Distributions'!AU$53:AU$1048576,Table10[[#This Row],[Pcode]],'NFI Distributions'!AO$53:AO$1048576)</f>
        <v>0</v>
      </c>
      <c r="J119" s="106">
        <f ca="1">MAX(Table10[[#This Row],[HH]]*VLOOKUP("Winter Clothes Adult",NFI,6)-Table10[[#This Row],[Winter Clothes Adult ]],0)</f>
        <v>36</v>
      </c>
      <c r="K119" s="106">
        <f ca="1">MAX(Table10[[#This Row],[HH]]*VLOOKUP("Winter Clothes Children ",NFI,6)-Table10[[#This Row],[Winter Clothes Children ]],0)</f>
        <v>18</v>
      </c>
      <c r="L119" s="106">
        <f ca="1">MAX(Table10[[#This Row],[HH]]*VLOOKUP("Winter Items Other ",NFI,6)-Table10[[#This Row],[Winter Items Other ]],0)</f>
        <v>18</v>
      </c>
      <c r="M119" s="114" t="str">
        <f>IF(OR(Table10[[#This Row],[Winter Clothes Adult ]]&lt;&gt;0,Table10[[#This Row],[Winter Clothes Children ]]&lt;&gt;0,Table10[[#This Row],[Winter Items Other ]]&lt;&gt;0),"No","")</f>
        <v/>
      </c>
      <c r="N119" s="115">
        <f>COUNTIF(A:A,Table10[[#This Row],[Pcode]])-1</f>
        <v>0</v>
      </c>
    </row>
    <row r="120" spans="1:14" x14ac:dyDescent="0.25">
      <c r="A120" s="102" t="s">
        <v>7</v>
      </c>
      <c r="B120" s="7" t="e">
        <f ca="1">OFFSET(#REF!,MATCH(Table10[[#This Row],[Pcode]],CampList[CP_Pcode],0)-1,0,1,1)</f>
        <v>#REF!</v>
      </c>
      <c r="C120" s="7" t="str">
        <f ca="1">OFFSET(CampList[Camp],MATCH(Table10[[#This Row],[Pcode]],CampList[CP_Pcode],0)-1,0,1,1)</f>
        <v>Mu-yin Baptist Church</v>
      </c>
      <c r="D120" s="7" t="str">
        <f ca="1">OFFSET(CampList[Township],MATCH(Table10[[#This Row],[Pcode]],CampList[CP_Pcode],0)-1,0,1,1)</f>
        <v>Bhamo</v>
      </c>
      <c r="E120" s="106">
        <f ca="1">OFFSET(CampList[HH],MATCH(Table10[[#This Row],[Pcode]],CampList[CP_Pcode],0)-1,0,1,1)</f>
        <v>13</v>
      </c>
      <c r="F120" s="106">
        <f ca="1">OFFSET(CampList[Total],MATCH(Table10[[#This Row],[Pcode]],CampList[CP_Pcode],0)-1,0,1,1)</f>
        <v>57</v>
      </c>
      <c r="G120" s="106">
        <f>SUMIF('NFI Distributions'!AU$53:AU$1048576,Table10[[#This Row],[Pcode]],'NFI Distributions'!AM$53:AM$1048576)</f>
        <v>0</v>
      </c>
      <c r="H120" s="106">
        <f>SUMIF('NFI Distributions'!AU$53:AU$1048576,Table10[[#This Row],[Pcode]],'NFI Distributions'!AN$53:AN$1048576)</f>
        <v>0</v>
      </c>
      <c r="I120" s="106">
        <f>SUMIF('NFI Distributions'!AU$53:AU$1048576,Table10[[#This Row],[Pcode]],'NFI Distributions'!AO$53:AO$1048576)</f>
        <v>0</v>
      </c>
      <c r="J120" s="106">
        <f ca="1">MAX(Table10[[#This Row],[HH]]*VLOOKUP("Winter Clothes Adult",NFI,6)-Table10[[#This Row],[Winter Clothes Adult ]],0)</f>
        <v>26</v>
      </c>
      <c r="K120" s="106">
        <f ca="1">MAX(Table10[[#This Row],[HH]]*VLOOKUP("Winter Clothes Children ",NFI,6)-Table10[[#This Row],[Winter Clothes Children ]],0)</f>
        <v>13</v>
      </c>
      <c r="L120" s="106">
        <f ca="1">MAX(Table10[[#This Row],[HH]]*VLOOKUP("Winter Items Other ",NFI,6)-Table10[[#This Row],[Winter Items Other ]],0)</f>
        <v>13</v>
      </c>
      <c r="M120" s="114" t="str">
        <f>IF(OR(Table10[[#This Row],[Winter Clothes Adult ]]&lt;&gt;0,Table10[[#This Row],[Winter Clothes Children ]]&lt;&gt;0,Table10[[#This Row],[Winter Items Other ]]&lt;&gt;0),"No","")</f>
        <v/>
      </c>
      <c r="N120" s="115">
        <f>COUNTIF(A:A,Table10[[#This Row],[Pcode]])-1</f>
        <v>0</v>
      </c>
    </row>
    <row r="121" spans="1:14" x14ac:dyDescent="0.25">
      <c r="A121" s="102" t="s">
        <v>265</v>
      </c>
      <c r="B121" s="7" t="e">
        <f ca="1">OFFSET(#REF!,MATCH(Table10[[#This Row],[Pcode]],CampList[CP_Pcode],0)-1,0,1,1)</f>
        <v>#REF!</v>
      </c>
      <c r="C121" s="7" t="str">
        <f ca="1">OFFSET(CampList[Camp],MATCH(Table10[[#This Row],[Pcode]],CampList[CP_Pcode],0)-1,0,1,1)</f>
        <v>Myay Myint Baptist Church</v>
      </c>
      <c r="D121" s="7" t="str">
        <f ca="1">OFFSET(CampList[Township],MATCH(Table10[[#This Row],[Pcode]],CampList[CP_Pcode],0)-1,0,1,1)</f>
        <v>Myitkyina</v>
      </c>
      <c r="E121" s="106">
        <f ca="1">OFFSET(CampList[HH],MATCH(Table10[[#This Row],[Pcode]],CampList[CP_Pcode],0)-1,0,1,1)</f>
        <v>0</v>
      </c>
      <c r="F121" s="106">
        <f ca="1">OFFSET(CampList[Total],MATCH(Table10[[#This Row],[Pcode]],CampList[CP_Pcode],0)-1,0,1,1)</f>
        <v>0</v>
      </c>
      <c r="G121" s="106">
        <f>SUMIF('NFI Distributions'!AU$53:AU$1048576,Table10[[#This Row],[Pcode]],'NFI Distributions'!AM$53:AM$1048576)</f>
        <v>0</v>
      </c>
      <c r="H121" s="106">
        <f>SUMIF('NFI Distributions'!AU$53:AU$1048576,Table10[[#This Row],[Pcode]],'NFI Distributions'!AN$53:AN$1048576)</f>
        <v>0</v>
      </c>
      <c r="I121" s="106">
        <f>SUMIF('NFI Distributions'!AU$53:AU$1048576,Table10[[#This Row],[Pcode]],'NFI Distributions'!AO$53:AO$1048576)</f>
        <v>0</v>
      </c>
      <c r="J121" s="106">
        <f ca="1">MAX(Table10[[#This Row],[HH]]*VLOOKUP("Winter Clothes Adult",NFI,6)-Table10[[#This Row],[Winter Clothes Adult ]],0)</f>
        <v>0</v>
      </c>
      <c r="K121" s="106">
        <f ca="1">MAX(Table10[[#This Row],[HH]]*VLOOKUP("Winter Clothes Children ",NFI,6)-Table10[[#This Row],[Winter Clothes Children ]],0)</f>
        <v>0</v>
      </c>
      <c r="L121" s="106">
        <f ca="1">MAX(Table10[[#This Row],[HH]]*VLOOKUP("Winter Items Other ",NFI,6)-Table10[[#This Row],[Winter Items Other ]],0)</f>
        <v>0</v>
      </c>
      <c r="M121" s="114" t="str">
        <f>IF(OR(Table10[[#This Row],[Winter Clothes Adult ]]&lt;&gt;0,Table10[[#This Row],[Winter Clothes Children ]]&lt;&gt;0,Table10[[#This Row],[Winter Items Other ]]&lt;&gt;0),"No","")</f>
        <v/>
      </c>
      <c r="N121" s="115">
        <f>COUNTIF(A:A,Table10[[#This Row],[Pcode]])-1</f>
        <v>0</v>
      </c>
    </row>
    <row r="122" spans="1:14" x14ac:dyDescent="0.25">
      <c r="A122" s="102" t="s">
        <v>212</v>
      </c>
      <c r="B122" s="7" t="e">
        <f ca="1">OFFSET(#REF!,MATCH(Table10[[#This Row],[Pcode]],CampList[CP_Pcode],0)-1,0,1,1)</f>
        <v>#REF!</v>
      </c>
      <c r="C122" s="7" t="str">
        <f ca="1">OFFSET(CampList[Camp],MATCH(Table10[[#This Row],[Pcode]],CampList[CP_Pcode],0)-1,0,1,1)</f>
        <v xml:space="preserve">Myo Thit </v>
      </c>
      <c r="D122" s="7" t="str">
        <f ca="1">OFFSET(CampList[Township],MATCH(Table10[[#This Row],[Pcode]],CampList[CP_Pcode],0)-1,0,1,1)</f>
        <v>Momauk</v>
      </c>
      <c r="E122" s="106">
        <f ca="1">OFFSET(CampList[HH],MATCH(Table10[[#This Row],[Pcode]],CampList[CP_Pcode],0)-1,0,1,1)</f>
        <v>47</v>
      </c>
      <c r="F122" s="106">
        <f ca="1">OFFSET(CampList[Total],MATCH(Table10[[#This Row],[Pcode]],CampList[CP_Pcode],0)-1,0,1,1)</f>
        <v>153</v>
      </c>
      <c r="G122" s="106">
        <f>SUMIF('NFI Distributions'!AU$53:AU$1048576,Table10[[#This Row],[Pcode]],'NFI Distributions'!AM$53:AM$1048576)</f>
        <v>0</v>
      </c>
      <c r="H122" s="106">
        <f>SUMIF('NFI Distributions'!AU$53:AU$1048576,Table10[[#This Row],[Pcode]],'NFI Distributions'!AN$53:AN$1048576)</f>
        <v>0</v>
      </c>
      <c r="I122" s="106">
        <f>SUMIF('NFI Distributions'!AU$53:AU$1048576,Table10[[#This Row],[Pcode]],'NFI Distributions'!AO$53:AO$1048576)</f>
        <v>0</v>
      </c>
      <c r="J122" s="106">
        <f ca="1">MAX(Table10[[#This Row],[HH]]*VLOOKUP("Winter Clothes Adult",NFI,6)-Table10[[#This Row],[Winter Clothes Adult ]],0)</f>
        <v>94</v>
      </c>
      <c r="K122" s="106">
        <f ca="1">MAX(Table10[[#This Row],[HH]]*VLOOKUP("Winter Clothes Children ",NFI,6)-Table10[[#This Row],[Winter Clothes Children ]],0)</f>
        <v>47</v>
      </c>
      <c r="L122" s="106">
        <f ca="1">MAX(Table10[[#This Row],[HH]]*VLOOKUP("Winter Items Other ",NFI,6)-Table10[[#This Row],[Winter Items Other ]],0)</f>
        <v>47</v>
      </c>
      <c r="M122" s="114" t="str">
        <f>IF(OR(Table10[[#This Row],[Winter Clothes Adult ]]&lt;&gt;0,Table10[[#This Row],[Winter Clothes Children ]]&lt;&gt;0,Table10[[#This Row],[Winter Items Other ]]&lt;&gt;0),"No","")</f>
        <v/>
      </c>
      <c r="N122" s="115">
        <f>COUNTIF(A:A,Table10[[#This Row],[Pcode]])-1</f>
        <v>0</v>
      </c>
    </row>
    <row r="123" spans="1:14" x14ac:dyDescent="0.25">
      <c r="A123" s="102" t="s">
        <v>905</v>
      </c>
      <c r="B123" s="7" t="e">
        <f ca="1">OFFSET(#REF!,MATCH(Table10[[#This Row],[Pcode]],CampList[CP_Pcode],0)-1,0,1,1)</f>
        <v>#REF!</v>
      </c>
      <c r="C123" s="7" t="str">
        <f ca="1">OFFSET(CampList[Camp],MATCH(Table10[[#This Row],[Pcode]],CampList[CP_Pcode],0)-1,0,1,1)</f>
        <v>Nam Hkam (KBC Jaw Wang) II</v>
      </c>
      <c r="D123" s="7" t="str">
        <f ca="1">OFFSET(CampList[Township],MATCH(Table10[[#This Row],[Pcode]],CampList[CP_Pcode],0)-1,0,1,1)</f>
        <v>Namhkan</v>
      </c>
      <c r="E123" s="106">
        <f ca="1">OFFSET(CampList[HH],MATCH(Table10[[#This Row],[Pcode]],CampList[CP_Pcode],0)-1,0,1,1)</f>
        <v>38</v>
      </c>
      <c r="F123" s="106">
        <f ca="1">OFFSET(CampList[Total],MATCH(Table10[[#This Row],[Pcode]],CampList[CP_Pcode],0)-1,0,1,1)</f>
        <v>195</v>
      </c>
      <c r="G123" s="106">
        <f>SUMIF('NFI Distributions'!AU$53:AU$1048576,Table10[[#This Row],[Pcode]],'NFI Distributions'!AM$53:AM$1048576)</f>
        <v>0</v>
      </c>
      <c r="H123" s="106">
        <f>SUMIF('NFI Distributions'!AU$53:AU$1048576,Table10[[#This Row],[Pcode]],'NFI Distributions'!AN$53:AN$1048576)</f>
        <v>0</v>
      </c>
      <c r="I123" s="106">
        <f>SUMIF('NFI Distributions'!AU$53:AU$1048576,Table10[[#This Row],[Pcode]],'NFI Distributions'!AO$53:AO$1048576)</f>
        <v>0</v>
      </c>
      <c r="J123" s="106">
        <f ca="1">MAX(Table10[[#This Row],[HH]]*VLOOKUP("Winter Clothes Adult",NFI,6)-Table10[[#This Row],[Winter Clothes Adult ]],0)</f>
        <v>76</v>
      </c>
      <c r="K123" s="106">
        <f ca="1">MAX(Table10[[#This Row],[HH]]*VLOOKUP("Winter Clothes Children ",NFI,6)-Table10[[#This Row],[Winter Clothes Children ]],0)</f>
        <v>38</v>
      </c>
      <c r="L123" s="106">
        <f ca="1">MAX(Table10[[#This Row],[HH]]*VLOOKUP("Winter Items Other ",NFI,6)-Table10[[#This Row],[Winter Items Other ]],0)</f>
        <v>38</v>
      </c>
      <c r="M123" s="114" t="str">
        <f>IF(OR(Table10[[#This Row],[Winter Clothes Adult ]]&lt;&gt;0,Table10[[#This Row],[Winter Clothes Children ]]&lt;&gt;0,Table10[[#This Row],[Winter Items Other ]]&lt;&gt;0),"No","")</f>
        <v/>
      </c>
      <c r="N123" s="115">
        <f>COUNTIF(A:A,Table10[[#This Row],[Pcode]])-1</f>
        <v>0</v>
      </c>
    </row>
    <row r="124" spans="1:14" x14ac:dyDescent="0.25">
      <c r="A124" s="102" t="s">
        <v>46</v>
      </c>
      <c r="B124" s="7" t="e">
        <f ca="1">OFFSET(#REF!,MATCH(Table10[[#This Row],[Pcode]],CampList[CP_Pcode],0)-1,0,1,1)</f>
        <v>#REF!</v>
      </c>
      <c r="C124" s="7" t="str">
        <f ca="1">OFFSET(CampList[Camp],MATCH(Table10[[#This Row],[Pcode]],CampList[CP_Pcode],0)-1,0,1,1)</f>
        <v>Nam Ma Phyit, COC</v>
      </c>
      <c r="D124" s="7" t="str">
        <f ca="1">OFFSET(CampList[Township],MATCH(Table10[[#This Row],[Pcode]],CampList[CP_Pcode],0)-1,0,1,1)</f>
        <v>Hpakant</v>
      </c>
      <c r="E124" s="106">
        <f ca="1">OFFSET(CampList[HH],MATCH(Table10[[#This Row],[Pcode]],CampList[CP_Pcode],0)-1,0,1,1)</f>
        <v>11</v>
      </c>
      <c r="F124" s="106">
        <f ca="1">OFFSET(CampList[Total],MATCH(Table10[[#This Row],[Pcode]],CampList[CP_Pcode],0)-1,0,1,1)</f>
        <v>43</v>
      </c>
      <c r="G124" s="106">
        <f>SUMIF('NFI Distributions'!AU$53:AU$1048576,Table10[[#This Row],[Pcode]],'NFI Distributions'!AM$53:AM$1048576)</f>
        <v>0</v>
      </c>
      <c r="H124" s="106">
        <f>SUMIF('NFI Distributions'!AU$53:AU$1048576,Table10[[#This Row],[Pcode]],'NFI Distributions'!AN$53:AN$1048576)</f>
        <v>0</v>
      </c>
      <c r="I124" s="106">
        <f>SUMIF('NFI Distributions'!AU$53:AU$1048576,Table10[[#This Row],[Pcode]],'NFI Distributions'!AO$53:AO$1048576)</f>
        <v>0</v>
      </c>
      <c r="J124" s="106">
        <f ca="1">MAX(Table10[[#This Row],[HH]]*VLOOKUP("Winter Clothes Adult",NFI,6)-Table10[[#This Row],[Winter Clothes Adult ]],0)</f>
        <v>22</v>
      </c>
      <c r="K124" s="106">
        <f ca="1">MAX(Table10[[#This Row],[HH]]*VLOOKUP("Winter Clothes Children ",NFI,6)-Table10[[#This Row],[Winter Clothes Children ]],0)</f>
        <v>11</v>
      </c>
      <c r="L124" s="106">
        <f ca="1">MAX(Table10[[#This Row],[HH]]*VLOOKUP("Winter Items Other ",NFI,6)-Table10[[#This Row],[Winter Items Other ]],0)</f>
        <v>11</v>
      </c>
      <c r="M124" s="114" t="str">
        <f>IF(OR(Table10[[#This Row],[Winter Clothes Adult ]]&lt;&gt;0,Table10[[#This Row],[Winter Clothes Children ]]&lt;&gt;0,Table10[[#This Row],[Winter Items Other ]]&lt;&gt;0),"No","")</f>
        <v/>
      </c>
      <c r="N124" s="115">
        <f>COUNTIF(A:A,Table10[[#This Row],[Pcode]])-1</f>
        <v>0</v>
      </c>
    </row>
    <row r="125" spans="1:14" x14ac:dyDescent="0.25">
      <c r="A125" s="102" t="s">
        <v>909</v>
      </c>
      <c r="B125" s="7" t="e">
        <f ca="1">OFFSET(#REF!,MATCH(Table10[[#This Row],[Pcode]],CampList[CP_Pcode],0)-1,0,1,1)</f>
        <v>#REF!</v>
      </c>
      <c r="C125" s="7" t="str">
        <f ca="1">OFFSET(CampList[Camp],MATCH(Table10[[#This Row],[Pcode]],CampList[CP_Pcode],0)-1,0,1,1)</f>
        <v>Namhkan - Pang Long KBC</v>
      </c>
      <c r="D125" s="7" t="str">
        <f ca="1">OFFSET(CampList[Township],MATCH(Table10[[#This Row],[Pcode]],CampList[CP_Pcode],0)-1,0,1,1)</f>
        <v>Namhkan</v>
      </c>
      <c r="E125" s="106">
        <f ca="1">OFFSET(CampList[HH],MATCH(Table10[[#This Row],[Pcode]],CampList[CP_Pcode],0)-1,0,1,1)</f>
        <v>115</v>
      </c>
      <c r="F125" s="106">
        <f ca="1">OFFSET(CampList[Total],MATCH(Table10[[#This Row],[Pcode]],CampList[CP_Pcode],0)-1,0,1,1)</f>
        <v>548</v>
      </c>
      <c r="G125" s="106">
        <f>SUMIF('NFI Distributions'!AU$53:AU$1048576,Table10[[#This Row],[Pcode]],'NFI Distributions'!AM$53:AM$1048576)</f>
        <v>0</v>
      </c>
      <c r="H125" s="106">
        <f>SUMIF('NFI Distributions'!AU$53:AU$1048576,Table10[[#This Row],[Pcode]],'NFI Distributions'!AN$53:AN$1048576)</f>
        <v>0</v>
      </c>
      <c r="I125" s="106">
        <f>SUMIF('NFI Distributions'!AU$53:AU$1048576,Table10[[#This Row],[Pcode]],'NFI Distributions'!AO$53:AO$1048576)</f>
        <v>0</v>
      </c>
      <c r="J125" s="106">
        <f ca="1">MAX(Table10[[#This Row],[HH]]*VLOOKUP("Winter Clothes Adult",NFI,6)-Table10[[#This Row],[Winter Clothes Adult ]],0)</f>
        <v>230</v>
      </c>
      <c r="K125" s="106">
        <f ca="1">MAX(Table10[[#This Row],[HH]]*VLOOKUP("Winter Clothes Children ",NFI,6)-Table10[[#This Row],[Winter Clothes Children ]],0)</f>
        <v>115</v>
      </c>
      <c r="L125" s="106">
        <f ca="1">MAX(Table10[[#This Row],[HH]]*VLOOKUP("Winter Items Other ",NFI,6)-Table10[[#This Row],[Winter Items Other ]],0)</f>
        <v>115</v>
      </c>
      <c r="M125" s="114" t="str">
        <f>IF(OR(Table10[[#This Row],[Winter Clothes Adult ]]&lt;&gt;0,Table10[[#This Row],[Winter Clothes Children ]]&lt;&gt;0,Table10[[#This Row],[Winter Items Other ]]&lt;&gt;0),"No","")</f>
        <v/>
      </c>
      <c r="N125" s="115">
        <f>COUNTIF(A:A,Table10[[#This Row],[Pcode]])-1</f>
        <v>0</v>
      </c>
    </row>
    <row r="126" spans="1:14" x14ac:dyDescent="0.25">
      <c r="A126" s="102" t="s">
        <v>269</v>
      </c>
      <c r="B126" s="7" t="e">
        <f ca="1">OFFSET(#REF!,MATCH(Table10[[#This Row],[Pcode]],CampList[CP_Pcode],0)-1,0,1,1)</f>
        <v>#REF!</v>
      </c>
      <c r="C126" s="7" t="str">
        <f ca="1">OFFSET(CampList[Camp],MATCH(Table10[[#This Row],[Pcode]],CampList[CP_Pcode],0)-1,0,1,1)</f>
        <v>Nan Kway St. John Catholic Church</v>
      </c>
      <c r="D126" s="7" t="str">
        <f ca="1">OFFSET(CampList[Township],MATCH(Table10[[#This Row],[Pcode]],CampList[CP_Pcode],0)-1,0,1,1)</f>
        <v>Myitkyina</v>
      </c>
      <c r="E126" s="106">
        <f ca="1">OFFSET(CampList[HH],MATCH(Table10[[#This Row],[Pcode]],CampList[CP_Pcode],0)-1,0,1,1)</f>
        <v>59</v>
      </c>
      <c r="F126" s="106">
        <f ca="1">OFFSET(CampList[Total],MATCH(Table10[[#This Row],[Pcode]],CampList[CP_Pcode],0)-1,0,1,1)</f>
        <v>309</v>
      </c>
      <c r="G126" s="106">
        <f>SUMIF('NFI Distributions'!AU$53:AU$1048576,Table10[[#This Row],[Pcode]],'NFI Distributions'!AM$53:AM$1048576)</f>
        <v>0</v>
      </c>
      <c r="H126" s="106">
        <f>SUMIF('NFI Distributions'!AU$53:AU$1048576,Table10[[#This Row],[Pcode]],'NFI Distributions'!AN$53:AN$1048576)</f>
        <v>0</v>
      </c>
      <c r="I126" s="106">
        <f>SUMIF('NFI Distributions'!AU$53:AU$1048576,Table10[[#This Row],[Pcode]],'NFI Distributions'!AO$53:AO$1048576)</f>
        <v>0</v>
      </c>
      <c r="J126" s="106">
        <f ca="1">MAX(Table10[[#This Row],[HH]]*VLOOKUP("Winter Clothes Adult",NFI,6)-Table10[[#This Row],[Winter Clothes Adult ]],0)</f>
        <v>118</v>
      </c>
      <c r="K126" s="106">
        <f ca="1">MAX(Table10[[#This Row],[HH]]*VLOOKUP("Winter Clothes Children ",NFI,6)-Table10[[#This Row],[Winter Clothes Children ]],0)</f>
        <v>59</v>
      </c>
      <c r="L126" s="106">
        <f ca="1">MAX(Table10[[#This Row],[HH]]*VLOOKUP("Winter Items Other ",NFI,6)-Table10[[#This Row],[Winter Items Other ]],0)</f>
        <v>59</v>
      </c>
      <c r="M126" s="114" t="str">
        <f>IF(OR(Table10[[#This Row],[Winter Clothes Adult ]]&lt;&gt;0,Table10[[#This Row],[Winter Clothes Children ]]&lt;&gt;0,Table10[[#This Row],[Winter Items Other ]]&lt;&gt;0),"No","")</f>
        <v/>
      </c>
      <c r="N126" s="115">
        <f>COUNTIF(A:A,Table10[[#This Row],[Pcode]])-1</f>
        <v>0</v>
      </c>
    </row>
    <row r="127" spans="1:14" x14ac:dyDescent="0.25">
      <c r="A127" s="102" t="s">
        <v>19</v>
      </c>
      <c r="B127" s="7" t="e">
        <f ca="1">OFFSET(#REF!,MATCH(Table10[[#This Row],[Pcode]],CampList[CP_Pcode],0)-1,0,1,1)</f>
        <v>#REF!</v>
      </c>
      <c r="C127" s="7" t="str">
        <f ca="1">OFFSET(CampList[Camp],MATCH(Table10[[#This Row],[Pcode]],CampList[CP_Pcode],0)-1,0,1,1)</f>
        <v>Nant Hlaing Church</v>
      </c>
      <c r="D127" s="7" t="str">
        <f ca="1">OFFSET(CampList[Township],MATCH(Table10[[#This Row],[Pcode]],CampList[CP_Pcode],0)-1,0,1,1)</f>
        <v>Bhamo</v>
      </c>
      <c r="E127" s="106">
        <f ca="1">OFFSET(CampList[HH],MATCH(Table10[[#This Row],[Pcode]],CampList[CP_Pcode],0)-1,0,1,1)</f>
        <v>17</v>
      </c>
      <c r="F127" s="106">
        <f ca="1">OFFSET(CampList[Total],MATCH(Table10[[#This Row],[Pcode]],CampList[CP_Pcode],0)-1,0,1,1)</f>
        <v>76</v>
      </c>
      <c r="G127" s="106">
        <f>SUMIF('NFI Distributions'!AU$53:AU$1048576,Table10[[#This Row],[Pcode]],'NFI Distributions'!AM$53:AM$1048576)</f>
        <v>0</v>
      </c>
      <c r="H127" s="106">
        <f>SUMIF('NFI Distributions'!AU$53:AU$1048576,Table10[[#This Row],[Pcode]],'NFI Distributions'!AN$53:AN$1048576)</f>
        <v>0</v>
      </c>
      <c r="I127" s="106">
        <f>SUMIF('NFI Distributions'!AU$53:AU$1048576,Table10[[#This Row],[Pcode]],'NFI Distributions'!AO$53:AO$1048576)</f>
        <v>0</v>
      </c>
      <c r="J127" s="106">
        <f ca="1">MAX(Table10[[#This Row],[HH]]*VLOOKUP("Winter Clothes Adult",NFI,6)-Table10[[#This Row],[Winter Clothes Adult ]],0)</f>
        <v>34</v>
      </c>
      <c r="K127" s="106">
        <f ca="1">MAX(Table10[[#This Row],[HH]]*VLOOKUP("Winter Clothes Children ",NFI,6)-Table10[[#This Row],[Winter Clothes Children ]],0)</f>
        <v>17</v>
      </c>
      <c r="L127" s="106">
        <f ca="1">MAX(Table10[[#This Row],[HH]]*VLOOKUP("Winter Items Other ",NFI,6)-Table10[[#This Row],[Winter Items Other ]],0)</f>
        <v>17</v>
      </c>
      <c r="M127" s="114" t="str">
        <f>IF(OR(Table10[[#This Row],[Winter Clothes Adult ]]&lt;&gt;0,Table10[[#This Row],[Winter Clothes Children ]]&lt;&gt;0,Table10[[#This Row],[Winter Items Other ]]&lt;&gt;0),"No","")</f>
        <v/>
      </c>
      <c r="N127" s="115">
        <f>COUNTIF(A:A,Table10[[#This Row],[Pcode]])-1</f>
        <v>0</v>
      </c>
    </row>
    <row r="128" spans="1:14" x14ac:dyDescent="0.25">
      <c r="A128" s="102" t="s">
        <v>107</v>
      </c>
      <c r="B128" s="7" t="e">
        <f ca="1">OFFSET(#REF!,MATCH(Table10[[#This Row],[Pcode]],CampList[CP_Pcode],0)-1,0,1,1)</f>
        <v>#REF!</v>
      </c>
      <c r="C128" s="7" t="str">
        <f ca="1">OFFSET(CampList[Camp],MATCH(Table10[[#This Row],[Pcode]],CampList[CP_Pcode],0)-1,0,1,1)</f>
        <v>Nant Ma Hpit Catholic Church</v>
      </c>
      <c r="D128" s="7" t="str">
        <f ca="1">OFFSET(CampList[Township],MATCH(Table10[[#This Row],[Pcode]],CampList[CP_Pcode],0)-1,0,1,1)</f>
        <v>Hpakant</v>
      </c>
      <c r="E128" s="106">
        <f ca="1">OFFSET(CampList[HH],MATCH(Table10[[#This Row],[Pcode]],CampList[CP_Pcode],0)-1,0,1,1)</f>
        <v>50</v>
      </c>
      <c r="F128" s="106">
        <f ca="1">OFFSET(CampList[Total],MATCH(Table10[[#This Row],[Pcode]],CampList[CP_Pcode],0)-1,0,1,1)</f>
        <v>237</v>
      </c>
      <c r="G128" s="106">
        <f>SUMIF('NFI Distributions'!AU$53:AU$1048576,Table10[[#This Row],[Pcode]],'NFI Distributions'!AM$53:AM$1048576)</f>
        <v>0</v>
      </c>
      <c r="H128" s="106">
        <f>SUMIF('NFI Distributions'!AU$53:AU$1048576,Table10[[#This Row],[Pcode]],'NFI Distributions'!AN$53:AN$1048576)</f>
        <v>0</v>
      </c>
      <c r="I128" s="106">
        <f>SUMIF('NFI Distributions'!AU$53:AU$1048576,Table10[[#This Row],[Pcode]],'NFI Distributions'!AO$53:AO$1048576)</f>
        <v>0</v>
      </c>
      <c r="J128" s="106">
        <f ca="1">MAX(Table10[[#This Row],[HH]]*VLOOKUP("Winter Clothes Adult",NFI,6)-Table10[[#This Row],[Winter Clothes Adult ]],0)</f>
        <v>100</v>
      </c>
      <c r="K128" s="106">
        <f ca="1">MAX(Table10[[#This Row],[HH]]*VLOOKUP("Winter Clothes Children ",NFI,6)-Table10[[#This Row],[Winter Clothes Children ]],0)</f>
        <v>50</v>
      </c>
      <c r="L128" s="106">
        <f ca="1">MAX(Table10[[#This Row],[HH]]*VLOOKUP("Winter Items Other ",NFI,6)-Table10[[#This Row],[Winter Items Other ]],0)</f>
        <v>50</v>
      </c>
      <c r="M128" s="114" t="str">
        <f>IF(OR(Table10[[#This Row],[Winter Clothes Adult ]]&lt;&gt;0,Table10[[#This Row],[Winter Clothes Children ]]&lt;&gt;0,Table10[[#This Row],[Winter Items Other ]]&lt;&gt;0),"No","")</f>
        <v/>
      </c>
      <c r="N128" s="115">
        <f>COUNTIF(A:A,Table10[[#This Row],[Pcode]])-1</f>
        <v>0</v>
      </c>
    </row>
    <row r="129" spans="1:14" x14ac:dyDescent="0.25">
      <c r="A129" s="102" t="s">
        <v>182</v>
      </c>
      <c r="B129" s="7" t="e">
        <f ca="1">OFFSET(#REF!,MATCH(Table10[[#This Row],[Pcode]],CampList[CP_Pcode],0)-1,0,1,1)</f>
        <v>#REF!</v>
      </c>
      <c r="C129" s="7" t="str">
        <f ca="1">OFFSET(CampList[Camp],MATCH(Table10[[#This Row],[Pcode]],CampList[CP_Pcode],0)-1,0,1,1)</f>
        <v>Nant Mun</v>
      </c>
      <c r="D129" s="7" t="str">
        <f ca="1">OFFSET(CampList[Township],MATCH(Table10[[#This Row],[Pcode]],CampList[CP_Pcode],0)-1,0,1,1)</f>
        <v>Mohnyin</v>
      </c>
      <c r="E129" s="106">
        <f ca="1">OFFSET(CampList[HH],MATCH(Table10[[#This Row],[Pcode]],CampList[CP_Pcode],0)-1,0,1,1)</f>
        <v>0</v>
      </c>
      <c r="F129" s="106">
        <f ca="1">OFFSET(CampList[Total],MATCH(Table10[[#This Row],[Pcode]],CampList[CP_Pcode],0)-1,0,1,1)</f>
        <v>0</v>
      </c>
      <c r="G129" s="106">
        <f>SUMIF('NFI Distributions'!AU$53:AU$1048576,Table10[[#This Row],[Pcode]],'NFI Distributions'!AM$53:AM$1048576)</f>
        <v>0</v>
      </c>
      <c r="H129" s="106">
        <f>SUMIF('NFI Distributions'!AU$53:AU$1048576,Table10[[#This Row],[Pcode]],'NFI Distributions'!AN$53:AN$1048576)</f>
        <v>0</v>
      </c>
      <c r="I129" s="106">
        <f>SUMIF('NFI Distributions'!AU$53:AU$1048576,Table10[[#This Row],[Pcode]],'NFI Distributions'!AO$53:AO$1048576)</f>
        <v>0</v>
      </c>
      <c r="J129" s="106">
        <f ca="1">MAX(Table10[[#This Row],[HH]]*VLOOKUP("Winter Clothes Adult",NFI,6)-Table10[[#This Row],[Winter Clothes Adult ]],0)</f>
        <v>0</v>
      </c>
      <c r="K129" s="106">
        <f ca="1">MAX(Table10[[#This Row],[HH]]*VLOOKUP("Winter Clothes Children ",NFI,6)-Table10[[#This Row],[Winter Clothes Children ]],0)</f>
        <v>0</v>
      </c>
      <c r="L129" s="106">
        <f ca="1">MAX(Table10[[#This Row],[HH]]*VLOOKUP("Winter Items Other ",NFI,6)-Table10[[#This Row],[Winter Items Other ]],0)</f>
        <v>0</v>
      </c>
      <c r="M129" s="114" t="str">
        <f>IF(OR(Table10[[#This Row],[Winter Clothes Adult ]]&lt;&gt;0,Table10[[#This Row],[Winter Clothes Children ]]&lt;&gt;0,Table10[[#This Row],[Winter Items Other ]]&lt;&gt;0),"No","")</f>
        <v/>
      </c>
      <c r="N129" s="115">
        <f>COUNTIF(A:A,Table10[[#This Row],[Pcode]])-1</f>
        <v>0</v>
      </c>
    </row>
    <row r="130" spans="1:14" x14ac:dyDescent="0.25">
      <c r="A130" s="102" t="s">
        <v>772</v>
      </c>
      <c r="B130" s="7" t="e">
        <f ca="1">OFFSET(#REF!,MATCH(Table10[[#This Row],[Pcode]],CampList[CP_Pcode],0)-1,0,1,1)</f>
        <v>#REF!</v>
      </c>
      <c r="C130" s="7" t="str">
        <f ca="1">OFFSET(CampList[Camp],MATCH(Table10[[#This Row],[Pcode]],CampList[CP_Pcode],0)-1,0,1,1)</f>
        <v>Narte</v>
      </c>
      <c r="D130" s="7" t="str">
        <f ca="1">OFFSET(CampList[Township],MATCH(Table10[[#This Row],[Pcode]],CampList[CP_Pcode],0)-1,0,1,1)</f>
        <v>Hseni</v>
      </c>
      <c r="E130" s="106">
        <f ca="1">OFFSET(CampList[HH],MATCH(Table10[[#This Row],[Pcode]],CampList[CP_Pcode],0)-1,0,1,1)</f>
        <v>67</v>
      </c>
      <c r="F130" s="106">
        <f ca="1">OFFSET(CampList[Total],MATCH(Table10[[#This Row],[Pcode]],CampList[CP_Pcode],0)-1,0,1,1)</f>
        <v>392</v>
      </c>
      <c r="G130" s="106">
        <f>SUMIF('NFI Distributions'!AU$53:AU$1048576,Table10[[#This Row],[Pcode]],'NFI Distributions'!AM$53:AM$1048576)</f>
        <v>0</v>
      </c>
      <c r="H130" s="106">
        <f>SUMIF('NFI Distributions'!AU$53:AU$1048576,Table10[[#This Row],[Pcode]],'NFI Distributions'!AN$53:AN$1048576)</f>
        <v>0</v>
      </c>
      <c r="I130" s="106">
        <f>SUMIF('NFI Distributions'!AU$53:AU$1048576,Table10[[#This Row],[Pcode]],'NFI Distributions'!AO$53:AO$1048576)</f>
        <v>0</v>
      </c>
      <c r="J130" s="106">
        <f ca="1">MAX(Table10[[#This Row],[HH]]*VLOOKUP("Winter Clothes Adult",NFI,6)-Table10[[#This Row],[Winter Clothes Adult ]],0)</f>
        <v>134</v>
      </c>
      <c r="K130" s="106">
        <f ca="1">MAX(Table10[[#This Row],[HH]]*VLOOKUP("Winter Clothes Children ",NFI,6)-Table10[[#This Row],[Winter Clothes Children ]],0)</f>
        <v>67</v>
      </c>
      <c r="L130" s="106">
        <f ca="1">MAX(Table10[[#This Row],[HH]]*VLOOKUP("Winter Items Other ",NFI,6)-Table10[[#This Row],[Winter Items Other ]],0)</f>
        <v>67</v>
      </c>
      <c r="M130" s="114" t="str">
        <f>IF(OR(Table10[[#This Row],[Winter Clothes Adult ]]&lt;&gt;0,Table10[[#This Row],[Winter Clothes Children ]]&lt;&gt;0,Table10[[#This Row],[Winter Items Other ]]&lt;&gt;0),"No","")</f>
        <v/>
      </c>
      <c r="N130" s="115">
        <f>COUNTIF(A:A,Table10[[#This Row],[Pcode]])-1</f>
        <v>0</v>
      </c>
    </row>
    <row r="131" spans="1:14" x14ac:dyDescent="0.25">
      <c r="A131" s="102" t="s">
        <v>177</v>
      </c>
      <c r="B131" s="7" t="e">
        <f ca="1">OFFSET(#REF!,MATCH(Table10[[#This Row],[Pcode]],CampList[CP_Pcode],0)-1,0,1,1)</f>
        <v>#REF!</v>
      </c>
      <c r="C131" s="7" t="str">
        <f ca="1">OFFSET(CampList[Camp],MATCH(Table10[[#This Row],[Pcode]],CampList[CP_Pcode],0)-1,0,1,1)</f>
        <v xml:space="preserve">Nat Gyi Kone Baptist Church </v>
      </c>
      <c r="D131" s="7" t="str">
        <f ca="1">OFFSET(CampList[Township],MATCH(Table10[[#This Row],[Pcode]],CampList[CP_Pcode],0)-1,0,1,1)</f>
        <v>Mogaung</v>
      </c>
      <c r="E131" s="106">
        <f ca="1">OFFSET(CampList[HH],MATCH(Table10[[#This Row],[Pcode]],CampList[CP_Pcode],0)-1,0,1,1)</f>
        <v>10</v>
      </c>
      <c r="F131" s="106">
        <f ca="1">OFFSET(CampList[Total],MATCH(Table10[[#This Row],[Pcode]],CampList[CP_Pcode],0)-1,0,1,1)</f>
        <v>42</v>
      </c>
      <c r="G131" s="106">
        <f>SUMIF('NFI Distributions'!AU$53:AU$1048576,Table10[[#This Row],[Pcode]],'NFI Distributions'!AM$53:AM$1048576)</f>
        <v>0</v>
      </c>
      <c r="H131" s="106">
        <f>SUMIF('NFI Distributions'!AU$53:AU$1048576,Table10[[#This Row],[Pcode]],'NFI Distributions'!AN$53:AN$1048576)</f>
        <v>0</v>
      </c>
      <c r="I131" s="106">
        <f>SUMIF('NFI Distributions'!AU$53:AU$1048576,Table10[[#This Row],[Pcode]],'NFI Distributions'!AO$53:AO$1048576)</f>
        <v>0</v>
      </c>
      <c r="J131" s="106">
        <f ca="1">MAX(Table10[[#This Row],[HH]]*VLOOKUP("Winter Clothes Adult",NFI,6)-Table10[[#This Row],[Winter Clothes Adult ]],0)</f>
        <v>20</v>
      </c>
      <c r="K131" s="106">
        <f ca="1">MAX(Table10[[#This Row],[HH]]*VLOOKUP("Winter Clothes Children ",NFI,6)-Table10[[#This Row],[Winter Clothes Children ]],0)</f>
        <v>10</v>
      </c>
      <c r="L131" s="106">
        <f ca="1">MAX(Table10[[#This Row],[HH]]*VLOOKUP("Winter Items Other ",NFI,6)-Table10[[#This Row],[Winter Items Other ]],0)</f>
        <v>10</v>
      </c>
      <c r="M131" s="114" t="str">
        <f>IF(OR(Table10[[#This Row],[Winter Clothes Adult ]]&lt;&gt;0,Table10[[#This Row],[Winter Clothes Children ]]&lt;&gt;0,Table10[[#This Row],[Winter Items Other ]]&lt;&gt;0),"No","")</f>
        <v/>
      </c>
      <c r="N131" s="115">
        <f>COUNTIF(A:A,Table10[[#This Row],[Pcode]])-1</f>
        <v>0</v>
      </c>
    </row>
    <row r="132" spans="1:14" x14ac:dyDescent="0.25">
      <c r="A132" s="102" t="s">
        <v>341</v>
      </c>
      <c r="B132" s="7" t="e">
        <f ca="1">OFFSET(#REF!,MATCH(Table10[[#This Row],[Pcode]],CampList[CP_Pcode],0)-1,0,1,1)</f>
        <v>#REF!</v>
      </c>
      <c r="C132" s="7" t="str">
        <f ca="1">OFFSET(CampList[Camp],MATCH(Table10[[#This Row],[Pcode]],CampList[CP_Pcode],0)-1,0,1,1)</f>
        <v>Nawng Hee Village</v>
      </c>
      <c r="D132" s="7" t="str">
        <f ca="1">OFFSET(CampList[Township],MATCH(Table10[[#This Row],[Pcode]],CampList[CP_Pcode],0)-1,0,1,1)</f>
        <v>Waingmaw</v>
      </c>
      <c r="E132" s="106">
        <f ca="1">OFFSET(CampList[HH],MATCH(Table10[[#This Row],[Pcode]],CampList[CP_Pcode],0)-1,0,1,1)</f>
        <v>19</v>
      </c>
      <c r="F132" s="106">
        <f ca="1">OFFSET(CampList[Total],MATCH(Table10[[#This Row],[Pcode]],CampList[CP_Pcode],0)-1,0,1,1)</f>
        <v>85</v>
      </c>
      <c r="G132" s="106">
        <f>SUMIF('NFI Distributions'!AU$53:AU$1048576,Table10[[#This Row],[Pcode]],'NFI Distributions'!AM$53:AM$1048576)</f>
        <v>0</v>
      </c>
      <c r="H132" s="106">
        <f>SUMIF('NFI Distributions'!AU$53:AU$1048576,Table10[[#This Row],[Pcode]],'NFI Distributions'!AN$53:AN$1048576)</f>
        <v>0</v>
      </c>
      <c r="I132" s="106">
        <f>SUMIF('NFI Distributions'!AU$53:AU$1048576,Table10[[#This Row],[Pcode]],'NFI Distributions'!AO$53:AO$1048576)</f>
        <v>0</v>
      </c>
      <c r="J132" s="106">
        <f ca="1">MAX(Table10[[#This Row],[HH]]*VLOOKUP("Winter Clothes Adult",NFI,6)-Table10[[#This Row],[Winter Clothes Adult ]],0)</f>
        <v>38</v>
      </c>
      <c r="K132" s="106">
        <f ca="1">MAX(Table10[[#This Row],[HH]]*VLOOKUP("Winter Clothes Children ",NFI,6)-Table10[[#This Row],[Winter Clothes Children ]],0)</f>
        <v>19</v>
      </c>
      <c r="L132" s="106">
        <f ca="1">MAX(Table10[[#This Row],[HH]]*VLOOKUP("Winter Items Other ",NFI,6)-Table10[[#This Row],[Winter Items Other ]],0)</f>
        <v>19</v>
      </c>
      <c r="M132" s="114" t="str">
        <f>IF(OR(Table10[[#This Row],[Winter Clothes Adult ]]&lt;&gt;0,Table10[[#This Row],[Winter Clothes Children ]]&lt;&gt;0,Table10[[#This Row],[Winter Items Other ]]&lt;&gt;0),"No","")</f>
        <v/>
      </c>
      <c r="N132" s="115">
        <f>COUNTIF(A:A,Table10[[#This Row],[Pcode]])-1</f>
        <v>0</v>
      </c>
    </row>
    <row r="133" spans="1:14" x14ac:dyDescent="0.25">
      <c r="A133" s="102" t="s">
        <v>285</v>
      </c>
      <c r="B133" s="7" t="e">
        <f ca="1">OFFSET(#REF!,MATCH(Table10[[#This Row],[Pcode]],CampList[CP_Pcode],0)-1,0,1,1)</f>
        <v>#REF!</v>
      </c>
      <c r="C133" s="7" t="str">
        <f ca="1">OFFSET(CampList[Camp],MATCH(Table10[[#This Row],[Pcode]],CampList[CP_Pcode],0)-1,0,1,1)</f>
        <v xml:space="preserve">Nawng Ing (Indawgyi) Baptist Church  </v>
      </c>
      <c r="D133" s="7" t="str">
        <f ca="1">OFFSET(CampList[Township],MATCH(Table10[[#This Row],[Pcode]],CampList[CP_Pcode],0)-1,0,1,1)</f>
        <v>Mohnyin</v>
      </c>
      <c r="E133" s="106">
        <f ca="1">OFFSET(CampList[HH],MATCH(Table10[[#This Row],[Pcode]],CampList[CP_Pcode],0)-1,0,1,1)</f>
        <v>26</v>
      </c>
      <c r="F133" s="106">
        <f ca="1">OFFSET(CampList[Total],MATCH(Table10[[#This Row],[Pcode]],CampList[CP_Pcode],0)-1,0,1,1)</f>
        <v>117</v>
      </c>
      <c r="G133" s="106">
        <f>SUMIF('NFI Distributions'!AU$53:AU$1048576,Table10[[#This Row],[Pcode]],'NFI Distributions'!AM$53:AM$1048576)</f>
        <v>0</v>
      </c>
      <c r="H133" s="106">
        <f>SUMIF('NFI Distributions'!AU$53:AU$1048576,Table10[[#This Row],[Pcode]],'NFI Distributions'!AN$53:AN$1048576)</f>
        <v>0</v>
      </c>
      <c r="I133" s="106">
        <f>SUMIF('NFI Distributions'!AU$53:AU$1048576,Table10[[#This Row],[Pcode]],'NFI Distributions'!AO$53:AO$1048576)</f>
        <v>0</v>
      </c>
      <c r="J133" s="106">
        <f ca="1">MAX(Table10[[#This Row],[HH]]*VLOOKUP("Winter Clothes Adult",NFI,6)-Table10[[#This Row],[Winter Clothes Adult ]],0)</f>
        <v>52</v>
      </c>
      <c r="K133" s="106">
        <f ca="1">MAX(Table10[[#This Row],[HH]]*VLOOKUP("Winter Clothes Children ",NFI,6)-Table10[[#This Row],[Winter Clothes Children ]],0)</f>
        <v>26</v>
      </c>
      <c r="L133" s="106">
        <f ca="1">MAX(Table10[[#This Row],[HH]]*VLOOKUP("Winter Items Other ",NFI,6)-Table10[[#This Row],[Winter Items Other ]],0)</f>
        <v>26</v>
      </c>
      <c r="M133" s="114" t="str">
        <f>IF(OR(Table10[[#This Row],[Winter Clothes Adult ]]&lt;&gt;0,Table10[[#This Row],[Winter Clothes Children ]]&lt;&gt;0,Table10[[#This Row],[Winter Items Other ]]&lt;&gt;0),"No","")</f>
        <v/>
      </c>
      <c r="N133" s="115">
        <f>COUNTIF(A:A,Table10[[#This Row],[Pcode]])-1</f>
        <v>0</v>
      </c>
    </row>
    <row r="134" spans="1:14" x14ac:dyDescent="0.25">
      <c r="A134" s="102" t="s">
        <v>216</v>
      </c>
      <c r="B134" s="7" t="e">
        <f ca="1">OFFSET(#REF!,MATCH(Table10[[#This Row],[Pcode]],CampList[CP_Pcode],0)-1,0,1,1)</f>
        <v>#REF!</v>
      </c>
      <c r="C134" s="7" t="str">
        <f ca="1">OFFSET(CampList[Camp],MATCH(Table10[[#This Row],[Pcode]],CampList[CP_Pcode],0)-1,0,1,1)</f>
        <v>Ni Thaw Ka Monestry</v>
      </c>
      <c r="D134" s="7" t="str">
        <f ca="1">OFFSET(CampList[Township],MATCH(Table10[[#This Row],[Pcode]],CampList[CP_Pcode],0)-1,0,1,1)</f>
        <v>Momauk</v>
      </c>
      <c r="E134" s="106">
        <f ca="1">OFFSET(CampList[HH],MATCH(Table10[[#This Row],[Pcode]],CampList[CP_Pcode],0)-1,0,1,1)</f>
        <v>0</v>
      </c>
      <c r="F134" s="106">
        <f ca="1">OFFSET(CampList[Total],MATCH(Table10[[#This Row],[Pcode]],CampList[CP_Pcode],0)-1,0,1,1)</f>
        <v>0</v>
      </c>
      <c r="G134" s="106">
        <f>SUMIF('NFI Distributions'!AU$53:AU$1048576,Table10[[#This Row],[Pcode]],'NFI Distributions'!AM$53:AM$1048576)</f>
        <v>0</v>
      </c>
      <c r="H134" s="106">
        <f>SUMIF('NFI Distributions'!AU$53:AU$1048576,Table10[[#This Row],[Pcode]],'NFI Distributions'!AN$53:AN$1048576)</f>
        <v>0</v>
      </c>
      <c r="I134" s="106">
        <f>SUMIF('NFI Distributions'!AU$53:AU$1048576,Table10[[#This Row],[Pcode]],'NFI Distributions'!AO$53:AO$1048576)</f>
        <v>0</v>
      </c>
      <c r="J134" s="106">
        <f ca="1">MAX(Table10[[#This Row],[HH]]*VLOOKUP("Winter Clothes Adult",NFI,6)-Table10[[#This Row],[Winter Clothes Adult ]],0)</f>
        <v>0</v>
      </c>
      <c r="K134" s="106">
        <f ca="1">MAX(Table10[[#This Row],[HH]]*VLOOKUP("Winter Clothes Children ",NFI,6)-Table10[[#This Row],[Winter Clothes Children ]],0)</f>
        <v>0</v>
      </c>
      <c r="L134" s="106">
        <f ca="1">MAX(Table10[[#This Row],[HH]]*VLOOKUP("Winter Items Other ",NFI,6)-Table10[[#This Row],[Winter Items Other ]],0)</f>
        <v>0</v>
      </c>
      <c r="M134" s="114" t="str">
        <f>IF(OR(Table10[[#This Row],[Winter Clothes Adult ]]&lt;&gt;0,Table10[[#This Row],[Winter Clothes Children ]]&lt;&gt;0,Table10[[#This Row],[Winter Items Other ]]&lt;&gt;0),"No","")</f>
        <v/>
      </c>
      <c r="N134" s="115">
        <f>COUNTIF(A:A,Table10[[#This Row],[Pcode]])-1</f>
        <v>0</v>
      </c>
    </row>
    <row r="135" spans="1:14" x14ac:dyDescent="0.25">
      <c r="A135" s="102" t="s">
        <v>267</v>
      </c>
      <c r="B135" s="7" t="e">
        <f ca="1">OFFSET(#REF!,MATCH(Table10[[#This Row],[Pcode]],CampList[CP_Pcode],0)-1,0,1,1)</f>
        <v>#REF!</v>
      </c>
      <c r="C135" s="7" t="str">
        <f ca="1">OFFSET(CampList[Camp],MATCH(Table10[[#This Row],[Pcode]],CampList[CP_Pcode],0)-1,0,1,1)</f>
        <v xml:space="preserve">Njang Dung Baptist Church </v>
      </c>
      <c r="D135" s="7" t="str">
        <f ca="1">OFFSET(CampList[Township],MATCH(Table10[[#This Row],[Pcode]],CampList[CP_Pcode],0)-1,0,1,1)</f>
        <v>Myitkyina</v>
      </c>
      <c r="E135" s="106">
        <f ca="1">OFFSET(CampList[HH],MATCH(Table10[[#This Row],[Pcode]],CampList[CP_Pcode],0)-1,0,1,1)</f>
        <v>68</v>
      </c>
      <c r="F135" s="106">
        <f ca="1">OFFSET(CampList[Total],MATCH(Table10[[#This Row],[Pcode]],CampList[CP_Pcode],0)-1,0,1,1)</f>
        <v>298</v>
      </c>
      <c r="G135" s="106">
        <f>SUMIF('NFI Distributions'!AU$53:AU$1048576,Table10[[#This Row],[Pcode]],'NFI Distributions'!AM$53:AM$1048576)</f>
        <v>0</v>
      </c>
      <c r="H135" s="106">
        <f>SUMIF('NFI Distributions'!AU$53:AU$1048576,Table10[[#This Row],[Pcode]],'NFI Distributions'!AN$53:AN$1048576)</f>
        <v>0</v>
      </c>
      <c r="I135" s="106">
        <f>SUMIF('NFI Distributions'!AU$53:AU$1048576,Table10[[#This Row],[Pcode]],'NFI Distributions'!AO$53:AO$1048576)</f>
        <v>0</v>
      </c>
      <c r="J135" s="106">
        <f ca="1">MAX(Table10[[#This Row],[HH]]*VLOOKUP("Winter Clothes Adult",NFI,6)-Table10[[#This Row],[Winter Clothes Adult ]],0)</f>
        <v>136</v>
      </c>
      <c r="K135" s="106">
        <f ca="1">MAX(Table10[[#This Row],[HH]]*VLOOKUP("Winter Clothes Children ",NFI,6)-Table10[[#This Row],[Winter Clothes Children ]],0)</f>
        <v>68</v>
      </c>
      <c r="L135" s="106">
        <f ca="1">MAX(Table10[[#This Row],[HH]]*VLOOKUP("Winter Items Other ",NFI,6)-Table10[[#This Row],[Winter Items Other ]],0)</f>
        <v>68</v>
      </c>
      <c r="M135" s="114" t="str">
        <f>IF(OR(Table10[[#This Row],[Winter Clothes Adult ]]&lt;&gt;0,Table10[[#This Row],[Winter Clothes Children ]]&lt;&gt;0,Table10[[#This Row],[Winter Items Other ]]&lt;&gt;0),"No","")</f>
        <v/>
      </c>
      <c r="N135" s="115">
        <f>COUNTIF(A:A,Table10[[#This Row],[Pcode]])-1</f>
        <v>0</v>
      </c>
    </row>
    <row r="136" spans="1:14" x14ac:dyDescent="0.25">
      <c r="A136" s="102" t="s">
        <v>271</v>
      </c>
      <c r="B136" s="7" t="e">
        <f ca="1">OFFSET(#REF!,MATCH(Table10[[#This Row],[Pcode]],CampList[CP_Pcode],0)-1,0,1,1)</f>
        <v>#REF!</v>
      </c>
      <c r="C136" s="7" t="str">
        <f ca="1">OFFSET(CampList[Camp],MATCH(Table10[[#This Row],[Pcode]],CampList[CP_Pcode],0)-1,0,1,1)</f>
        <v>Pa Dauk Myaing(Pa La Na)</v>
      </c>
      <c r="D136" s="7" t="str">
        <f ca="1">OFFSET(CampList[Township],MATCH(Table10[[#This Row],[Pcode]],CampList[CP_Pcode],0)-1,0,1,1)</f>
        <v>Myitkyina</v>
      </c>
      <c r="E136" s="106">
        <f ca="1">OFFSET(CampList[HH],MATCH(Table10[[#This Row],[Pcode]],CampList[CP_Pcode],0)-1,0,1,1)</f>
        <v>138</v>
      </c>
      <c r="F136" s="106">
        <f ca="1">OFFSET(CampList[Total],MATCH(Table10[[#This Row],[Pcode]],CampList[CP_Pcode],0)-1,0,1,1)</f>
        <v>800</v>
      </c>
      <c r="G136" s="106">
        <f>SUMIF('NFI Distributions'!AU$53:AU$1048576,Table10[[#This Row],[Pcode]],'NFI Distributions'!AM$53:AM$1048576)</f>
        <v>0</v>
      </c>
      <c r="H136" s="106">
        <f>SUMIF('NFI Distributions'!AU$53:AU$1048576,Table10[[#This Row],[Pcode]],'NFI Distributions'!AN$53:AN$1048576)</f>
        <v>0</v>
      </c>
      <c r="I136" s="106">
        <f>SUMIF('NFI Distributions'!AU$53:AU$1048576,Table10[[#This Row],[Pcode]],'NFI Distributions'!AO$53:AO$1048576)</f>
        <v>0</v>
      </c>
      <c r="J136" s="106">
        <f ca="1">MAX(Table10[[#This Row],[HH]]*VLOOKUP("Winter Clothes Adult",NFI,6)-Table10[[#This Row],[Winter Clothes Adult ]],0)</f>
        <v>276</v>
      </c>
      <c r="K136" s="106">
        <f ca="1">MAX(Table10[[#This Row],[HH]]*VLOOKUP("Winter Clothes Children ",NFI,6)-Table10[[#This Row],[Winter Clothes Children ]],0)</f>
        <v>138</v>
      </c>
      <c r="L136" s="106">
        <f ca="1">MAX(Table10[[#This Row],[HH]]*VLOOKUP("Winter Items Other ",NFI,6)-Table10[[#This Row],[Winter Items Other ]],0)</f>
        <v>138</v>
      </c>
      <c r="M136" s="114" t="str">
        <f>IF(OR(Table10[[#This Row],[Winter Clothes Adult ]]&lt;&gt;0,Table10[[#This Row],[Winter Clothes Children ]]&lt;&gt;0,Table10[[#This Row],[Winter Items Other ]]&lt;&gt;0),"No","")</f>
        <v/>
      </c>
      <c r="N136" s="115">
        <f>COUNTIF(A:A,Table10[[#This Row],[Pcode]])-1</f>
        <v>0</v>
      </c>
    </row>
    <row r="137" spans="1:14" x14ac:dyDescent="0.25">
      <c r="A137" s="102" t="s">
        <v>374</v>
      </c>
      <c r="B137" s="7" t="e">
        <f ca="1">OFFSET(#REF!,MATCH(Table10[[#This Row],[Pcode]],CampList[CP_Pcode],0)-1,0,1,1)</f>
        <v>#REF!</v>
      </c>
      <c r="C137" s="7" t="str">
        <f ca="1">OFFSET(CampList[Camp],MATCH(Table10[[#This Row],[Pcode]],CampList[CP_Pcode],0)-1,0,1,1)</f>
        <v>Phan Khar Kone</v>
      </c>
      <c r="D137" s="7" t="str">
        <f ca="1">OFFSET(CampList[Township],MATCH(Table10[[#This Row],[Pcode]],CampList[CP_Pcode],0)-1,0,1,1)</f>
        <v>Bhamo</v>
      </c>
      <c r="E137" s="106">
        <f ca="1">OFFSET(CampList[HH],MATCH(Table10[[#This Row],[Pcode]],CampList[CP_Pcode],0)-1,0,1,1)</f>
        <v>147</v>
      </c>
      <c r="F137" s="106">
        <f ca="1">OFFSET(CampList[Total],MATCH(Table10[[#This Row],[Pcode]],CampList[CP_Pcode],0)-1,0,1,1)</f>
        <v>764</v>
      </c>
      <c r="G137" s="106">
        <f>SUMIF('NFI Distributions'!AU$53:AU$1048576,Table10[[#This Row],[Pcode]],'NFI Distributions'!AM$53:AM$1048576)</f>
        <v>0</v>
      </c>
      <c r="H137" s="106">
        <f>SUMIF('NFI Distributions'!AU$53:AU$1048576,Table10[[#This Row],[Pcode]],'NFI Distributions'!AN$53:AN$1048576)</f>
        <v>0</v>
      </c>
      <c r="I137" s="106">
        <f>SUMIF('NFI Distributions'!AU$53:AU$1048576,Table10[[#This Row],[Pcode]],'NFI Distributions'!AO$53:AO$1048576)</f>
        <v>0</v>
      </c>
      <c r="J137" s="106">
        <f ca="1">MAX(Table10[[#This Row],[HH]]*VLOOKUP("Winter Clothes Adult",NFI,6)-Table10[[#This Row],[Winter Clothes Adult ]],0)</f>
        <v>294</v>
      </c>
      <c r="K137" s="106">
        <f ca="1">MAX(Table10[[#This Row],[HH]]*VLOOKUP("Winter Clothes Children ",NFI,6)-Table10[[#This Row],[Winter Clothes Children ]],0)</f>
        <v>147</v>
      </c>
      <c r="L137" s="106">
        <f ca="1">MAX(Table10[[#This Row],[HH]]*VLOOKUP("Winter Items Other ",NFI,6)-Table10[[#This Row],[Winter Items Other ]],0)</f>
        <v>147</v>
      </c>
      <c r="M137" s="114" t="str">
        <f>IF(OR(Table10[[#This Row],[Winter Clothes Adult ]]&lt;&gt;0,Table10[[#This Row],[Winter Clothes Children ]]&lt;&gt;0,Table10[[#This Row],[Winter Items Other ]]&lt;&gt;0),"No","")</f>
        <v/>
      </c>
      <c r="N137" s="115">
        <f>COUNTIF(A:A,Table10[[#This Row],[Pcode]])-1</f>
        <v>0</v>
      </c>
    </row>
    <row r="138" spans="1:14" x14ac:dyDescent="0.25">
      <c r="A138" s="102" t="s">
        <v>220</v>
      </c>
      <c r="B138" s="7" t="e">
        <f ca="1">OFFSET(#REF!,MATCH(Table10[[#This Row],[Pcode]],CampList[CP_Pcode],0)-1,0,1,1)</f>
        <v>#REF!</v>
      </c>
      <c r="C138" s="7" t="str">
        <f ca="1">OFFSET(CampList[Camp],MATCH(Table10[[#This Row],[Pcode]],CampList[CP_Pcode],0)-1,0,1,1)</f>
        <v xml:space="preserve">Phar Kay/Nant Waing </v>
      </c>
      <c r="D138" s="7" t="str">
        <f ca="1">OFFSET(CampList[Township],MATCH(Table10[[#This Row],[Pcode]],CampList[CP_Pcode],0)-1,0,1,1)</f>
        <v>Momauk</v>
      </c>
      <c r="E138" s="106">
        <f ca="1">OFFSET(CampList[HH],MATCH(Table10[[#This Row],[Pcode]],CampList[CP_Pcode],0)-1,0,1,1)</f>
        <v>0</v>
      </c>
      <c r="F138" s="106">
        <f ca="1">OFFSET(CampList[Total],MATCH(Table10[[#This Row],[Pcode]],CampList[CP_Pcode],0)-1,0,1,1)</f>
        <v>0</v>
      </c>
      <c r="G138" s="106">
        <f>SUMIF('NFI Distributions'!AU$53:AU$1048576,Table10[[#This Row],[Pcode]],'NFI Distributions'!AM$53:AM$1048576)</f>
        <v>0</v>
      </c>
      <c r="H138" s="106">
        <f>SUMIF('NFI Distributions'!AU$53:AU$1048576,Table10[[#This Row],[Pcode]],'NFI Distributions'!AN$53:AN$1048576)</f>
        <v>0</v>
      </c>
      <c r="I138" s="106">
        <f>SUMIF('NFI Distributions'!AU$53:AU$1048576,Table10[[#This Row],[Pcode]],'NFI Distributions'!AO$53:AO$1048576)</f>
        <v>0</v>
      </c>
      <c r="J138" s="106">
        <f ca="1">MAX(Table10[[#This Row],[HH]]*VLOOKUP("Winter Clothes Adult",NFI,6)-Table10[[#This Row],[Winter Clothes Adult ]],0)</f>
        <v>0</v>
      </c>
      <c r="K138" s="106">
        <f ca="1">MAX(Table10[[#This Row],[HH]]*VLOOKUP("Winter Clothes Children ",NFI,6)-Table10[[#This Row],[Winter Clothes Children ]],0)</f>
        <v>0</v>
      </c>
      <c r="L138" s="106">
        <f ca="1">MAX(Table10[[#This Row],[HH]]*VLOOKUP("Winter Items Other ",NFI,6)-Table10[[#This Row],[Winter Items Other ]],0)</f>
        <v>0</v>
      </c>
      <c r="M138" s="114" t="str">
        <f>IF(OR(Table10[[#This Row],[Winter Clothes Adult ]]&lt;&gt;0,Table10[[#This Row],[Winter Clothes Children ]]&lt;&gt;0,Table10[[#This Row],[Winter Items Other ]]&lt;&gt;0),"No","")</f>
        <v/>
      </c>
      <c r="N138" s="115">
        <f>COUNTIF(A:A,Table10[[#This Row],[Pcode]])-1</f>
        <v>0</v>
      </c>
    </row>
    <row r="139" spans="1:14" x14ac:dyDescent="0.25">
      <c r="A139" s="102" t="s">
        <v>316</v>
      </c>
      <c r="B139" s="7" t="e">
        <f ca="1">OFFSET(#REF!,MATCH(Table10[[#This Row],[Pcode]],CampList[CP_Pcode],0)-1,0,1,1)</f>
        <v>#REF!</v>
      </c>
      <c r="C139" s="7" t="str">
        <f ca="1">OFFSET(CampList[Camp],MATCH(Table10[[#This Row],[Pcode]],CampList[CP_Pcode],0)-1,0,1,1)</f>
        <v>Qtr. 2 Lhaovo Baptist Church</v>
      </c>
      <c r="D139" s="7" t="str">
        <f ca="1">OFFSET(CampList[Township],MATCH(Table10[[#This Row],[Pcode]],CampList[CP_Pcode],0)-1,0,1,1)</f>
        <v>Waingmaw</v>
      </c>
      <c r="E139" s="106">
        <f ca="1">OFFSET(CampList[HH],MATCH(Table10[[#This Row],[Pcode]],CampList[CP_Pcode],0)-1,0,1,1)</f>
        <v>121</v>
      </c>
      <c r="F139" s="106">
        <f ca="1">OFFSET(CampList[Total],MATCH(Table10[[#This Row],[Pcode]],CampList[CP_Pcode],0)-1,0,1,1)</f>
        <v>510</v>
      </c>
      <c r="G139" s="106">
        <f>SUMIF('NFI Distributions'!AU$53:AU$1048576,Table10[[#This Row],[Pcode]],'NFI Distributions'!AM$53:AM$1048576)</f>
        <v>0</v>
      </c>
      <c r="H139" s="106">
        <f>SUMIF('NFI Distributions'!AU$53:AU$1048576,Table10[[#This Row],[Pcode]],'NFI Distributions'!AN$53:AN$1048576)</f>
        <v>0</v>
      </c>
      <c r="I139" s="106">
        <f>SUMIF('NFI Distributions'!AU$53:AU$1048576,Table10[[#This Row],[Pcode]],'NFI Distributions'!AO$53:AO$1048576)</f>
        <v>0</v>
      </c>
      <c r="J139" s="106">
        <f ca="1">MAX(Table10[[#This Row],[HH]]*VLOOKUP("Winter Clothes Adult",NFI,6)-Table10[[#This Row],[Winter Clothes Adult ]],0)</f>
        <v>242</v>
      </c>
      <c r="K139" s="106">
        <f ca="1">MAX(Table10[[#This Row],[HH]]*VLOOKUP("Winter Clothes Children ",NFI,6)-Table10[[#This Row],[Winter Clothes Children ]],0)</f>
        <v>121</v>
      </c>
      <c r="L139" s="106">
        <f ca="1">MAX(Table10[[#This Row],[HH]]*VLOOKUP("Winter Items Other ",NFI,6)-Table10[[#This Row],[Winter Items Other ]],0)</f>
        <v>121</v>
      </c>
      <c r="M139" s="114" t="str">
        <f>IF(OR(Table10[[#This Row],[Winter Clothes Adult ]]&lt;&gt;0,Table10[[#This Row],[Winter Clothes Children ]]&lt;&gt;0,Table10[[#This Row],[Winter Items Other ]]&lt;&gt;0),"No","")</f>
        <v/>
      </c>
      <c r="N139" s="115">
        <f>COUNTIF(A:A,Table10[[#This Row],[Pcode]])-1</f>
        <v>0</v>
      </c>
    </row>
    <row r="140" spans="1:14" x14ac:dyDescent="0.25">
      <c r="A140" s="102" t="s">
        <v>339</v>
      </c>
      <c r="B140" s="7" t="e">
        <f ca="1">OFFSET(#REF!,MATCH(Table10[[#This Row],[Pcode]],CampList[CP_Pcode],0)-1,0,1,1)</f>
        <v>#REF!</v>
      </c>
      <c r="C140" s="7" t="str">
        <f ca="1">OFFSET(CampList[Camp],MATCH(Table10[[#This Row],[Pcode]],CampList[CP_Pcode],0)-1,0,1,1)</f>
        <v>Qtr. 2 Myoma Baptist Church</v>
      </c>
      <c r="D140" s="7" t="str">
        <f ca="1">OFFSET(CampList[Township],MATCH(Table10[[#This Row],[Pcode]],CampList[CP_Pcode],0)-1,0,1,1)</f>
        <v>Waingmaw</v>
      </c>
      <c r="E140" s="106">
        <f ca="1">OFFSET(CampList[HH],MATCH(Table10[[#This Row],[Pcode]],CampList[CP_Pcode],0)-1,0,1,1)</f>
        <v>66</v>
      </c>
      <c r="F140" s="106">
        <f ca="1">OFFSET(CampList[Total],MATCH(Table10[[#This Row],[Pcode]],CampList[CP_Pcode],0)-1,0,1,1)</f>
        <v>338</v>
      </c>
      <c r="G140" s="106">
        <f>SUMIF('NFI Distributions'!AU$53:AU$1048576,Table10[[#This Row],[Pcode]],'NFI Distributions'!AM$53:AM$1048576)</f>
        <v>0</v>
      </c>
      <c r="H140" s="106">
        <f>SUMIF('NFI Distributions'!AU$53:AU$1048576,Table10[[#This Row],[Pcode]],'NFI Distributions'!AN$53:AN$1048576)</f>
        <v>0</v>
      </c>
      <c r="I140" s="106">
        <f>SUMIF('NFI Distributions'!AU$53:AU$1048576,Table10[[#This Row],[Pcode]],'NFI Distributions'!AO$53:AO$1048576)</f>
        <v>0</v>
      </c>
      <c r="J140" s="106">
        <f ca="1">MAX(Table10[[#This Row],[HH]]*VLOOKUP("Winter Clothes Adult",NFI,6)-Table10[[#This Row],[Winter Clothes Adult ]],0)</f>
        <v>132</v>
      </c>
      <c r="K140" s="106">
        <f ca="1">MAX(Table10[[#This Row],[HH]]*VLOOKUP("Winter Clothes Children ",NFI,6)-Table10[[#This Row],[Winter Clothes Children ]],0)</f>
        <v>66</v>
      </c>
      <c r="L140" s="106">
        <f ca="1">MAX(Table10[[#This Row],[HH]]*VLOOKUP("Winter Items Other ",NFI,6)-Table10[[#This Row],[Winter Items Other ]],0)</f>
        <v>66</v>
      </c>
      <c r="M140" s="114" t="str">
        <f>IF(OR(Table10[[#This Row],[Winter Clothes Adult ]]&lt;&gt;0,Table10[[#This Row],[Winter Clothes Children ]]&lt;&gt;0,Table10[[#This Row],[Winter Items Other ]]&lt;&gt;0),"No","")</f>
        <v/>
      </c>
      <c r="N140" s="115">
        <f>COUNTIF(A:A,Table10[[#This Row],[Pcode]])-1</f>
        <v>0</v>
      </c>
    </row>
    <row r="141" spans="1:14" x14ac:dyDescent="0.25">
      <c r="A141" s="102" t="s">
        <v>336</v>
      </c>
      <c r="B141" s="7" t="e">
        <f ca="1">OFFSET(#REF!,MATCH(Table10[[#This Row],[Pcode]],CampList[CP_Pcode],0)-1,0,1,1)</f>
        <v>#REF!</v>
      </c>
      <c r="C141" s="7" t="str">
        <f ca="1">OFFSET(CampList[Camp],MATCH(Table10[[#This Row],[Pcode]],CampList[CP_Pcode],0)-1,0,1,1)</f>
        <v>Qtr. 3 Mu-yin  Baptist Church</v>
      </c>
      <c r="D141" s="7" t="str">
        <f ca="1">OFFSET(CampList[Township],MATCH(Table10[[#This Row],[Pcode]],CampList[CP_Pcode],0)-1,0,1,1)</f>
        <v>Waingmaw</v>
      </c>
      <c r="E141" s="106">
        <f ca="1">OFFSET(CampList[HH],MATCH(Table10[[#This Row],[Pcode]],CampList[CP_Pcode],0)-1,0,1,1)</f>
        <v>36</v>
      </c>
      <c r="F141" s="106">
        <f ca="1">OFFSET(CampList[Total],MATCH(Table10[[#This Row],[Pcode]],CampList[CP_Pcode],0)-1,0,1,1)</f>
        <v>185</v>
      </c>
      <c r="G141" s="106">
        <f>SUMIF('NFI Distributions'!AU$53:AU$1048576,Table10[[#This Row],[Pcode]],'NFI Distributions'!AM$53:AM$1048576)</f>
        <v>0</v>
      </c>
      <c r="H141" s="106">
        <f>SUMIF('NFI Distributions'!AU$53:AU$1048576,Table10[[#This Row],[Pcode]],'NFI Distributions'!AN$53:AN$1048576)</f>
        <v>0</v>
      </c>
      <c r="I141" s="106">
        <f>SUMIF('NFI Distributions'!AU$53:AU$1048576,Table10[[#This Row],[Pcode]],'NFI Distributions'!AO$53:AO$1048576)</f>
        <v>0</v>
      </c>
      <c r="J141" s="106">
        <f ca="1">MAX(Table10[[#This Row],[HH]]*VLOOKUP("Winter Clothes Adult",NFI,6)-Table10[[#This Row],[Winter Clothes Adult ]],0)</f>
        <v>72</v>
      </c>
      <c r="K141" s="106">
        <f ca="1">MAX(Table10[[#This Row],[HH]]*VLOOKUP("Winter Clothes Children ",NFI,6)-Table10[[#This Row],[Winter Clothes Children ]],0)</f>
        <v>36</v>
      </c>
      <c r="L141" s="106">
        <f ca="1">MAX(Table10[[#This Row],[HH]]*VLOOKUP("Winter Items Other ",NFI,6)-Table10[[#This Row],[Winter Items Other ]],0)</f>
        <v>36</v>
      </c>
      <c r="M141" s="114" t="str">
        <f>IF(OR(Table10[[#This Row],[Winter Clothes Adult ]]&lt;&gt;0,Table10[[#This Row],[Winter Clothes Children ]]&lt;&gt;0,Table10[[#This Row],[Winter Items Other ]]&lt;&gt;0),"No","")</f>
        <v/>
      </c>
      <c r="N141" s="115">
        <f>COUNTIF(A:A,Table10[[#This Row],[Pcode]])-1</f>
        <v>0</v>
      </c>
    </row>
    <row r="142" spans="1:14" x14ac:dyDescent="0.25">
      <c r="A142" s="102" t="s">
        <v>348</v>
      </c>
      <c r="B142" s="7" t="e">
        <f ca="1">OFFSET(#REF!,MATCH(Table10[[#This Row],[Pcode]],CampList[CP_Pcode],0)-1,0,1,1)</f>
        <v>#REF!</v>
      </c>
      <c r="C142" s="7" t="str">
        <f ca="1">OFFSET(CampList[Camp],MATCH(Table10[[#This Row],[Pcode]],CampList[CP_Pcode],0)-1,0,1,1)</f>
        <v>Qtr. 4 Monestry (Thargaya Thayett Taw)</v>
      </c>
      <c r="D142" s="7" t="str">
        <f ca="1">OFFSET(CampList[Township],MATCH(Table10[[#This Row],[Pcode]],CampList[CP_Pcode],0)-1,0,1,1)</f>
        <v>Waingmaw</v>
      </c>
      <c r="E142" s="106">
        <f ca="1">OFFSET(CampList[HH],MATCH(Table10[[#This Row],[Pcode]],CampList[CP_Pcode],0)-1,0,1,1)</f>
        <v>92</v>
      </c>
      <c r="F142" s="106">
        <f ca="1">OFFSET(CampList[Total],MATCH(Table10[[#This Row],[Pcode]],CampList[CP_Pcode],0)-1,0,1,1)</f>
        <v>505</v>
      </c>
      <c r="G142" s="106">
        <f>SUMIF('NFI Distributions'!AU$53:AU$1048576,Table10[[#This Row],[Pcode]],'NFI Distributions'!AM$53:AM$1048576)</f>
        <v>0</v>
      </c>
      <c r="H142" s="106">
        <f>SUMIF('NFI Distributions'!AU$53:AU$1048576,Table10[[#This Row],[Pcode]],'NFI Distributions'!AN$53:AN$1048576)</f>
        <v>0</v>
      </c>
      <c r="I142" s="106">
        <f>SUMIF('NFI Distributions'!AU$53:AU$1048576,Table10[[#This Row],[Pcode]],'NFI Distributions'!AO$53:AO$1048576)</f>
        <v>0</v>
      </c>
      <c r="J142" s="106">
        <f ca="1">MAX(Table10[[#This Row],[HH]]*VLOOKUP("Winter Clothes Adult",NFI,6)-Table10[[#This Row],[Winter Clothes Adult ]],0)</f>
        <v>184</v>
      </c>
      <c r="K142" s="106">
        <f ca="1">MAX(Table10[[#This Row],[HH]]*VLOOKUP("Winter Clothes Children ",NFI,6)-Table10[[#This Row],[Winter Clothes Children ]],0)</f>
        <v>92</v>
      </c>
      <c r="L142" s="106">
        <f ca="1">MAX(Table10[[#This Row],[HH]]*VLOOKUP("Winter Items Other ",NFI,6)-Table10[[#This Row],[Winter Items Other ]],0)</f>
        <v>92</v>
      </c>
      <c r="M142" s="114" t="str">
        <f>IF(OR(Table10[[#This Row],[Winter Clothes Adult ]]&lt;&gt;0,Table10[[#This Row],[Winter Clothes Children ]]&lt;&gt;0,Table10[[#This Row],[Winter Items Other ]]&lt;&gt;0),"No","")</f>
        <v/>
      </c>
      <c r="N142" s="115">
        <f>COUNTIF(A:A,Table10[[#This Row],[Pcode]])-1</f>
        <v>0</v>
      </c>
    </row>
    <row r="143" spans="1:14" x14ac:dyDescent="0.25">
      <c r="A143" s="102" t="s">
        <v>117</v>
      </c>
      <c r="B143" s="7" t="e">
        <f ca="1">OFFSET(#REF!,MATCH(Table10[[#This Row],[Pcode]],CampList[CP_Pcode],0)-1,0,1,1)</f>
        <v>#REF!</v>
      </c>
      <c r="C143" s="7" t="str">
        <f ca="1">OFFSET(CampList[Camp],MATCH(Table10[[#This Row],[Pcode]],CampList[CP_Pcode],0)-1,0,1,1)</f>
        <v>Rawan Baptist Church, Maw Shan Vil., Seik Mu</v>
      </c>
      <c r="D143" s="7" t="str">
        <f ca="1">OFFSET(CampList[Township],MATCH(Table10[[#This Row],[Pcode]],CampList[CP_Pcode],0)-1,0,1,1)</f>
        <v>Hpakant</v>
      </c>
      <c r="E143" s="106">
        <f ca="1">OFFSET(CampList[HH],MATCH(Table10[[#This Row],[Pcode]],CampList[CP_Pcode],0)-1,0,1,1)</f>
        <v>10</v>
      </c>
      <c r="F143" s="106">
        <f ca="1">OFFSET(CampList[Total],MATCH(Table10[[#This Row],[Pcode]],CampList[CP_Pcode],0)-1,0,1,1)</f>
        <v>38</v>
      </c>
      <c r="G143" s="106">
        <f>SUMIF('NFI Distributions'!AU$53:AU$1048576,Table10[[#This Row],[Pcode]],'NFI Distributions'!AM$53:AM$1048576)</f>
        <v>0</v>
      </c>
      <c r="H143" s="106">
        <f>SUMIF('NFI Distributions'!AU$53:AU$1048576,Table10[[#This Row],[Pcode]],'NFI Distributions'!AN$53:AN$1048576)</f>
        <v>0</v>
      </c>
      <c r="I143" s="106">
        <f>SUMIF('NFI Distributions'!AU$53:AU$1048576,Table10[[#This Row],[Pcode]],'NFI Distributions'!AO$53:AO$1048576)</f>
        <v>0</v>
      </c>
      <c r="J143" s="106">
        <f ca="1">MAX(Table10[[#This Row],[HH]]*VLOOKUP("Winter Clothes Adult",NFI,6)-Table10[[#This Row],[Winter Clothes Adult ]],0)</f>
        <v>20</v>
      </c>
      <c r="K143" s="106">
        <f ca="1">MAX(Table10[[#This Row],[HH]]*VLOOKUP("Winter Clothes Children ",NFI,6)-Table10[[#This Row],[Winter Clothes Children ]],0)</f>
        <v>10</v>
      </c>
      <c r="L143" s="106">
        <f ca="1">MAX(Table10[[#This Row],[HH]]*VLOOKUP("Winter Items Other ",NFI,6)-Table10[[#This Row],[Winter Items Other ]],0)</f>
        <v>10</v>
      </c>
      <c r="M143" s="114" t="str">
        <f>IF(OR(Table10[[#This Row],[Winter Clothes Adult ]]&lt;&gt;0,Table10[[#This Row],[Winter Clothes Children ]]&lt;&gt;0,Table10[[#This Row],[Winter Items Other ]]&lt;&gt;0),"No","")</f>
        <v/>
      </c>
      <c r="N143" s="115">
        <f>COUNTIF(A:A,Table10[[#This Row],[Pcode]])-1</f>
        <v>0</v>
      </c>
    </row>
    <row r="144" spans="1:14" x14ac:dyDescent="0.25">
      <c r="A144" s="102" t="s">
        <v>21</v>
      </c>
      <c r="B144" s="7" t="e">
        <f ca="1">OFFSET(#REF!,MATCH(Table10[[#This Row],[Pcode]],CampList[CP_Pcode],0)-1,0,1,1)</f>
        <v>#REF!</v>
      </c>
      <c r="C144" s="7" t="str">
        <f ca="1">OFFSET(CampList[Camp],MATCH(Table10[[#This Row],[Pcode]],CampList[CP_Pcode],0)-1,0,1,1)</f>
        <v>Robert Church</v>
      </c>
      <c r="D144" s="7" t="str">
        <f ca="1">OFFSET(CampList[Township],MATCH(Table10[[#This Row],[Pcode]],CampList[CP_Pcode],0)-1,0,1,1)</f>
        <v>Bhamo</v>
      </c>
      <c r="E144" s="106">
        <f ca="1">OFFSET(CampList[HH],MATCH(Table10[[#This Row],[Pcode]],CampList[CP_Pcode],0)-1,0,1,1)</f>
        <v>641</v>
      </c>
      <c r="F144" s="106">
        <f ca="1">OFFSET(CampList[Total],MATCH(Table10[[#This Row],[Pcode]],CampList[CP_Pcode],0)-1,0,1,1)</f>
        <v>4010</v>
      </c>
      <c r="G144" s="106">
        <f>SUMIF('NFI Distributions'!AU$53:AU$1048576,Table10[[#This Row],[Pcode]],'NFI Distributions'!AM$53:AM$1048576)</f>
        <v>0</v>
      </c>
      <c r="H144" s="106">
        <f>SUMIF('NFI Distributions'!AU$53:AU$1048576,Table10[[#This Row],[Pcode]],'NFI Distributions'!AN$53:AN$1048576)</f>
        <v>0</v>
      </c>
      <c r="I144" s="106">
        <f>SUMIF('NFI Distributions'!AU$53:AU$1048576,Table10[[#This Row],[Pcode]],'NFI Distributions'!AO$53:AO$1048576)</f>
        <v>0</v>
      </c>
      <c r="J144" s="106">
        <f ca="1">MAX(Table10[[#This Row],[HH]]*VLOOKUP("Winter Clothes Adult",NFI,6)-Table10[[#This Row],[Winter Clothes Adult ]],0)</f>
        <v>1282</v>
      </c>
      <c r="K144" s="106">
        <f ca="1">MAX(Table10[[#This Row],[HH]]*VLOOKUP("Winter Clothes Children ",NFI,6)-Table10[[#This Row],[Winter Clothes Children ]],0)</f>
        <v>641</v>
      </c>
      <c r="L144" s="106">
        <f ca="1">MAX(Table10[[#This Row],[HH]]*VLOOKUP("Winter Items Other ",NFI,6)-Table10[[#This Row],[Winter Items Other ]],0)</f>
        <v>641</v>
      </c>
      <c r="M144" s="114" t="str">
        <f>IF(OR(Table10[[#This Row],[Winter Clothes Adult ]]&lt;&gt;0,Table10[[#This Row],[Winter Clothes Children ]]&lt;&gt;0,Table10[[#This Row],[Winter Items Other ]]&lt;&gt;0),"No","")</f>
        <v/>
      </c>
      <c r="N144" s="115">
        <f>COUNTIF(A:A,Table10[[#This Row],[Pcode]])-1</f>
        <v>0</v>
      </c>
    </row>
    <row r="145" spans="1:14" x14ac:dyDescent="0.25">
      <c r="A145" s="102" t="s">
        <v>123</v>
      </c>
      <c r="B145" s="7" t="e">
        <f ca="1">OFFSET(#REF!,MATCH(Table10[[#This Row],[Pcode]],CampList[CP_Pcode],0)-1,0,1,1)</f>
        <v>#REF!</v>
      </c>
      <c r="C145" s="7" t="str">
        <f ca="1">OFFSET(CampList[Camp],MATCH(Table10[[#This Row],[Pcode]],CampList[CP_Pcode],0)-1,0,1,1)</f>
        <v>Sai Nai Baptish Church, Maw Shan Vil., Seki Mu</v>
      </c>
      <c r="D145" s="7" t="str">
        <f ca="1">OFFSET(CampList[Township],MATCH(Table10[[#This Row],[Pcode]],CampList[CP_Pcode],0)-1,0,1,1)</f>
        <v>Hpakant</v>
      </c>
      <c r="E145" s="106">
        <f ca="1">OFFSET(CampList[HH],MATCH(Table10[[#This Row],[Pcode]],CampList[CP_Pcode],0)-1,0,1,1)</f>
        <v>8</v>
      </c>
      <c r="F145" s="106">
        <f ca="1">OFFSET(CampList[Total],MATCH(Table10[[#This Row],[Pcode]],CampList[CP_Pcode],0)-1,0,1,1)</f>
        <v>32</v>
      </c>
      <c r="G145" s="106">
        <f>SUMIF('NFI Distributions'!AU$53:AU$1048576,Table10[[#This Row],[Pcode]],'NFI Distributions'!AM$53:AM$1048576)</f>
        <v>0</v>
      </c>
      <c r="H145" s="106">
        <f>SUMIF('NFI Distributions'!AU$53:AU$1048576,Table10[[#This Row],[Pcode]],'NFI Distributions'!AN$53:AN$1048576)</f>
        <v>0</v>
      </c>
      <c r="I145" s="106">
        <f>SUMIF('NFI Distributions'!AU$53:AU$1048576,Table10[[#This Row],[Pcode]],'NFI Distributions'!AO$53:AO$1048576)</f>
        <v>0</v>
      </c>
      <c r="J145" s="106">
        <f ca="1">MAX(Table10[[#This Row],[HH]]*VLOOKUP("Winter Clothes Adult",NFI,6)-Table10[[#This Row],[Winter Clothes Adult ]],0)</f>
        <v>16</v>
      </c>
      <c r="K145" s="106">
        <f ca="1">MAX(Table10[[#This Row],[HH]]*VLOOKUP("Winter Clothes Children ",NFI,6)-Table10[[#This Row],[Winter Clothes Children ]],0)</f>
        <v>8</v>
      </c>
      <c r="L145" s="106">
        <f ca="1">MAX(Table10[[#This Row],[HH]]*VLOOKUP("Winter Items Other ",NFI,6)-Table10[[#This Row],[Winter Items Other ]],0)</f>
        <v>8</v>
      </c>
      <c r="M145" s="114" t="str">
        <f>IF(OR(Table10[[#This Row],[Winter Clothes Adult ]]&lt;&gt;0,Table10[[#This Row],[Winter Clothes Children ]]&lt;&gt;0,Table10[[#This Row],[Winter Items Other ]]&lt;&gt;0),"No","")</f>
        <v/>
      </c>
      <c r="N145" s="115">
        <f>COUNTIF(A:A,Table10[[#This Row],[Pcode]])-1</f>
        <v>0</v>
      </c>
    </row>
    <row r="146" spans="1:14" x14ac:dyDescent="0.25">
      <c r="A146" s="102" t="s">
        <v>275</v>
      </c>
      <c r="B146" s="7" t="e">
        <f ca="1">OFFSET(#REF!,MATCH(Table10[[#This Row],[Pcode]],CampList[CP_Pcode],0)-1,0,1,1)</f>
        <v>#REF!</v>
      </c>
      <c r="C146" s="7" t="str">
        <f ca="1">OFFSET(CampList[Camp],MATCH(Table10[[#This Row],[Pcode]],CampList[CP_Pcode],0)-1,0,1,1)</f>
        <v>Shatapru Sut Ngai Tawng</v>
      </c>
      <c r="D146" s="7" t="str">
        <f ca="1">OFFSET(CampList[Township],MATCH(Table10[[#This Row],[Pcode]],CampList[CP_Pcode],0)-1,0,1,1)</f>
        <v>Myitkyina</v>
      </c>
      <c r="E146" s="106">
        <f ca="1">OFFSET(CampList[HH],MATCH(Table10[[#This Row],[Pcode]],CampList[CP_Pcode],0)-1,0,1,1)</f>
        <v>120</v>
      </c>
      <c r="F146" s="106">
        <f ca="1">OFFSET(CampList[Total],MATCH(Table10[[#This Row],[Pcode]],CampList[CP_Pcode],0)-1,0,1,1)</f>
        <v>582</v>
      </c>
      <c r="G146" s="106">
        <f>SUMIF('NFI Distributions'!AU$53:AU$1048576,Table10[[#This Row],[Pcode]],'NFI Distributions'!AM$53:AM$1048576)</f>
        <v>0</v>
      </c>
      <c r="H146" s="106">
        <f>SUMIF('NFI Distributions'!AU$53:AU$1048576,Table10[[#This Row],[Pcode]],'NFI Distributions'!AN$53:AN$1048576)</f>
        <v>0</v>
      </c>
      <c r="I146" s="106">
        <f>SUMIF('NFI Distributions'!AU$53:AU$1048576,Table10[[#This Row],[Pcode]],'NFI Distributions'!AO$53:AO$1048576)</f>
        <v>0</v>
      </c>
      <c r="J146" s="106">
        <f ca="1">MAX(Table10[[#This Row],[HH]]*VLOOKUP("Winter Clothes Adult",NFI,6)-Table10[[#This Row],[Winter Clothes Adult ]],0)</f>
        <v>240</v>
      </c>
      <c r="K146" s="106">
        <f ca="1">MAX(Table10[[#This Row],[HH]]*VLOOKUP("Winter Clothes Children ",NFI,6)-Table10[[#This Row],[Winter Clothes Children ]],0)</f>
        <v>120</v>
      </c>
      <c r="L146" s="106">
        <f ca="1">MAX(Table10[[#This Row],[HH]]*VLOOKUP("Winter Items Other ",NFI,6)-Table10[[#This Row],[Winter Items Other ]],0)</f>
        <v>120</v>
      </c>
      <c r="M146" s="114" t="str">
        <f>IF(OR(Table10[[#This Row],[Winter Clothes Adult ]]&lt;&gt;0,Table10[[#This Row],[Winter Clothes Children ]]&lt;&gt;0,Table10[[#This Row],[Winter Items Other ]]&lt;&gt;0),"No","")</f>
        <v/>
      </c>
      <c r="N146" s="115">
        <f>COUNTIF(A:A,Table10[[#This Row],[Pcode]])-1</f>
        <v>0</v>
      </c>
    </row>
    <row r="147" spans="1:14" x14ac:dyDescent="0.25">
      <c r="A147" s="102" t="s">
        <v>277</v>
      </c>
      <c r="B147" s="7" t="e">
        <f ca="1">OFFSET(#REF!,MATCH(Table10[[#This Row],[Pcode]],CampList[CP_Pcode],0)-1,0,1,1)</f>
        <v>#REF!</v>
      </c>
      <c r="C147" s="7" t="str">
        <f ca="1">OFFSET(CampList[Camp],MATCH(Table10[[#This Row],[Pcode]],CampList[CP_Pcode],0)-1,0,1,1)</f>
        <v>Shatapru Thida Aye Baptist Church</v>
      </c>
      <c r="D147" s="7" t="str">
        <f ca="1">OFFSET(CampList[Township],MATCH(Table10[[#This Row],[Pcode]],CampList[CP_Pcode],0)-1,0,1,1)</f>
        <v>Myitkyina</v>
      </c>
      <c r="E147" s="106">
        <f ca="1">OFFSET(CampList[HH],MATCH(Table10[[#This Row],[Pcode]],CampList[CP_Pcode],0)-1,0,1,1)</f>
        <v>23</v>
      </c>
      <c r="F147" s="106">
        <f ca="1">OFFSET(CampList[Total],MATCH(Table10[[#This Row],[Pcode]],CampList[CP_Pcode],0)-1,0,1,1)</f>
        <v>112</v>
      </c>
      <c r="G147" s="106">
        <f>SUMIF('NFI Distributions'!AU$53:AU$1048576,Table10[[#This Row],[Pcode]],'NFI Distributions'!AM$53:AM$1048576)</f>
        <v>0</v>
      </c>
      <c r="H147" s="106">
        <f>SUMIF('NFI Distributions'!AU$53:AU$1048576,Table10[[#This Row],[Pcode]],'NFI Distributions'!AN$53:AN$1048576)</f>
        <v>0</v>
      </c>
      <c r="I147" s="106">
        <f>SUMIF('NFI Distributions'!AU$53:AU$1048576,Table10[[#This Row],[Pcode]],'NFI Distributions'!AO$53:AO$1048576)</f>
        <v>0</v>
      </c>
      <c r="J147" s="106">
        <f ca="1">MAX(Table10[[#This Row],[HH]]*VLOOKUP("Winter Clothes Adult",NFI,6)-Table10[[#This Row],[Winter Clothes Adult ]],0)</f>
        <v>46</v>
      </c>
      <c r="K147" s="106">
        <f ca="1">MAX(Table10[[#This Row],[HH]]*VLOOKUP("Winter Clothes Children ",NFI,6)-Table10[[#This Row],[Winter Clothes Children ]],0)</f>
        <v>23</v>
      </c>
      <c r="L147" s="106">
        <f ca="1">MAX(Table10[[#This Row],[HH]]*VLOOKUP("Winter Items Other ",NFI,6)-Table10[[#This Row],[Winter Items Other ]],0)</f>
        <v>23</v>
      </c>
      <c r="M147" s="114" t="str">
        <f>IF(OR(Table10[[#This Row],[Winter Clothes Adult ]]&lt;&gt;0,Table10[[#This Row],[Winter Clothes Children ]]&lt;&gt;0,Table10[[#This Row],[Winter Items Other ]]&lt;&gt;0),"No","")</f>
        <v/>
      </c>
      <c r="N147" s="115">
        <f>COUNTIF(A:A,Table10[[#This Row],[Pcode]])-1</f>
        <v>0</v>
      </c>
    </row>
    <row r="148" spans="1:14" x14ac:dyDescent="0.25">
      <c r="A148" s="102" t="s">
        <v>304</v>
      </c>
      <c r="B148" s="7" t="e">
        <f ca="1">OFFSET(#REF!,MATCH(Table10[[#This Row],[Pcode]],CampList[CP_Pcode],0)-1,0,1,1)</f>
        <v>#REF!</v>
      </c>
      <c r="C148" s="7" t="str">
        <f ca="1">OFFSET(CampList[Camp],MATCH(Table10[[#This Row],[Pcode]],CampList[CP_Pcode],0)-1,0,1,1)</f>
        <v>Shwe Gu Baptist Church</v>
      </c>
      <c r="D148" s="7" t="str">
        <f ca="1">OFFSET(CampList[Township],MATCH(Table10[[#This Row],[Pcode]],CampList[CP_Pcode],0)-1,0,1,1)</f>
        <v>Shwegu</v>
      </c>
      <c r="E148" s="106">
        <f ca="1">OFFSET(CampList[HH],MATCH(Table10[[#This Row],[Pcode]],CampList[CP_Pcode],0)-1,0,1,1)</f>
        <v>47</v>
      </c>
      <c r="F148" s="106">
        <f ca="1">OFFSET(CampList[Total],MATCH(Table10[[#This Row],[Pcode]],CampList[CP_Pcode],0)-1,0,1,1)</f>
        <v>345</v>
      </c>
      <c r="G148" s="106">
        <f>SUMIF('NFI Distributions'!AU$53:AU$1048576,Table10[[#This Row],[Pcode]],'NFI Distributions'!AM$53:AM$1048576)</f>
        <v>0</v>
      </c>
      <c r="H148" s="106">
        <f>SUMIF('NFI Distributions'!AU$53:AU$1048576,Table10[[#This Row],[Pcode]],'NFI Distributions'!AN$53:AN$1048576)</f>
        <v>0</v>
      </c>
      <c r="I148" s="106">
        <f>SUMIF('NFI Distributions'!AU$53:AU$1048576,Table10[[#This Row],[Pcode]],'NFI Distributions'!AO$53:AO$1048576)</f>
        <v>0</v>
      </c>
      <c r="J148" s="106">
        <f ca="1">MAX(Table10[[#This Row],[HH]]*VLOOKUP("Winter Clothes Adult",NFI,6)-Table10[[#This Row],[Winter Clothes Adult ]],0)</f>
        <v>94</v>
      </c>
      <c r="K148" s="106">
        <f ca="1">MAX(Table10[[#This Row],[HH]]*VLOOKUP("Winter Clothes Children ",NFI,6)-Table10[[#This Row],[Winter Clothes Children ]],0)</f>
        <v>47</v>
      </c>
      <c r="L148" s="106">
        <f ca="1">MAX(Table10[[#This Row],[HH]]*VLOOKUP("Winter Items Other ",NFI,6)-Table10[[#This Row],[Winter Items Other ]],0)</f>
        <v>47</v>
      </c>
      <c r="M148" s="114" t="str">
        <f>IF(OR(Table10[[#This Row],[Winter Clothes Adult ]]&lt;&gt;0,Table10[[#This Row],[Winter Clothes Children ]]&lt;&gt;0,Table10[[#This Row],[Winter Items Other ]]&lt;&gt;0),"No","")</f>
        <v/>
      </c>
      <c r="N148" s="115">
        <f>COUNTIF(A:A,Table10[[#This Row],[Pcode]])-1</f>
        <v>0</v>
      </c>
    </row>
    <row r="149" spans="1:14" x14ac:dyDescent="0.25">
      <c r="A149" s="102" t="s">
        <v>306</v>
      </c>
      <c r="B149" s="7" t="e">
        <f ca="1">OFFSET(#REF!,MATCH(Table10[[#This Row],[Pcode]],CampList[CP_Pcode],0)-1,0,1,1)</f>
        <v>#REF!</v>
      </c>
      <c r="C149" s="7" t="str">
        <f ca="1">OFFSET(CampList[Camp],MATCH(Table10[[#This Row],[Pcode]],CampList[CP_Pcode],0)-1,0,1,1)</f>
        <v>Shwe Gu Catholic Church</v>
      </c>
      <c r="D149" s="7" t="str">
        <f ca="1">OFFSET(CampList[Township],MATCH(Table10[[#This Row],[Pcode]],CampList[CP_Pcode],0)-1,0,1,1)</f>
        <v>Shwegu</v>
      </c>
      <c r="E149" s="106">
        <f ca="1">OFFSET(CampList[HH],MATCH(Table10[[#This Row],[Pcode]],CampList[CP_Pcode],0)-1,0,1,1)</f>
        <v>47</v>
      </c>
      <c r="F149" s="106">
        <f ca="1">OFFSET(CampList[Total],MATCH(Table10[[#This Row],[Pcode]],CampList[CP_Pcode],0)-1,0,1,1)</f>
        <v>197</v>
      </c>
      <c r="G149" s="106">
        <f>SUMIF('NFI Distributions'!AU$53:AU$1048576,Table10[[#This Row],[Pcode]],'NFI Distributions'!AM$53:AM$1048576)</f>
        <v>0</v>
      </c>
      <c r="H149" s="106">
        <f>SUMIF('NFI Distributions'!AU$53:AU$1048576,Table10[[#This Row],[Pcode]],'NFI Distributions'!AN$53:AN$1048576)</f>
        <v>0</v>
      </c>
      <c r="I149" s="106">
        <f>SUMIF('NFI Distributions'!AU$53:AU$1048576,Table10[[#This Row],[Pcode]],'NFI Distributions'!AO$53:AO$1048576)</f>
        <v>0</v>
      </c>
      <c r="J149" s="106">
        <f ca="1">MAX(Table10[[#This Row],[HH]]*VLOOKUP("Winter Clothes Adult",NFI,6)-Table10[[#This Row],[Winter Clothes Adult ]],0)</f>
        <v>94</v>
      </c>
      <c r="K149" s="106">
        <f ca="1">MAX(Table10[[#This Row],[HH]]*VLOOKUP("Winter Clothes Children ",NFI,6)-Table10[[#This Row],[Winter Clothes Children ]],0)</f>
        <v>47</v>
      </c>
      <c r="L149" s="106">
        <f ca="1">MAX(Table10[[#This Row],[HH]]*VLOOKUP("Winter Items Other ",NFI,6)-Table10[[#This Row],[Winter Items Other ]],0)</f>
        <v>47</v>
      </c>
      <c r="M149" s="114" t="str">
        <f>IF(OR(Table10[[#This Row],[Winter Clothes Adult ]]&lt;&gt;0,Table10[[#This Row],[Winter Clothes Children ]]&lt;&gt;0,Table10[[#This Row],[Winter Items Other ]]&lt;&gt;0),"No","")</f>
        <v/>
      </c>
      <c r="N149" s="115">
        <f>COUNTIF(A:A,Table10[[#This Row],[Pcode]])-1</f>
        <v>0</v>
      </c>
    </row>
    <row r="150" spans="1:14" x14ac:dyDescent="0.25">
      <c r="A150" s="102" t="s">
        <v>279</v>
      </c>
      <c r="B150" s="7" t="e">
        <f ca="1">OFFSET(#REF!,MATCH(Table10[[#This Row],[Pcode]],CampList[CP_Pcode],0)-1,0,1,1)</f>
        <v>#REF!</v>
      </c>
      <c r="C150" s="7" t="str">
        <f ca="1">OFFSET(CampList[Camp],MATCH(Table10[[#This Row],[Pcode]],CampList[CP_Pcode],0)-1,0,1,1)</f>
        <v>Shwe Zet Baptist Church</v>
      </c>
      <c r="D150" s="7" t="str">
        <f ca="1">OFFSET(CampList[Township],MATCH(Table10[[#This Row],[Pcode]],CampList[CP_Pcode],0)-1,0,1,1)</f>
        <v>Myitkyina</v>
      </c>
      <c r="E150" s="106">
        <f ca="1">OFFSET(CampList[HH],MATCH(Table10[[#This Row],[Pcode]],CampList[CP_Pcode],0)-1,0,1,1)</f>
        <v>91</v>
      </c>
      <c r="F150" s="106">
        <f ca="1">OFFSET(CampList[Total],MATCH(Table10[[#This Row],[Pcode]],CampList[CP_Pcode],0)-1,0,1,1)</f>
        <v>511</v>
      </c>
      <c r="G150" s="106">
        <f>SUMIF('NFI Distributions'!AU$53:AU$1048576,Table10[[#This Row],[Pcode]],'NFI Distributions'!AM$53:AM$1048576)</f>
        <v>0</v>
      </c>
      <c r="H150" s="106">
        <f>SUMIF('NFI Distributions'!AU$53:AU$1048576,Table10[[#This Row],[Pcode]],'NFI Distributions'!AN$53:AN$1048576)</f>
        <v>0</v>
      </c>
      <c r="I150" s="106">
        <f>SUMIF('NFI Distributions'!AU$53:AU$1048576,Table10[[#This Row],[Pcode]],'NFI Distributions'!AO$53:AO$1048576)</f>
        <v>0</v>
      </c>
      <c r="J150" s="106">
        <f ca="1">MAX(Table10[[#This Row],[HH]]*VLOOKUP("Winter Clothes Adult",NFI,6)-Table10[[#This Row],[Winter Clothes Adult ]],0)</f>
        <v>182</v>
      </c>
      <c r="K150" s="106">
        <f ca="1">MAX(Table10[[#This Row],[HH]]*VLOOKUP("Winter Clothes Children ",NFI,6)-Table10[[#This Row],[Winter Clothes Children ]],0)</f>
        <v>91</v>
      </c>
      <c r="L150" s="106">
        <f ca="1">MAX(Table10[[#This Row],[HH]]*VLOOKUP("Winter Items Other ",NFI,6)-Table10[[#This Row],[Winter Items Other ]],0)</f>
        <v>91</v>
      </c>
      <c r="M150" s="114" t="str">
        <f>IF(OR(Table10[[#This Row],[Winter Clothes Adult ]]&lt;&gt;0,Table10[[#This Row],[Winter Clothes Children ]]&lt;&gt;0,Table10[[#This Row],[Winter Items Other ]]&lt;&gt;0),"No","")</f>
        <v/>
      </c>
      <c r="N150" s="115">
        <f>COUNTIF(A:A,Table10[[#This Row],[Pcode]])-1</f>
        <v>0</v>
      </c>
    </row>
    <row r="151" spans="1:14" x14ac:dyDescent="0.25">
      <c r="A151" s="102" t="s">
        <v>179</v>
      </c>
      <c r="B151" s="7" t="e">
        <f ca="1">OFFSET(#REF!,MATCH(Table10[[#This Row],[Pcode]],CampList[CP_Pcode],0)-1,0,1,1)</f>
        <v>#REF!</v>
      </c>
      <c r="C151" s="7" t="str">
        <f ca="1">OFFSET(CampList[Camp],MATCH(Table10[[#This Row],[Pcode]],CampList[CP_Pcode],0)-1,0,1,1)</f>
        <v xml:space="preserve">St. Patrick Catholic Church </v>
      </c>
      <c r="D151" s="7" t="str">
        <f ca="1">OFFSET(CampList[Township],MATCH(Table10[[#This Row],[Pcode]],CampList[CP_Pcode],0)-1,0,1,1)</f>
        <v>Mohnyin</v>
      </c>
      <c r="E151" s="106">
        <f ca="1">OFFSET(CampList[HH],MATCH(Table10[[#This Row],[Pcode]],CampList[CP_Pcode],0)-1,0,1,1)</f>
        <v>11</v>
      </c>
      <c r="F151" s="106">
        <f ca="1">OFFSET(CampList[Total],MATCH(Table10[[#This Row],[Pcode]],CampList[CP_Pcode],0)-1,0,1,1)</f>
        <v>55</v>
      </c>
      <c r="G151" s="106">
        <f>SUMIF('NFI Distributions'!AU$53:AU$1048576,Table10[[#This Row],[Pcode]],'NFI Distributions'!AM$53:AM$1048576)</f>
        <v>0</v>
      </c>
      <c r="H151" s="106">
        <f>SUMIF('NFI Distributions'!AU$53:AU$1048576,Table10[[#This Row],[Pcode]],'NFI Distributions'!AN$53:AN$1048576)</f>
        <v>0</v>
      </c>
      <c r="I151" s="106">
        <f>SUMIF('NFI Distributions'!AU$53:AU$1048576,Table10[[#This Row],[Pcode]],'NFI Distributions'!AO$53:AO$1048576)</f>
        <v>0</v>
      </c>
      <c r="J151" s="106">
        <f ca="1">MAX(Table10[[#This Row],[HH]]*VLOOKUP("Winter Clothes Adult",NFI,6)-Table10[[#This Row],[Winter Clothes Adult ]],0)</f>
        <v>22</v>
      </c>
      <c r="K151" s="106">
        <f ca="1">MAX(Table10[[#This Row],[HH]]*VLOOKUP("Winter Clothes Children ",NFI,6)-Table10[[#This Row],[Winter Clothes Children ]],0)</f>
        <v>11</v>
      </c>
      <c r="L151" s="106">
        <f ca="1">MAX(Table10[[#This Row],[HH]]*VLOOKUP("Winter Items Other ",NFI,6)-Table10[[#This Row],[Winter Items Other ]],0)</f>
        <v>11</v>
      </c>
      <c r="M151" s="114" t="str">
        <f>IF(OR(Table10[[#This Row],[Winter Clothes Adult ]]&lt;&gt;0,Table10[[#This Row],[Winter Clothes Children ]]&lt;&gt;0,Table10[[#This Row],[Winter Items Other ]]&lt;&gt;0),"No","")</f>
        <v/>
      </c>
      <c r="N151" s="115">
        <f>COUNTIF(A:A,Table10[[#This Row],[Pcode]])-1</f>
        <v>0</v>
      </c>
    </row>
    <row r="152" spans="1:14" x14ac:dyDescent="0.25">
      <c r="A152" s="102" t="s">
        <v>750</v>
      </c>
      <c r="B152" s="7" t="e">
        <f ca="1">OFFSET(#REF!,MATCH(Table10[[#This Row],[Pcode]],CampList[CP_Pcode],0)-1,0,1,1)</f>
        <v>#REF!</v>
      </c>
      <c r="C152" s="7" t="str">
        <f ca="1">OFFSET(CampList[Camp],MATCH(Table10[[#This Row],[Pcode]],CampList[CP_Pcode],0)-1,0,1,1)</f>
        <v>Sumprabum</v>
      </c>
      <c r="D152" s="7" t="str">
        <f ca="1">OFFSET(CampList[Township],MATCH(Table10[[#This Row],[Pcode]],CampList[CP_Pcode],0)-1,0,1,1)</f>
        <v>Sumprabum</v>
      </c>
      <c r="E152" s="106">
        <f ca="1">OFFSET(CampList[HH],MATCH(Table10[[#This Row],[Pcode]],CampList[CP_Pcode],0)-1,0,1,1)</f>
        <v>5</v>
      </c>
      <c r="F152" s="106">
        <f ca="1">OFFSET(CampList[Total],MATCH(Table10[[#This Row],[Pcode]],CampList[CP_Pcode],0)-1,0,1,1)</f>
        <v>32</v>
      </c>
      <c r="G152" s="106">
        <f>SUMIF('NFI Distributions'!AU$53:AU$1048576,Table10[[#This Row],[Pcode]],'NFI Distributions'!AM$53:AM$1048576)</f>
        <v>0</v>
      </c>
      <c r="H152" s="106">
        <f>SUMIF('NFI Distributions'!AU$53:AU$1048576,Table10[[#This Row],[Pcode]],'NFI Distributions'!AN$53:AN$1048576)</f>
        <v>0</v>
      </c>
      <c r="I152" s="106">
        <f>SUMIF('NFI Distributions'!AU$53:AU$1048576,Table10[[#This Row],[Pcode]],'NFI Distributions'!AO$53:AO$1048576)</f>
        <v>0</v>
      </c>
      <c r="J152" s="106">
        <f ca="1">MAX(Table10[[#This Row],[HH]]*VLOOKUP("Winter Clothes Adult",NFI,6)-Table10[[#This Row],[Winter Clothes Adult ]],0)</f>
        <v>10</v>
      </c>
      <c r="K152" s="106">
        <f ca="1">MAX(Table10[[#This Row],[HH]]*VLOOKUP("Winter Clothes Children ",NFI,6)-Table10[[#This Row],[Winter Clothes Children ]],0)</f>
        <v>5</v>
      </c>
      <c r="L152" s="106">
        <f ca="1">MAX(Table10[[#This Row],[HH]]*VLOOKUP("Winter Items Other ",NFI,6)-Table10[[#This Row],[Winter Items Other ]],0)</f>
        <v>5</v>
      </c>
      <c r="M152" s="114" t="str">
        <f>IF(OR(Table10[[#This Row],[Winter Clothes Adult ]]&lt;&gt;0,Table10[[#This Row],[Winter Clothes Children ]]&lt;&gt;0,Table10[[#This Row],[Winter Items Other ]]&lt;&gt;0),"No","")</f>
        <v/>
      </c>
      <c r="N152" s="115">
        <f>COUNTIF(A:A,Table10[[#This Row],[Pcode]])-1</f>
        <v>0</v>
      </c>
    </row>
    <row r="153" spans="1:14" x14ac:dyDescent="0.25">
      <c r="A153" s="102" t="s">
        <v>23</v>
      </c>
      <c r="B153" s="7" t="e">
        <f ca="1">OFFSET(#REF!,MATCH(Table10[[#This Row],[Pcode]],CampList[CP_Pcode],0)-1,0,1,1)</f>
        <v>#REF!</v>
      </c>
      <c r="C153" s="7" t="str">
        <f ca="1">OFFSET(CampList[Camp],MATCH(Table10[[#This Row],[Pcode]],CampList[CP_Pcode],0)-1,0,1,1)</f>
        <v>Ta Gun Taing Monastery (Shwe Kyi Na)</v>
      </c>
      <c r="D153" s="7" t="str">
        <f ca="1">OFFSET(CampList[Township],MATCH(Table10[[#This Row],[Pcode]],CampList[CP_Pcode],0)-1,0,1,1)</f>
        <v>Bhamo</v>
      </c>
      <c r="E153" s="106">
        <f ca="1">OFFSET(CampList[HH],MATCH(Table10[[#This Row],[Pcode]],CampList[CP_Pcode],0)-1,0,1,1)</f>
        <v>20</v>
      </c>
      <c r="F153" s="106">
        <f ca="1">OFFSET(CampList[Total],MATCH(Table10[[#This Row],[Pcode]],CampList[CP_Pcode],0)-1,0,1,1)</f>
        <v>95</v>
      </c>
      <c r="G153" s="106">
        <f>SUMIF('NFI Distributions'!AU$53:AU$1048576,Table10[[#This Row],[Pcode]],'NFI Distributions'!AM$53:AM$1048576)</f>
        <v>0</v>
      </c>
      <c r="H153" s="106">
        <f>SUMIF('NFI Distributions'!AU$53:AU$1048576,Table10[[#This Row],[Pcode]],'NFI Distributions'!AN$53:AN$1048576)</f>
        <v>0</v>
      </c>
      <c r="I153" s="106">
        <f>SUMIF('NFI Distributions'!AU$53:AU$1048576,Table10[[#This Row],[Pcode]],'NFI Distributions'!AO$53:AO$1048576)</f>
        <v>0</v>
      </c>
      <c r="J153" s="106">
        <f ca="1">MAX(Table10[[#This Row],[HH]]*VLOOKUP("Winter Clothes Adult",NFI,6)-Table10[[#This Row],[Winter Clothes Adult ]],0)</f>
        <v>40</v>
      </c>
      <c r="K153" s="106">
        <f ca="1">MAX(Table10[[#This Row],[HH]]*VLOOKUP("Winter Clothes Children ",NFI,6)-Table10[[#This Row],[Winter Clothes Children ]],0)</f>
        <v>20</v>
      </c>
      <c r="L153" s="106">
        <f ca="1">MAX(Table10[[#This Row],[HH]]*VLOOKUP("Winter Items Other ",NFI,6)-Table10[[#This Row],[Winter Items Other ]],0)</f>
        <v>20</v>
      </c>
      <c r="M153" s="114" t="str">
        <f>IF(OR(Table10[[#This Row],[Winter Clothes Adult ]]&lt;&gt;0,Table10[[#This Row],[Winter Clothes Children ]]&lt;&gt;0,Table10[[#This Row],[Winter Items Other ]]&lt;&gt;0),"No","")</f>
        <v/>
      </c>
      <c r="N153" s="115">
        <f>COUNTIF(A:A,Table10[[#This Row],[Pcode]])-1</f>
        <v>0</v>
      </c>
    </row>
    <row r="154" spans="1:14" x14ac:dyDescent="0.25">
      <c r="A154" s="102" t="s">
        <v>226</v>
      </c>
      <c r="B154" s="7" t="e">
        <f ca="1">OFFSET(#REF!,MATCH(Table10[[#This Row],[Pcode]],CampList[CP_Pcode],0)-1,0,1,1)</f>
        <v>#REF!</v>
      </c>
      <c r="C154" s="7" t="str">
        <f ca="1">OFFSET(CampList[Camp],MATCH(Table10[[#This Row],[Pcode]],CampList[CP_Pcode],0)-1,0,1,1)</f>
        <v xml:space="preserve">Tarli </v>
      </c>
      <c r="D154" s="7" t="str">
        <f ca="1">OFFSET(CampList[Township],MATCH(Table10[[#This Row],[Pcode]],CampList[CP_Pcode],0)-1,0,1,1)</f>
        <v>Momauk</v>
      </c>
      <c r="E154" s="106">
        <f ca="1">OFFSET(CampList[HH],MATCH(Table10[[#This Row],[Pcode]],CampList[CP_Pcode],0)-1,0,1,1)</f>
        <v>0</v>
      </c>
      <c r="F154" s="106">
        <f ca="1">OFFSET(CampList[Total],MATCH(Table10[[#This Row],[Pcode]],CampList[CP_Pcode],0)-1,0,1,1)</f>
        <v>0</v>
      </c>
      <c r="G154" s="106">
        <f>SUMIF('NFI Distributions'!AU$53:AU$1048576,Table10[[#This Row],[Pcode]],'NFI Distributions'!AM$53:AM$1048576)</f>
        <v>0</v>
      </c>
      <c r="H154" s="106">
        <f>SUMIF('NFI Distributions'!AU$53:AU$1048576,Table10[[#This Row],[Pcode]],'NFI Distributions'!AN$53:AN$1048576)</f>
        <v>0</v>
      </c>
      <c r="I154" s="106">
        <f>SUMIF('NFI Distributions'!AU$53:AU$1048576,Table10[[#This Row],[Pcode]],'NFI Distributions'!AO$53:AO$1048576)</f>
        <v>0</v>
      </c>
      <c r="J154" s="106">
        <f ca="1">MAX(Table10[[#This Row],[HH]]*VLOOKUP("Winter Clothes Adult",NFI,6)-Table10[[#This Row],[Winter Clothes Adult ]],0)</f>
        <v>0</v>
      </c>
      <c r="K154" s="106">
        <f ca="1">MAX(Table10[[#This Row],[HH]]*VLOOKUP("Winter Clothes Children ",NFI,6)-Table10[[#This Row],[Winter Clothes Children ]],0)</f>
        <v>0</v>
      </c>
      <c r="L154" s="106">
        <f ca="1">MAX(Table10[[#This Row],[HH]]*VLOOKUP("Winter Items Other ",NFI,6)-Table10[[#This Row],[Winter Items Other ]],0)</f>
        <v>0</v>
      </c>
      <c r="M154" s="114" t="str">
        <f>IF(OR(Table10[[#This Row],[Winter Clothes Adult ]]&lt;&gt;0,Table10[[#This Row],[Winter Clothes Children ]]&lt;&gt;0,Table10[[#This Row],[Winter Items Other ]]&lt;&gt;0),"No","")</f>
        <v/>
      </c>
      <c r="N154" s="115">
        <f>COUNTIF(A:A,Table10[[#This Row],[Pcode]])-1</f>
        <v>0</v>
      </c>
    </row>
    <row r="155" spans="1:14" x14ac:dyDescent="0.25">
      <c r="A155" s="102" t="s">
        <v>236</v>
      </c>
      <c r="B155" s="7" t="e">
        <f ca="1">OFFSET(#REF!,MATCH(Table10[[#This Row],[Pcode]],CampList[CP_Pcode],0)-1,0,1,1)</f>
        <v>#REF!</v>
      </c>
      <c r="C155" s="7" t="str">
        <f ca="1">OFFSET(CampList[Camp],MATCH(Table10[[#This Row],[Pcode]],CampList[CP_Pcode],0)-1,0,1,1)</f>
        <v>Tat Kone Baptist Church</v>
      </c>
      <c r="D155" s="7" t="str">
        <f ca="1">OFFSET(CampList[Township],MATCH(Table10[[#This Row],[Pcode]],CampList[CP_Pcode],0)-1,0,1,1)</f>
        <v>Myitkyina</v>
      </c>
      <c r="E155" s="106">
        <f ca="1">OFFSET(CampList[HH],MATCH(Table10[[#This Row],[Pcode]],CampList[CP_Pcode],0)-1,0,1,1)</f>
        <v>75</v>
      </c>
      <c r="F155" s="106">
        <f ca="1">OFFSET(CampList[Total],MATCH(Table10[[#This Row],[Pcode]],CampList[CP_Pcode],0)-1,0,1,1)</f>
        <v>415</v>
      </c>
      <c r="G155" s="106">
        <f>SUMIF('NFI Distributions'!AU$53:AU$1048576,Table10[[#This Row],[Pcode]],'NFI Distributions'!AM$53:AM$1048576)</f>
        <v>0</v>
      </c>
      <c r="H155" s="106">
        <f>SUMIF('NFI Distributions'!AU$53:AU$1048576,Table10[[#This Row],[Pcode]],'NFI Distributions'!AN$53:AN$1048576)</f>
        <v>0</v>
      </c>
      <c r="I155" s="106">
        <f>SUMIF('NFI Distributions'!AU$53:AU$1048576,Table10[[#This Row],[Pcode]],'NFI Distributions'!AO$53:AO$1048576)</f>
        <v>0</v>
      </c>
      <c r="J155" s="106">
        <f ca="1">MAX(Table10[[#This Row],[HH]]*VLOOKUP("Winter Clothes Adult",NFI,6)-Table10[[#This Row],[Winter Clothes Adult ]],0)</f>
        <v>150</v>
      </c>
      <c r="K155" s="106">
        <f ca="1">MAX(Table10[[#This Row],[HH]]*VLOOKUP("Winter Clothes Children ",NFI,6)-Table10[[#This Row],[Winter Clothes Children ]],0)</f>
        <v>75</v>
      </c>
      <c r="L155" s="106">
        <f ca="1">MAX(Table10[[#This Row],[HH]]*VLOOKUP("Winter Items Other ",NFI,6)-Table10[[#This Row],[Winter Items Other ]],0)</f>
        <v>75</v>
      </c>
      <c r="M155" s="114" t="str">
        <f>IF(OR(Table10[[#This Row],[Winter Clothes Adult ]]&lt;&gt;0,Table10[[#This Row],[Winter Clothes Children ]]&lt;&gt;0,Table10[[#This Row],[Winter Items Other ]]&lt;&gt;0),"No","")</f>
        <v/>
      </c>
      <c r="N155" s="115">
        <f>COUNTIF(A:A,Table10[[#This Row],[Pcode]])-1</f>
        <v>0</v>
      </c>
    </row>
    <row r="156" spans="1:14" x14ac:dyDescent="0.25">
      <c r="A156" s="102" t="s">
        <v>241</v>
      </c>
      <c r="B156" s="7" t="e">
        <f ca="1">OFFSET(#REF!,MATCH(Table10[[#This Row],[Pcode]],CampList[CP_Pcode],0)-1,0,1,1)</f>
        <v>#REF!</v>
      </c>
      <c r="C156" s="7" t="str">
        <f ca="1">OFFSET(CampList[Camp],MATCH(Table10[[#This Row],[Pcode]],CampList[CP_Pcode],0)-1,0,1,1)</f>
        <v>Tat Kone COC Baptist - Tat Kone Htoi San</v>
      </c>
      <c r="D156" s="7" t="str">
        <f ca="1">OFFSET(CampList[Township],MATCH(Table10[[#This Row],[Pcode]],CampList[CP_Pcode],0)-1,0,1,1)</f>
        <v>Myitkyina</v>
      </c>
      <c r="E156" s="106">
        <f ca="1">OFFSET(CampList[HH],MATCH(Table10[[#This Row],[Pcode]],CampList[CP_Pcode],0)-1,0,1,1)</f>
        <v>54</v>
      </c>
      <c r="F156" s="106">
        <f ca="1">OFFSET(CampList[Total],MATCH(Table10[[#This Row],[Pcode]],CampList[CP_Pcode],0)-1,0,1,1)</f>
        <v>254</v>
      </c>
      <c r="G156" s="106">
        <f>SUMIF('NFI Distributions'!AU$53:AU$1048576,Table10[[#This Row],[Pcode]],'NFI Distributions'!AM$53:AM$1048576)</f>
        <v>0</v>
      </c>
      <c r="H156" s="106">
        <f>SUMIF('NFI Distributions'!AU$53:AU$1048576,Table10[[#This Row],[Pcode]],'NFI Distributions'!AN$53:AN$1048576)</f>
        <v>0</v>
      </c>
      <c r="I156" s="106">
        <f>SUMIF('NFI Distributions'!AU$53:AU$1048576,Table10[[#This Row],[Pcode]],'NFI Distributions'!AO$53:AO$1048576)</f>
        <v>0</v>
      </c>
      <c r="J156" s="106">
        <f ca="1">MAX(Table10[[#This Row],[HH]]*VLOOKUP("Winter Clothes Adult",NFI,6)-Table10[[#This Row],[Winter Clothes Adult ]],0)</f>
        <v>108</v>
      </c>
      <c r="K156" s="106">
        <f ca="1">MAX(Table10[[#This Row],[HH]]*VLOOKUP("Winter Clothes Children ",NFI,6)-Table10[[#This Row],[Winter Clothes Children ]],0)</f>
        <v>54</v>
      </c>
      <c r="L156" s="106">
        <f ca="1">MAX(Table10[[#This Row],[HH]]*VLOOKUP("Winter Items Other ",NFI,6)-Table10[[#This Row],[Winter Items Other ]],0)</f>
        <v>54</v>
      </c>
      <c r="M156" s="114" t="str">
        <f>IF(OR(Table10[[#This Row],[Winter Clothes Adult ]]&lt;&gt;0,Table10[[#This Row],[Winter Clothes Children ]]&lt;&gt;0,Table10[[#This Row],[Winter Items Other ]]&lt;&gt;0),"No","")</f>
        <v/>
      </c>
      <c r="N156" s="115">
        <f>COUNTIF(A:A,Table10[[#This Row],[Pcode]])-1</f>
        <v>0</v>
      </c>
    </row>
    <row r="157" spans="1:14" x14ac:dyDescent="0.25">
      <c r="A157" s="102" t="s">
        <v>247</v>
      </c>
      <c r="B157" s="7" t="e">
        <f ca="1">OFFSET(#REF!,MATCH(Table10[[#This Row],[Pcode]],CampList[CP_Pcode],0)-1,0,1,1)</f>
        <v>#REF!</v>
      </c>
      <c r="C157" s="7" t="str">
        <f ca="1">OFFSET(CampList[Camp],MATCH(Table10[[#This Row],[Pcode]],CampList[CP_Pcode],0)-1,0,1,1)</f>
        <v>Tat Kone Emanuel Church</v>
      </c>
      <c r="D157" s="7" t="str">
        <f ca="1">OFFSET(CampList[Township],MATCH(Table10[[#This Row],[Pcode]],CampList[CP_Pcode],0)-1,0,1,1)</f>
        <v>Myitkyina</v>
      </c>
      <c r="E157" s="106">
        <f ca="1">OFFSET(CampList[HH],MATCH(Table10[[#This Row],[Pcode]],CampList[CP_Pcode],0)-1,0,1,1)</f>
        <v>16</v>
      </c>
      <c r="F157" s="106">
        <f ca="1">OFFSET(CampList[Total],MATCH(Table10[[#This Row],[Pcode]],CampList[CP_Pcode],0)-1,0,1,1)</f>
        <v>77</v>
      </c>
      <c r="G157" s="106">
        <f>SUMIF('NFI Distributions'!AU$53:AU$1048576,Table10[[#This Row],[Pcode]],'NFI Distributions'!AM$53:AM$1048576)</f>
        <v>0</v>
      </c>
      <c r="H157" s="106">
        <f>SUMIF('NFI Distributions'!AU$53:AU$1048576,Table10[[#This Row],[Pcode]],'NFI Distributions'!AN$53:AN$1048576)</f>
        <v>0</v>
      </c>
      <c r="I157" s="106">
        <f>SUMIF('NFI Distributions'!AU$53:AU$1048576,Table10[[#This Row],[Pcode]],'NFI Distributions'!AO$53:AO$1048576)</f>
        <v>0</v>
      </c>
      <c r="J157" s="106">
        <f ca="1">MAX(Table10[[#This Row],[HH]]*VLOOKUP("Winter Clothes Adult",NFI,6)-Table10[[#This Row],[Winter Clothes Adult ]],0)</f>
        <v>32</v>
      </c>
      <c r="K157" s="106">
        <f ca="1">MAX(Table10[[#This Row],[HH]]*VLOOKUP("Winter Clothes Children ",NFI,6)-Table10[[#This Row],[Winter Clothes Children ]],0)</f>
        <v>16</v>
      </c>
      <c r="L157" s="106">
        <f ca="1">MAX(Table10[[#This Row],[HH]]*VLOOKUP("Winter Items Other ",NFI,6)-Table10[[#This Row],[Winter Items Other ]],0)</f>
        <v>16</v>
      </c>
      <c r="M157" s="114" t="str">
        <f>IF(OR(Table10[[#This Row],[Winter Clothes Adult ]]&lt;&gt;0,Table10[[#This Row],[Winter Clothes Children ]]&lt;&gt;0,Table10[[#This Row],[Winter Items Other ]]&lt;&gt;0),"No","")</f>
        <v/>
      </c>
      <c r="N157" s="115">
        <f>COUNTIF(A:A,Table10[[#This Row],[Pcode]])-1</f>
        <v>0</v>
      </c>
    </row>
    <row r="158" spans="1:14" x14ac:dyDescent="0.25">
      <c r="A158" s="102" t="s">
        <v>249</v>
      </c>
      <c r="B158" s="7" t="e">
        <f ca="1">OFFSET(#REF!,MATCH(Table10[[#This Row],[Pcode]],CampList[CP_Pcode],0)-1,0,1,1)</f>
        <v>#REF!</v>
      </c>
      <c r="C158" s="7" t="str">
        <f ca="1">OFFSET(CampList[Camp],MATCH(Table10[[#This Row],[Pcode]],CampList[CP_Pcode],0)-1,0,1,1)</f>
        <v>Tat Kone Galile Baptist Church</v>
      </c>
      <c r="D158" s="7" t="str">
        <f ca="1">OFFSET(CampList[Township],MATCH(Table10[[#This Row],[Pcode]],CampList[CP_Pcode],0)-1,0,1,1)</f>
        <v>Myitkyina</v>
      </c>
      <c r="E158" s="106">
        <f ca="1">OFFSET(CampList[HH],MATCH(Table10[[#This Row],[Pcode]],CampList[CP_Pcode],0)-1,0,1,1)</f>
        <v>32</v>
      </c>
      <c r="F158" s="106">
        <f ca="1">OFFSET(CampList[Total],MATCH(Table10[[#This Row],[Pcode]],CampList[CP_Pcode],0)-1,0,1,1)</f>
        <v>174</v>
      </c>
      <c r="G158" s="106">
        <f>SUMIF('NFI Distributions'!AU$53:AU$1048576,Table10[[#This Row],[Pcode]],'NFI Distributions'!AM$53:AM$1048576)</f>
        <v>0</v>
      </c>
      <c r="H158" s="106">
        <f>SUMIF('NFI Distributions'!AU$53:AU$1048576,Table10[[#This Row],[Pcode]],'NFI Distributions'!AN$53:AN$1048576)</f>
        <v>0</v>
      </c>
      <c r="I158" s="106">
        <f>SUMIF('NFI Distributions'!AU$53:AU$1048576,Table10[[#This Row],[Pcode]],'NFI Distributions'!AO$53:AO$1048576)</f>
        <v>0</v>
      </c>
      <c r="J158" s="106">
        <f ca="1">MAX(Table10[[#This Row],[HH]]*VLOOKUP("Winter Clothes Adult",NFI,6)-Table10[[#This Row],[Winter Clothes Adult ]],0)</f>
        <v>64</v>
      </c>
      <c r="K158" s="106">
        <f ca="1">MAX(Table10[[#This Row],[HH]]*VLOOKUP("Winter Clothes Children ",NFI,6)-Table10[[#This Row],[Winter Clothes Children ]],0)</f>
        <v>32</v>
      </c>
      <c r="L158" s="106">
        <f ca="1">MAX(Table10[[#This Row],[HH]]*VLOOKUP("Winter Items Other ",NFI,6)-Table10[[#This Row],[Winter Items Other ]],0)</f>
        <v>32</v>
      </c>
      <c r="M158" s="114" t="str">
        <f>IF(OR(Table10[[#This Row],[Winter Clothes Adult ]]&lt;&gt;0,Table10[[#This Row],[Winter Clothes Children ]]&lt;&gt;0,Table10[[#This Row],[Winter Items Other ]]&lt;&gt;0),"No","")</f>
        <v/>
      </c>
      <c r="N158" s="115">
        <f>COUNTIF(A:A,Table10[[#This Row],[Pcode]])-1</f>
        <v>0</v>
      </c>
    </row>
    <row r="159" spans="1:14" x14ac:dyDescent="0.25">
      <c r="A159" s="102" t="s">
        <v>273</v>
      </c>
      <c r="B159" s="7" t="e">
        <f ca="1">OFFSET(#REF!,MATCH(Table10[[#This Row],[Pcode]],CampList[CP_Pcode],0)-1,0,1,1)</f>
        <v>#REF!</v>
      </c>
      <c r="C159" s="7" t="str">
        <f ca="1">OFFSET(CampList[Camp],MATCH(Table10[[#This Row],[Pcode]],CampList[CP_Pcode],0)-1,0,1,1)</f>
        <v>Tat Kone San Pya Baptist Church</v>
      </c>
      <c r="D159" s="7" t="str">
        <f ca="1">OFFSET(CampList[Township],MATCH(Table10[[#This Row],[Pcode]],CampList[CP_Pcode],0)-1,0,1,1)</f>
        <v>Myitkyina</v>
      </c>
      <c r="E159" s="106">
        <f ca="1">OFFSET(CampList[HH],MATCH(Table10[[#This Row],[Pcode]],CampList[CP_Pcode],0)-1,0,1,1)</f>
        <v>46</v>
      </c>
      <c r="F159" s="106">
        <f ca="1">OFFSET(CampList[Total],MATCH(Table10[[#This Row],[Pcode]],CampList[CP_Pcode],0)-1,0,1,1)</f>
        <v>242</v>
      </c>
      <c r="G159" s="106">
        <f>SUMIF('NFI Distributions'!AU$53:AU$1048576,Table10[[#This Row],[Pcode]],'NFI Distributions'!AM$53:AM$1048576)</f>
        <v>0</v>
      </c>
      <c r="H159" s="106">
        <f>SUMIF('NFI Distributions'!AU$53:AU$1048576,Table10[[#This Row],[Pcode]],'NFI Distributions'!AN$53:AN$1048576)</f>
        <v>0</v>
      </c>
      <c r="I159" s="106">
        <f>SUMIF('NFI Distributions'!AU$53:AU$1048576,Table10[[#This Row],[Pcode]],'NFI Distributions'!AO$53:AO$1048576)</f>
        <v>0</v>
      </c>
      <c r="J159" s="106">
        <f ca="1">MAX(Table10[[#This Row],[HH]]*VLOOKUP("Winter Clothes Adult",NFI,6)-Table10[[#This Row],[Winter Clothes Adult ]],0)</f>
        <v>92</v>
      </c>
      <c r="K159" s="106">
        <f ca="1">MAX(Table10[[#This Row],[HH]]*VLOOKUP("Winter Clothes Children ",NFI,6)-Table10[[#This Row],[Winter Clothes Children ]],0)</f>
        <v>46</v>
      </c>
      <c r="L159" s="106">
        <f ca="1">MAX(Table10[[#This Row],[HH]]*VLOOKUP("Winter Items Other ",NFI,6)-Table10[[#This Row],[Winter Items Other ]],0)</f>
        <v>46</v>
      </c>
      <c r="M159" s="114" t="str">
        <f>IF(OR(Table10[[#This Row],[Winter Clothes Adult ]]&lt;&gt;0,Table10[[#This Row],[Winter Clothes Children ]]&lt;&gt;0,Table10[[#This Row],[Winter Items Other ]]&lt;&gt;0),"No","")</f>
        <v/>
      </c>
      <c r="N159" s="115">
        <f>COUNTIF(A:A,Table10[[#This Row],[Pcode]])-1</f>
        <v>0</v>
      </c>
    </row>
    <row r="160" spans="1:14" x14ac:dyDescent="0.25">
      <c r="A160" s="102" t="s">
        <v>346</v>
      </c>
      <c r="B160" s="7" t="e">
        <f ca="1">OFFSET(#REF!,MATCH(Table10[[#This Row],[Pcode]],CampList[CP_Pcode],0)-1,0,1,1)</f>
        <v>#REF!</v>
      </c>
      <c r="C160" s="7" t="str">
        <f ca="1">OFFSET(CampList[Camp],MATCH(Table10[[#This Row],[Pcode]],CampList[CP_Pcode],0)-1,0,1,1)</f>
        <v>Thargaya Lisu Baptist Church</v>
      </c>
      <c r="D160" s="7" t="str">
        <f ca="1">OFFSET(CampList[Township],MATCH(Table10[[#This Row],[Pcode]],CampList[CP_Pcode],0)-1,0,1,1)</f>
        <v>Waingmaw</v>
      </c>
      <c r="E160" s="106">
        <f ca="1">OFFSET(CampList[HH],MATCH(Table10[[#This Row],[Pcode]],CampList[CP_Pcode],0)-1,0,1,1)</f>
        <v>45</v>
      </c>
      <c r="F160" s="106">
        <f ca="1">OFFSET(CampList[Total],MATCH(Table10[[#This Row],[Pcode]],CampList[CP_Pcode],0)-1,0,1,1)</f>
        <v>188</v>
      </c>
      <c r="G160" s="106">
        <f>SUMIF('NFI Distributions'!AU$53:AU$1048576,Table10[[#This Row],[Pcode]],'NFI Distributions'!AM$53:AM$1048576)</f>
        <v>0</v>
      </c>
      <c r="H160" s="106">
        <f>SUMIF('NFI Distributions'!AU$53:AU$1048576,Table10[[#This Row],[Pcode]],'NFI Distributions'!AN$53:AN$1048576)</f>
        <v>0</v>
      </c>
      <c r="I160" s="106">
        <f>SUMIF('NFI Distributions'!AU$53:AU$1048576,Table10[[#This Row],[Pcode]],'NFI Distributions'!AO$53:AO$1048576)</f>
        <v>0</v>
      </c>
      <c r="J160" s="106">
        <f ca="1">MAX(Table10[[#This Row],[HH]]*VLOOKUP("Winter Clothes Adult",NFI,6)-Table10[[#This Row],[Winter Clothes Adult ]],0)</f>
        <v>90</v>
      </c>
      <c r="K160" s="106">
        <f ca="1">MAX(Table10[[#This Row],[HH]]*VLOOKUP("Winter Clothes Children ",NFI,6)-Table10[[#This Row],[Winter Clothes Children ]],0)</f>
        <v>45</v>
      </c>
      <c r="L160" s="106">
        <f ca="1">MAX(Table10[[#This Row],[HH]]*VLOOKUP("Winter Items Other ",NFI,6)-Table10[[#This Row],[Winter Items Other ]],0)</f>
        <v>45</v>
      </c>
      <c r="M160" s="114" t="str">
        <f>IF(OR(Table10[[#This Row],[Winter Clothes Adult ]]&lt;&gt;0,Table10[[#This Row],[Winter Clothes Children ]]&lt;&gt;0,Table10[[#This Row],[Winter Items Other ]]&lt;&gt;0),"No","")</f>
        <v/>
      </c>
      <c r="N160" s="115">
        <f>COUNTIF(A:A,Table10[[#This Row],[Pcode]])-1</f>
        <v>0</v>
      </c>
    </row>
    <row r="161" spans="1:14" x14ac:dyDescent="0.25">
      <c r="A161" s="102" t="s">
        <v>873</v>
      </c>
      <c r="B161" s="7" t="e">
        <f ca="1">OFFSET(#REF!,MATCH(Table10[[#This Row],[Pcode]],CampList[CP_Pcode],0)-1,0,1,1)</f>
        <v>#REF!</v>
      </c>
      <c r="C161" s="7" t="str">
        <f ca="1">OFFSET(CampList[Camp],MATCH(Table10[[#This Row],[Pcode]],CampList[CP_Pcode],0)-1,0,1,1)</f>
        <v>Tharthana Ahlin Yaung New Monastery</v>
      </c>
      <c r="D161" s="7" t="str">
        <f ca="1">OFFSET(CampList[Township],MATCH(Table10[[#This Row],[Pcode]],CampList[CP_Pcode],0)-1,0,1,1)</f>
        <v>Bhamo</v>
      </c>
      <c r="E161" s="106">
        <f ca="1">OFFSET(CampList[HH],MATCH(Table10[[#This Row],[Pcode]],CampList[CP_Pcode],0)-1,0,1,1)</f>
        <v>0</v>
      </c>
      <c r="F161" s="106">
        <f ca="1">OFFSET(CampList[Total],MATCH(Table10[[#This Row],[Pcode]],CampList[CP_Pcode],0)-1,0,1,1)</f>
        <v>0</v>
      </c>
      <c r="G161" s="106">
        <f>SUMIF('NFI Distributions'!AU$53:AU$1048576,Table10[[#This Row],[Pcode]],'NFI Distributions'!AM$53:AM$1048576)</f>
        <v>0</v>
      </c>
      <c r="H161" s="106">
        <f>SUMIF('NFI Distributions'!AU$53:AU$1048576,Table10[[#This Row],[Pcode]],'NFI Distributions'!AN$53:AN$1048576)</f>
        <v>0</v>
      </c>
      <c r="I161" s="106">
        <f>SUMIF('NFI Distributions'!AU$53:AU$1048576,Table10[[#This Row],[Pcode]],'NFI Distributions'!AO$53:AO$1048576)</f>
        <v>0</v>
      </c>
      <c r="J161" s="106">
        <f ca="1">MAX(Table10[[#This Row],[HH]]*VLOOKUP("Winter Clothes Adult",NFI,6)-Table10[[#This Row],[Winter Clothes Adult ]],0)</f>
        <v>0</v>
      </c>
      <c r="K161" s="106">
        <f ca="1">MAX(Table10[[#This Row],[HH]]*VLOOKUP("Winter Clothes Children ",NFI,6)-Table10[[#This Row],[Winter Clothes Children ]],0)</f>
        <v>0</v>
      </c>
      <c r="L161" s="106">
        <f ca="1">MAX(Table10[[#This Row],[HH]]*VLOOKUP("Winter Items Other ",NFI,6)-Table10[[#This Row],[Winter Items Other ]],0)</f>
        <v>0</v>
      </c>
      <c r="M161" s="114" t="str">
        <f>IF(OR(Table10[[#This Row],[Winter Clothes Adult ]]&lt;&gt;0,Table10[[#This Row],[Winter Clothes Children ]]&lt;&gt;0,Table10[[#This Row],[Winter Items Other ]]&lt;&gt;0),"No","")</f>
        <v/>
      </c>
      <c r="N161" s="115">
        <f>COUNTIF(A:A,Table10[[#This Row],[Pcode]])-1</f>
        <v>0</v>
      </c>
    </row>
    <row r="162" spans="1:14" x14ac:dyDescent="0.25">
      <c r="A162" s="102" t="s">
        <v>314</v>
      </c>
      <c r="B162" s="7" t="e">
        <f ca="1">OFFSET(#REF!,MATCH(Table10[[#This Row],[Pcode]],CampList[CP_Pcode],0)-1,0,1,1)</f>
        <v>#REF!</v>
      </c>
      <c r="C162" s="7" t="str">
        <f ca="1">OFFSET(CampList[Camp],MATCH(Table10[[#This Row],[Pcode]],CampList[CP_Pcode],0)-1,0,1,1)</f>
        <v>Waingmaw AG Church</v>
      </c>
      <c r="D162" s="7" t="str">
        <f ca="1">OFFSET(CampList[Township],MATCH(Table10[[#This Row],[Pcode]],CampList[CP_Pcode],0)-1,0,1,1)</f>
        <v>Waingmaw</v>
      </c>
      <c r="E162" s="106">
        <f ca="1">OFFSET(CampList[HH],MATCH(Table10[[#This Row],[Pcode]],CampList[CP_Pcode],0)-1,0,1,1)</f>
        <v>67</v>
      </c>
      <c r="F162" s="106">
        <f ca="1">OFFSET(CampList[Total],MATCH(Table10[[#This Row],[Pcode]],CampList[CP_Pcode],0)-1,0,1,1)</f>
        <v>273</v>
      </c>
      <c r="G162" s="106">
        <f>SUMIF('NFI Distributions'!AU$53:AU$1048576,Table10[[#This Row],[Pcode]],'NFI Distributions'!AM$53:AM$1048576)</f>
        <v>0</v>
      </c>
      <c r="H162" s="106">
        <f>SUMIF('NFI Distributions'!AU$53:AU$1048576,Table10[[#This Row],[Pcode]],'NFI Distributions'!AN$53:AN$1048576)</f>
        <v>0</v>
      </c>
      <c r="I162" s="106">
        <f>SUMIF('NFI Distributions'!AU$53:AU$1048576,Table10[[#This Row],[Pcode]],'NFI Distributions'!AO$53:AO$1048576)</f>
        <v>0</v>
      </c>
      <c r="J162" s="106">
        <f ca="1">MAX(Table10[[#This Row],[HH]]*VLOOKUP("Winter Clothes Adult",NFI,6)-Table10[[#This Row],[Winter Clothes Adult ]],0)</f>
        <v>134</v>
      </c>
      <c r="K162" s="106">
        <f ca="1">MAX(Table10[[#This Row],[HH]]*VLOOKUP("Winter Clothes Children ",NFI,6)-Table10[[#This Row],[Winter Clothes Children ]],0)</f>
        <v>67</v>
      </c>
      <c r="L162" s="106">
        <f ca="1">MAX(Table10[[#This Row],[HH]]*VLOOKUP("Winter Items Other ",NFI,6)-Table10[[#This Row],[Winter Items Other ]],0)</f>
        <v>67</v>
      </c>
      <c r="M162" s="114" t="str">
        <f>IF(OR(Table10[[#This Row],[Winter Clothes Adult ]]&lt;&gt;0,Table10[[#This Row],[Winter Clothes Children ]]&lt;&gt;0,Table10[[#This Row],[Winter Items Other ]]&lt;&gt;0),"No","")</f>
        <v/>
      </c>
      <c r="N162" s="115">
        <f>COUNTIF(A:A,Table10[[#This Row],[Pcode]])-1</f>
        <v>0</v>
      </c>
    </row>
    <row r="163" spans="1:14" x14ac:dyDescent="0.25">
      <c r="A163" s="102" t="s">
        <v>308</v>
      </c>
      <c r="B163" s="7" t="e">
        <f ca="1">OFFSET(#REF!,MATCH(Table10[[#This Row],[Pcode]],CampList[CP_Pcode],0)-1,0,1,1)</f>
        <v>#REF!</v>
      </c>
      <c r="C163" s="7" t="str">
        <f ca="1">OFFSET(CampList[Camp],MATCH(Table10[[#This Row],[Pcode]],CampList[CP_Pcode],0)-1,0,1,1)</f>
        <v>Waingmaw Baptist Zonal Office</v>
      </c>
      <c r="D163" s="7" t="str">
        <f ca="1">OFFSET(CampList[Township],MATCH(Table10[[#This Row],[Pcode]],CampList[CP_Pcode],0)-1,0,1,1)</f>
        <v>Waingmaw</v>
      </c>
      <c r="E163" s="106">
        <f ca="1">OFFSET(CampList[HH],MATCH(Table10[[#This Row],[Pcode]],CampList[CP_Pcode],0)-1,0,1,1)</f>
        <v>0</v>
      </c>
      <c r="F163" s="106">
        <f ca="1">OFFSET(CampList[Total],MATCH(Table10[[#This Row],[Pcode]],CampList[CP_Pcode],0)-1,0,1,1)</f>
        <v>0</v>
      </c>
      <c r="G163" s="106">
        <f>SUMIF('NFI Distributions'!AU$53:AU$1048576,Table10[[#This Row],[Pcode]],'NFI Distributions'!AM$53:AM$1048576)</f>
        <v>0</v>
      </c>
      <c r="H163" s="106">
        <f>SUMIF('NFI Distributions'!AU$53:AU$1048576,Table10[[#This Row],[Pcode]],'NFI Distributions'!AN$53:AN$1048576)</f>
        <v>0</v>
      </c>
      <c r="I163" s="106">
        <f>SUMIF('NFI Distributions'!AU$53:AU$1048576,Table10[[#This Row],[Pcode]],'NFI Distributions'!AO$53:AO$1048576)</f>
        <v>0</v>
      </c>
      <c r="J163" s="106">
        <f ca="1">MAX(Table10[[#This Row],[HH]]*VLOOKUP("Winter Clothes Adult",NFI,6)-Table10[[#This Row],[Winter Clothes Adult ]],0)</f>
        <v>0</v>
      </c>
      <c r="K163" s="106">
        <f ca="1">MAX(Table10[[#This Row],[HH]]*VLOOKUP("Winter Clothes Children ",NFI,6)-Table10[[#This Row],[Winter Clothes Children ]],0)</f>
        <v>0</v>
      </c>
      <c r="L163" s="106">
        <f ca="1">MAX(Table10[[#This Row],[HH]]*VLOOKUP("Winter Items Other ",NFI,6)-Table10[[#This Row],[Winter Items Other ]],0)</f>
        <v>0</v>
      </c>
      <c r="M163" s="114" t="str">
        <f>IF(OR(Table10[[#This Row],[Winter Clothes Adult ]]&lt;&gt;0,Table10[[#This Row],[Winter Clothes Children ]]&lt;&gt;0,Table10[[#This Row],[Winter Items Other ]]&lt;&gt;0),"No","")</f>
        <v/>
      </c>
      <c r="N163" s="115">
        <f>COUNTIF(A:A,Table10[[#This Row],[Pcode]])-1</f>
        <v>0</v>
      </c>
    </row>
    <row r="164" spans="1:14" x14ac:dyDescent="0.25">
      <c r="A164" s="102" t="s">
        <v>125</v>
      </c>
      <c r="B164" s="7" t="e">
        <f ca="1">OFFSET(#REF!,MATCH(Table10[[#This Row],[Pcode]],CampList[CP_Pcode],0)-1,0,1,1)</f>
        <v>#REF!</v>
      </c>
      <c r="C164" s="7" t="str">
        <f ca="1">OFFSET(CampList[Camp],MATCH(Table10[[#This Row],[Pcode]],CampList[CP_Pcode],0)-1,0,1,1)</f>
        <v xml:space="preserve">Ward 2 Sai Taung Baptist Church, Seik Mu </v>
      </c>
      <c r="D164" s="7" t="str">
        <f ca="1">OFFSET(CampList[Township],MATCH(Table10[[#This Row],[Pcode]],CampList[CP_Pcode],0)-1,0,1,1)</f>
        <v>Hpakant</v>
      </c>
      <c r="E164" s="106">
        <f ca="1">OFFSET(CampList[HH],MATCH(Table10[[#This Row],[Pcode]],CampList[CP_Pcode],0)-1,0,1,1)</f>
        <v>32</v>
      </c>
      <c r="F164" s="106">
        <f ca="1">OFFSET(CampList[Total],MATCH(Table10[[#This Row],[Pcode]],CampList[CP_Pcode],0)-1,0,1,1)</f>
        <v>173</v>
      </c>
      <c r="G164" s="106">
        <f>SUMIF('NFI Distributions'!AU$53:AU$1048576,Table10[[#This Row],[Pcode]],'NFI Distributions'!AM$53:AM$1048576)</f>
        <v>0</v>
      </c>
      <c r="H164" s="106">
        <f>SUMIF('NFI Distributions'!AU$53:AU$1048576,Table10[[#This Row],[Pcode]],'NFI Distributions'!AN$53:AN$1048576)</f>
        <v>0</v>
      </c>
      <c r="I164" s="106">
        <f>SUMIF('NFI Distributions'!AU$53:AU$1048576,Table10[[#This Row],[Pcode]],'NFI Distributions'!AO$53:AO$1048576)</f>
        <v>0</v>
      </c>
      <c r="J164" s="106">
        <f ca="1">MAX(Table10[[#This Row],[HH]]*VLOOKUP("Winter Clothes Adult",NFI,6)-Table10[[#This Row],[Winter Clothes Adult ]],0)</f>
        <v>64</v>
      </c>
      <c r="K164" s="106">
        <f ca="1">MAX(Table10[[#This Row],[HH]]*VLOOKUP("Winter Clothes Children ",NFI,6)-Table10[[#This Row],[Winter Clothes Children ]],0)</f>
        <v>32</v>
      </c>
      <c r="L164" s="106">
        <f ca="1">MAX(Table10[[#This Row],[HH]]*VLOOKUP("Winter Items Other ",NFI,6)-Table10[[#This Row],[Winter Items Other ]],0)</f>
        <v>32</v>
      </c>
      <c r="M164" s="114" t="str">
        <f>IF(OR(Table10[[#This Row],[Winter Clothes Adult ]]&lt;&gt;0,Table10[[#This Row],[Winter Clothes Children ]]&lt;&gt;0,Table10[[#This Row],[Winter Items Other ]]&lt;&gt;0),"No","")</f>
        <v/>
      </c>
      <c r="N164" s="115">
        <f>COUNTIF(A:A,Table10[[#This Row],[Pcode]])-1</f>
        <v>0</v>
      </c>
    </row>
    <row r="165" spans="1:14" x14ac:dyDescent="0.25">
      <c r="A165" s="102" t="s">
        <v>350</v>
      </c>
      <c r="B165" s="7" t="e">
        <f ca="1">OFFSET(#REF!,MATCH(Table10[[#This Row],[Pcode]],CampList[CP_Pcode],0)-1,0,1,1)</f>
        <v>#REF!</v>
      </c>
      <c r="C165" s="7" t="str">
        <f ca="1">OFFSET(CampList[Camp],MATCH(Table10[[#This Row],[Pcode]],CampList[CP_Pcode],0)-1,0,1,1)</f>
        <v xml:space="preserve">Woi Chyai </v>
      </c>
      <c r="D165" s="7" t="str">
        <f ca="1">OFFSET(CampList[Township],MATCH(Table10[[#This Row],[Pcode]],CampList[CP_Pcode],0)-1,0,1,1)</f>
        <v>Waingmaw</v>
      </c>
      <c r="E165" s="106">
        <f ca="1">OFFSET(CampList[HH],MATCH(Table10[[#This Row],[Pcode]],CampList[CP_Pcode],0)-1,0,1,1)</f>
        <v>1417</v>
      </c>
      <c r="F165" s="106">
        <f ca="1">OFFSET(CampList[Total],MATCH(Table10[[#This Row],[Pcode]],CampList[CP_Pcode],0)-1,0,1,1)</f>
        <v>7074</v>
      </c>
      <c r="G165" s="106">
        <f>SUMIF('NFI Distributions'!AU$53:AU$1048576,Table10[[#This Row],[Pcode]],'NFI Distributions'!AM$53:AM$1048576)</f>
        <v>0</v>
      </c>
      <c r="H165" s="106">
        <f>SUMIF('NFI Distributions'!AU$53:AU$1048576,Table10[[#This Row],[Pcode]],'NFI Distributions'!AN$53:AN$1048576)</f>
        <v>0</v>
      </c>
      <c r="I165" s="106">
        <f>SUMIF('NFI Distributions'!AU$53:AU$1048576,Table10[[#This Row],[Pcode]],'NFI Distributions'!AO$53:AO$1048576)</f>
        <v>0</v>
      </c>
      <c r="J165" s="106">
        <f ca="1">MAX(Table10[[#This Row],[HH]]*VLOOKUP("Winter Clothes Adult",NFI,6)-Table10[[#This Row],[Winter Clothes Adult ]],0)</f>
        <v>2834</v>
      </c>
      <c r="K165" s="106">
        <f ca="1">MAX(Table10[[#This Row],[HH]]*VLOOKUP("Winter Clothes Children ",NFI,6)-Table10[[#This Row],[Winter Clothes Children ]],0)</f>
        <v>1417</v>
      </c>
      <c r="L165" s="106">
        <f ca="1">MAX(Table10[[#This Row],[HH]]*VLOOKUP("Winter Items Other ",NFI,6)-Table10[[#This Row],[Winter Items Other ]],0)</f>
        <v>1417</v>
      </c>
      <c r="M165" s="114" t="str">
        <f>IF(OR(Table10[[#This Row],[Winter Clothes Adult ]]&lt;&gt;0,Table10[[#This Row],[Winter Clothes Children ]]&lt;&gt;0,Table10[[#This Row],[Winter Items Other ]]&lt;&gt;0),"No","")</f>
        <v/>
      </c>
      <c r="N165" s="115">
        <f>COUNTIF(A:A,Table10[[#This Row],[Pcode]])-1</f>
        <v>0</v>
      </c>
    </row>
    <row r="166" spans="1:14" x14ac:dyDescent="0.25">
      <c r="A166" s="102" t="s">
        <v>281</v>
      </c>
      <c r="B166" s="7" t="e">
        <f ca="1">OFFSET(#REF!,MATCH(Table10[[#This Row],[Pcode]],CampList[CP_Pcode],0)-1,0,1,1)</f>
        <v>#REF!</v>
      </c>
      <c r="C166" s="7" t="str">
        <f ca="1">OFFSET(CampList[Camp],MATCH(Table10[[#This Row],[Pcode]],CampList[CP_Pcode],0)-1,0,1,1)</f>
        <v>Wun Tho Buddhist Monastery</v>
      </c>
      <c r="D166" s="7" t="str">
        <f ca="1">OFFSET(CampList[Township],MATCH(Table10[[#This Row],[Pcode]],CampList[CP_Pcode],0)-1,0,1,1)</f>
        <v>Myitkyina</v>
      </c>
      <c r="E166" s="106">
        <f ca="1">OFFSET(CampList[HH],MATCH(Table10[[#This Row],[Pcode]],CampList[CP_Pcode],0)-1,0,1,1)</f>
        <v>7</v>
      </c>
      <c r="F166" s="106">
        <f ca="1">OFFSET(CampList[Total],MATCH(Table10[[#This Row],[Pcode]],CampList[CP_Pcode],0)-1,0,1,1)</f>
        <v>37</v>
      </c>
      <c r="G166" s="106">
        <f>SUMIF('NFI Distributions'!AU$53:AU$1048576,Table10[[#This Row],[Pcode]],'NFI Distributions'!AM$53:AM$1048576)</f>
        <v>0</v>
      </c>
      <c r="H166" s="106">
        <f>SUMIF('NFI Distributions'!AU$53:AU$1048576,Table10[[#This Row],[Pcode]],'NFI Distributions'!AN$53:AN$1048576)</f>
        <v>0</v>
      </c>
      <c r="I166" s="106">
        <f>SUMIF('NFI Distributions'!AU$53:AU$1048576,Table10[[#This Row],[Pcode]],'NFI Distributions'!AO$53:AO$1048576)</f>
        <v>0</v>
      </c>
      <c r="J166" s="106">
        <f ca="1">MAX(Table10[[#This Row],[HH]]*VLOOKUP("Winter Clothes Adult",NFI,6)-Table10[[#This Row],[Winter Clothes Adult ]],0)</f>
        <v>14</v>
      </c>
      <c r="K166" s="106">
        <f ca="1">MAX(Table10[[#This Row],[HH]]*VLOOKUP("Winter Clothes Children ",NFI,6)-Table10[[#This Row],[Winter Clothes Children ]],0)</f>
        <v>7</v>
      </c>
      <c r="L166" s="106">
        <f ca="1">MAX(Table10[[#This Row],[HH]]*VLOOKUP("Winter Items Other ",NFI,6)-Table10[[#This Row],[Winter Items Other ]],0)</f>
        <v>7</v>
      </c>
      <c r="M166" s="114" t="str">
        <f>IF(OR(Table10[[#This Row],[Winter Clothes Adult ]]&lt;&gt;0,Table10[[#This Row],[Winter Clothes Children ]]&lt;&gt;0,Table10[[#This Row],[Winter Items Other ]]&lt;&gt;0),"No","")</f>
        <v/>
      </c>
      <c r="N166" s="115">
        <f>COUNTIF(A:A,Table10[[#This Row],[Pcode]])-1</f>
        <v>0</v>
      </c>
    </row>
    <row r="167" spans="1:14" x14ac:dyDescent="0.25">
      <c r="A167" s="102" t="s">
        <v>25</v>
      </c>
      <c r="B167" s="7" t="e">
        <f ca="1">OFFSET(#REF!,MATCH(Table10[[#This Row],[Pcode]],CampList[CP_Pcode],0)-1,0,1,1)</f>
        <v>#REF!</v>
      </c>
      <c r="C167" s="7" t="str">
        <f ca="1">OFFSET(CampList[Camp],MATCH(Table10[[#This Row],[Pcode]],CampList[CP_Pcode],0)-1,0,1,1)</f>
        <v>Yoe Kyi Monastery</v>
      </c>
      <c r="D167" s="7" t="str">
        <f ca="1">OFFSET(CampList[Township],MATCH(Table10[[#This Row],[Pcode]],CampList[CP_Pcode],0)-1,0,1,1)</f>
        <v>Bhamo</v>
      </c>
      <c r="E167" s="106">
        <f ca="1">OFFSET(CampList[HH],MATCH(Table10[[#This Row],[Pcode]],CampList[CP_Pcode],0)-1,0,1,1)</f>
        <v>13</v>
      </c>
      <c r="F167" s="106">
        <f ca="1">OFFSET(CampList[Total],MATCH(Table10[[#This Row],[Pcode]],CampList[CP_Pcode],0)-1,0,1,1)</f>
        <v>63</v>
      </c>
      <c r="G167" s="106">
        <f>SUMIF('NFI Distributions'!AU$53:AU$1048576,Table10[[#This Row],[Pcode]],'NFI Distributions'!AM$53:AM$1048576)</f>
        <v>0</v>
      </c>
      <c r="H167" s="106">
        <f>SUMIF('NFI Distributions'!AU$53:AU$1048576,Table10[[#This Row],[Pcode]],'NFI Distributions'!AN$53:AN$1048576)</f>
        <v>0</v>
      </c>
      <c r="I167" s="106">
        <f>SUMIF('NFI Distributions'!AU$53:AU$1048576,Table10[[#This Row],[Pcode]],'NFI Distributions'!AO$53:AO$1048576)</f>
        <v>0</v>
      </c>
      <c r="J167" s="106">
        <f ca="1">MAX(Table10[[#This Row],[HH]]*VLOOKUP("Winter Clothes Adult",NFI,6)-Table10[[#This Row],[Winter Clothes Adult ]],0)</f>
        <v>26</v>
      </c>
      <c r="K167" s="106">
        <f ca="1">MAX(Table10[[#This Row],[HH]]*VLOOKUP("Winter Clothes Children ",NFI,6)-Table10[[#This Row],[Winter Clothes Children ]],0)</f>
        <v>13</v>
      </c>
      <c r="L167" s="106">
        <f ca="1">MAX(Table10[[#This Row],[HH]]*VLOOKUP("Winter Items Other ",NFI,6)-Table10[[#This Row],[Winter Items Other ]],0)</f>
        <v>13</v>
      </c>
      <c r="M167" s="114" t="str">
        <f>IF(OR(Table10[[#This Row],[Winter Clothes Adult ]]&lt;&gt;0,Table10[[#This Row],[Winter Clothes Children ]]&lt;&gt;0,Table10[[#This Row],[Winter Items Other ]]&lt;&gt;0),"No","")</f>
        <v/>
      </c>
      <c r="N167" s="115">
        <f>COUNTIF(A:A,Table10[[#This Row],[Pcode]])-1</f>
        <v>0</v>
      </c>
    </row>
    <row r="168" spans="1:14" x14ac:dyDescent="0.25">
      <c r="A168" s="101" t="s">
        <v>139</v>
      </c>
      <c r="B168" s="108" t="e">
        <f ca="1">OFFSET(#REF!,MATCH(Table10[[#This Row],[Pcode]],CampList[CP_Pcode],0)-1,0,1,1)</f>
        <v>#REF!</v>
      </c>
      <c r="C168" s="108" t="str">
        <f ca="1">OFFSET(CampList[Camp],MATCH(Table10[[#This Row],[Pcode]],CampList[CP_Pcode],0)-1,0,1,1)</f>
        <v>Yumar Baptist Church</v>
      </c>
      <c r="D168" s="108" t="str">
        <f ca="1">OFFSET(CampList[Township],MATCH(Table10[[#This Row],[Pcode]],CampList[CP_Pcode],0)-1,0,1,1)</f>
        <v>Hpakant</v>
      </c>
      <c r="E168" s="116">
        <f ca="1">OFFSET(CampList[HH],MATCH(Table10[[#This Row],[Pcode]],CampList[CP_Pcode],0)-1,0,1,1)</f>
        <v>16</v>
      </c>
      <c r="F168" s="116">
        <f ca="1">OFFSET(CampList[Total],MATCH(Table10[[#This Row],[Pcode]],CampList[CP_Pcode],0)-1,0,1,1)</f>
        <v>68</v>
      </c>
      <c r="G168" s="116">
        <f>SUMIF('NFI Distributions'!AU$53:AU$1048576,Table10[[#This Row],[Pcode]],'NFI Distributions'!AM$53:AM$1048576)</f>
        <v>0</v>
      </c>
      <c r="H168" s="116">
        <f>SUMIF('NFI Distributions'!AU$53:AU$1048576,Table10[[#This Row],[Pcode]],'NFI Distributions'!AN$53:AN$1048576)</f>
        <v>0</v>
      </c>
      <c r="I168" s="116">
        <f>SUMIF('NFI Distributions'!AU$53:AU$1048576,Table10[[#This Row],[Pcode]],'NFI Distributions'!AO$53:AO$1048576)</f>
        <v>0</v>
      </c>
      <c r="J168" s="116">
        <f ca="1">MAX(Table10[[#This Row],[HH]]*VLOOKUP("Winter Clothes Adult",NFI,6)-Table10[[#This Row],[Winter Clothes Adult ]],0)</f>
        <v>32</v>
      </c>
      <c r="K168" s="116">
        <f ca="1">MAX(Table10[[#This Row],[HH]]*VLOOKUP("Winter Clothes Children ",NFI,6)-Table10[[#This Row],[Winter Clothes Children ]],0)</f>
        <v>16</v>
      </c>
      <c r="L168" s="116">
        <f ca="1">MAX(Table10[[#This Row],[HH]]*VLOOKUP("Winter Items Other ",NFI,6)-Table10[[#This Row],[Winter Items Other ]],0)</f>
        <v>16</v>
      </c>
      <c r="M168" s="117" t="str">
        <f>IF(OR(Table10[[#This Row],[Winter Clothes Adult ]]&lt;&gt;0,Table10[[#This Row],[Winter Clothes Children ]]&lt;&gt;0,Table10[[#This Row],[Winter Items Other ]]&lt;&gt;0),"No","")</f>
        <v/>
      </c>
      <c r="N168" s="118">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WD2808"/>
  <sheetViews>
    <sheetView showGridLines="0" showZeros="0" zoomScale="112" zoomScaleNormal="112" zoomScaleSheetLayoutView="80" workbookViewId="0">
      <selection activeCell="G40" sqref="G40"/>
    </sheetView>
  </sheetViews>
  <sheetFormatPr defaultColWidth="11.42578125" defaultRowHeight="15" x14ac:dyDescent="0.25"/>
  <cols>
    <col min="1" max="1" width="2.42578125" style="38" customWidth="1"/>
    <col min="2" max="2" width="1.5703125" style="38" customWidth="1"/>
    <col min="3" max="3" width="13.5703125" style="8" customWidth="1"/>
    <col min="4" max="4" width="9.7109375" style="8" customWidth="1"/>
    <col min="5" max="5" width="8.140625" style="8" customWidth="1"/>
    <col min="6" max="6" width="11.42578125" style="8" customWidth="1"/>
    <col min="7" max="7" width="13.7109375" style="8" customWidth="1"/>
    <col min="8" max="8" width="11.140625" style="8" customWidth="1"/>
    <col min="9" max="9" width="0.85546875" style="8" customWidth="1"/>
    <col min="10" max="10" width="6" style="8" customWidth="1"/>
    <col min="11" max="11" width="2" style="38" customWidth="1"/>
    <col min="12" max="12" width="14.85546875" style="8" customWidth="1"/>
    <col min="13" max="13" width="7.42578125" style="8" customWidth="1"/>
    <col min="14" max="14" width="9.85546875" style="8" customWidth="1"/>
    <col min="15" max="16" width="9.140625" style="8" customWidth="1"/>
    <col min="17" max="17" width="5.7109375" style="9" customWidth="1"/>
    <col min="18" max="19" width="5.7109375" style="38" customWidth="1"/>
    <col min="20" max="20" width="1.28515625" style="38" customWidth="1"/>
    <col min="21" max="21" width="5" style="38" customWidth="1"/>
    <col min="22" max="22" width="7.7109375" style="38" hidden="1" customWidth="1"/>
    <col min="23" max="23" width="7.5703125" style="38" hidden="1" customWidth="1"/>
    <col min="24" max="24" width="4.28515625" style="38" hidden="1" customWidth="1"/>
    <col min="25" max="25" width="7.140625" style="38" hidden="1" customWidth="1"/>
    <col min="26" max="27" width="10.140625" style="38" hidden="1" customWidth="1"/>
    <col min="28" max="28" width="9.5703125" style="38" hidden="1" customWidth="1"/>
    <col min="29" max="29" width="9.28515625" style="38" hidden="1" customWidth="1"/>
    <col min="30" max="30" width="9.85546875" style="38" hidden="1" customWidth="1"/>
    <col min="31" max="31" width="10.28515625" style="38" hidden="1" customWidth="1"/>
    <col min="32" max="32" width="8.85546875" style="8" hidden="1" customWidth="1"/>
    <col min="33" max="34" width="11" style="8" customWidth="1"/>
    <col min="35" max="40" width="11" style="305" customWidth="1"/>
    <col min="41" max="45" width="11" style="8" customWidth="1"/>
    <col min="46" max="46" width="11.42578125" style="305"/>
    <col min="47" max="47" width="39.42578125" style="8" customWidth="1"/>
    <col min="48" max="48" width="17.85546875" style="8" customWidth="1"/>
    <col min="49" max="49" width="11.42578125" style="8" customWidth="1"/>
    <col min="50" max="50" width="16.28515625" style="8" customWidth="1"/>
    <col min="51" max="51" width="17.85546875" style="8" customWidth="1"/>
    <col min="52" max="52" width="8.140625" style="8" customWidth="1"/>
    <col min="53" max="53" width="11.42578125" style="8" customWidth="1"/>
    <col min="54" max="54" width="13.7109375" style="8" customWidth="1"/>
    <col min="55" max="55" width="11.140625" style="8" customWidth="1"/>
    <col min="56" max="56" width="11.5703125" style="8" customWidth="1"/>
    <col min="57" max="266" width="11.42578125" style="8"/>
    <col min="267" max="267" width="5.28515625" style="8" customWidth="1"/>
    <col min="268" max="268" width="15.28515625" style="8" customWidth="1"/>
    <col min="269" max="269" width="14.42578125" style="8" bestFit="1" customWidth="1"/>
    <col min="270" max="270" width="10.42578125" style="8" bestFit="1" customWidth="1"/>
    <col min="271" max="271" width="12.28515625" style="8" customWidth="1"/>
    <col min="272" max="276" width="11.42578125" style="8" customWidth="1"/>
    <col min="277" max="278" width="10.5703125" style="8" bestFit="1" customWidth="1"/>
    <col min="279" max="280" width="11.42578125" style="8" customWidth="1"/>
    <col min="281" max="281" width="6.140625" style="8" customWidth="1"/>
    <col min="282" max="292" width="11.42578125" style="8" customWidth="1"/>
    <col min="293" max="522" width="11.42578125" style="8"/>
    <col min="523" max="523" width="5.28515625" style="8" customWidth="1"/>
    <col min="524" max="524" width="15.28515625" style="8" customWidth="1"/>
    <col min="525" max="525" width="14.42578125" style="8" bestFit="1" customWidth="1"/>
    <col min="526" max="526" width="10.42578125" style="8" bestFit="1" customWidth="1"/>
    <col min="527" max="527" width="12.28515625" style="8" customWidth="1"/>
    <col min="528" max="532" width="11.42578125" style="8" customWidth="1"/>
    <col min="533" max="534" width="10.5703125" style="8" bestFit="1" customWidth="1"/>
    <col min="535" max="536" width="11.42578125" style="8" customWidth="1"/>
    <col min="537" max="537" width="6.140625" style="8" customWidth="1"/>
    <col min="538" max="548" width="11.42578125" style="8" customWidth="1"/>
    <col min="549" max="601" width="11.42578125" style="8"/>
    <col min="602" max="602" width="11.42578125" style="13"/>
    <col min="603" max="778" width="11.42578125" style="8"/>
    <col min="779" max="779" width="5.28515625" style="8" customWidth="1"/>
    <col min="780" max="780" width="15.28515625" style="8" customWidth="1"/>
    <col min="781" max="781" width="14.42578125" style="8" bestFit="1" customWidth="1"/>
    <col min="782" max="782" width="10.42578125" style="8" bestFit="1" customWidth="1"/>
    <col min="783" max="783" width="12.28515625" style="8" customWidth="1"/>
    <col min="784" max="788" width="11.42578125" style="8" customWidth="1"/>
    <col min="789" max="790" width="10.5703125" style="8" bestFit="1" customWidth="1"/>
    <col min="791" max="792" width="11.42578125" style="8" customWidth="1"/>
    <col min="793" max="793" width="6.140625" style="8" customWidth="1"/>
    <col min="794" max="804" width="11.42578125" style="8" customWidth="1"/>
    <col min="805" max="1034" width="11.42578125" style="8"/>
    <col min="1035" max="1035" width="5.28515625" style="8" customWidth="1"/>
    <col min="1036" max="1036" width="15.28515625" style="8" customWidth="1"/>
    <col min="1037" max="1037" width="14.42578125" style="8" bestFit="1" customWidth="1"/>
    <col min="1038" max="1038" width="10.42578125" style="8" bestFit="1" customWidth="1"/>
    <col min="1039" max="1039" width="12.28515625" style="8" customWidth="1"/>
    <col min="1040" max="1044" width="11.42578125" style="8" customWidth="1"/>
    <col min="1045" max="1046" width="10.5703125" style="8" bestFit="1" customWidth="1"/>
    <col min="1047" max="1048" width="11.42578125" style="8" customWidth="1"/>
    <col min="1049" max="1049" width="6.140625" style="8" customWidth="1"/>
    <col min="1050" max="1060" width="11.42578125" style="8" customWidth="1"/>
    <col min="1061" max="1290" width="11.42578125" style="8"/>
    <col min="1291" max="1291" width="5.28515625" style="8" customWidth="1"/>
    <col min="1292" max="1292" width="15.28515625" style="8" customWidth="1"/>
    <col min="1293" max="1293" width="14.42578125" style="8" bestFit="1" customWidth="1"/>
    <col min="1294" max="1294" width="10.42578125" style="8" bestFit="1" customWidth="1"/>
    <col min="1295" max="1295" width="12.28515625" style="8" customWidth="1"/>
    <col min="1296" max="1300" width="11.42578125" style="8" customWidth="1"/>
    <col min="1301" max="1302" width="10.5703125" style="8" bestFit="1" customWidth="1"/>
    <col min="1303" max="1304" width="11.42578125" style="8" customWidth="1"/>
    <col min="1305" max="1305" width="6.140625" style="8" customWidth="1"/>
    <col min="1306" max="1316" width="11.42578125" style="8" customWidth="1"/>
    <col min="1317" max="1546" width="11.42578125" style="8"/>
    <col min="1547" max="1547" width="5.28515625" style="8" customWidth="1"/>
    <col min="1548" max="1548" width="15.28515625" style="8" customWidth="1"/>
    <col min="1549" max="1549" width="14.42578125" style="8" bestFit="1" customWidth="1"/>
    <col min="1550" max="1550" width="10.42578125" style="8" bestFit="1" customWidth="1"/>
    <col min="1551" max="1551" width="12.28515625" style="8" customWidth="1"/>
    <col min="1552" max="1556" width="11.42578125" style="8" customWidth="1"/>
    <col min="1557" max="1558" width="10.5703125" style="8" bestFit="1" customWidth="1"/>
    <col min="1559" max="1560" width="11.42578125" style="8" customWidth="1"/>
    <col min="1561" max="1561" width="6.140625" style="8" customWidth="1"/>
    <col min="1562" max="1572" width="11.42578125" style="8" customWidth="1"/>
    <col min="1573" max="1802" width="11.42578125" style="8"/>
    <col min="1803" max="1803" width="5.28515625" style="8" customWidth="1"/>
    <col min="1804" max="1804" width="15.28515625" style="8" customWidth="1"/>
    <col min="1805" max="1805" width="14.42578125" style="8" bestFit="1" customWidth="1"/>
    <col min="1806" max="1806" width="10.42578125" style="8" bestFit="1" customWidth="1"/>
    <col min="1807" max="1807" width="12.28515625" style="8" customWidth="1"/>
    <col min="1808" max="1812" width="11.42578125" style="8" customWidth="1"/>
    <col min="1813" max="1814" width="10.5703125" style="8" bestFit="1" customWidth="1"/>
    <col min="1815" max="1816" width="11.42578125" style="8" customWidth="1"/>
    <col min="1817" max="1817" width="6.140625" style="8" customWidth="1"/>
    <col min="1818" max="1828" width="11.42578125" style="8" customWidth="1"/>
    <col min="1829" max="2058" width="11.42578125" style="8"/>
    <col min="2059" max="2059" width="5.28515625" style="8" customWidth="1"/>
    <col min="2060" max="2060" width="15.28515625" style="8" customWidth="1"/>
    <col min="2061" max="2061" width="14.42578125" style="8" bestFit="1" customWidth="1"/>
    <col min="2062" max="2062" width="10.42578125" style="8" bestFit="1" customWidth="1"/>
    <col min="2063" max="2063" width="12.28515625" style="8" customWidth="1"/>
    <col min="2064" max="2068" width="11.42578125" style="8" customWidth="1"/>
    <col min="2069" max="2070" width="10.5703125" style="8" bestFit="1" customWidth="1"/>
    <col min="2071" max="2072" width="11.42578125" style="8" customWidth="1"/>
    <col min="2073" max="2073" width="6.140625" style="8" customWidth="1"/>
    <col min="2074" max="2084" width="11.42578125" style="8" customWidth="1"/>
    <col min="2085" max="2314" width="11.42578125" style="8"/>
    <col min="2315" max="2315" width="5.28515625" style="8" customWidth="1"/>
    <col min="2316" max="2316" width="15.28515625" style="8" customWidth="1"/>
    <col min="2317" max="2317" width="14.42578125" style="8" bestFit="1" customWidth="1"/>
    <col min="2318" max="2318" width="10.42578125" style="8" bestFit="1" customWidth="1"/>
    <col min="2319" max="2319" width="12.28515625" style="8" customWidth="1"/>
    <col min="2320" max="2324" width="11.42578125" style="8" customWidth="1"/>
    <col min="2325" max="2326" width="10.5703125" style="8" bestFit="1" customWidth="1"/>
    <col min="2327" max="2328" width="11.42578125" style="8" customWidth="1"/>
    <col min="2329" max="2329" width="6.140625" style="8" customWidth="1"/>
    <col min="2330" max="2340" width="11.42578125" style="8" customWidth="1"/>
    <col min="2341" max="2570" width="11.42578125" style="8"/>
    <col min="2571" max="2571" width="5.28515625" style="8" customWidth="1"/>
    <col min="2572" max="2572" width="15.28515625" style="8" customWidth="1"/>
    <col min="2573" max="2573" width="14.42578125" style="8" bestFit="1" customWidth="1"/>
    <col min="2574" max="2574" width="10.42578125" style="8" bestFit="1" customWidth="1"/>
    <col min="2575" max="2575" width="12.28515625" style="8" customWidth="1"/>
    <col min="2576" max="2580" width="11.42578125" style="8" customWidth="1"/>
    <col min="2581" max="2582" width="10.5703125" style="8" bestFit="1" customWidth="1"/>
    <col min="2583" max="2584" width="11.42578125" style="8" customWidth="1"/>
    <col min="2585" max="2585" width="6.140625" style="8" customWidth="1"/>
    <col min="2586" max="2596" width="11.42578125" style="8" customWidth="1"/>
    <col min="2597" max="2826" width="11.42578125" style="8"/>
    <col min="2827" max="2827" width="5.28515625" style="8" customWidth="1"/>
    <col min="2828" max="2828" width="15.28515625" style="8" customWidth="1"/>
    <col min="2829" max="2829" width="14.42578125" style="8" bestFit="1" customWidth="1"/>
    <col min="2830" max="2830" width="10.42578125" style="8" bestFit="1" customWidth="1"/>
    <col min="2831" max="2831" width="12.28515625" style="8" customWidth="1"/>
    <col min="2832" max="2836" width="11.42578125" style="8" customWidth="1"/>
    <col min="2837" max="2838" width="10.5703125" style="8" bestFit="1" customWidth="1"/>
    <col min="2839" max="2840" width="11.42578125" style="8" customWidth="1"/>
    <col min="2841" max="2841" width="6.140625" style="8" customWidth="1"/>
    <col min="2842" max="2852" width="11.42578125" style="8" customWidth="1"/>
    <col min="2853" max="3082" width="11.42578125" style="8"/>
    <col min="3083" max="3083" width="5.28515625" style="8" customWidth="1"/>
    <col min="3084" max="3084" width="15.28515625" style="8" customWidth="1"/>
    <col min="3085" max="3085" width="14.42578125" style="8" bestFit="1" customWidth="1"/>
    <col min="3086" max="3086" width="10.42578125" style="8" bestFit="1" customWidth="1"/>
    <col min="3087" max="3087" width="12.28515625" style="8" customWidth="1"/>
    <col min="3088" max="3092" width="11.42578125" style="8" customWidth="1"/>
    <col min="3093" max="3094" width="10.5703125" style="8" bestFit="1" customWidth="1"/>
    <col min="3095" max="3096" width="11.42578125" style="8" customWidth="1"/>
    <col min="3097" max="3097" width="6.140625" style="8" customWidth="1"/>
    <col min="3098" max="3108" width="11.42578125" style="8" customWidth="1"/>
    <col min="3109" max="3338" width="11.42578125" style="8"/>
    <col min="3339" max="3339" width="5.28515625" style="8" customWidth="1"/>
    <col min="3340" max="3340" width="15.28515625" style="8" customWidth="1"/>
    <col min="3341" max="3341" width="14.42578125" style="8" bestFit="1" customWidth="1"/>
    <col min="3342" max="3342" width="10.42578125" style="8" bestFit="1" customWidth="1"/>
    <col min="3343" max="3343" width="12.28515625" style="8" customWidth="1"/>
    <col min="3344" max="3348" width="11.42578125" style="8" customWidth="1"/>
    <col min="3349" max="3350" width="10.5703125" style="8" bestFit="1" customWidth="1"/>
    <col min="3351" max="3352" width="11.42578125" style="8" customWidth="1"/>
    <col min="3353" max="3353" width="6.140625" style="8" customWidth="1"/>
    <col min="3354" max="3364" width="11.42578125" style="8" customWidth="1"/>
    <col min="3365" max="3594" width="11.42578125" style="8"/>
    <col min="3595" max="3595" width="5.28515625" style="8" customWidth="1"/>
    <col min="3596" max="3596" width="15.28515625" style="8" customWidth="1"/>
    <col min="3597" max="3597" width="14.42578125" style="8" bestFit="1" customWidth="1"/>
    <col min="3598" max="3598" width="10.42578125" style="8" bestFit="1" customWidth="1"/>
    <col min="3599" max="3599" width="12.28515625" style="8" customWidth="1"/>
    <col min="3600" max="3604" width="11.42578125" style="8" customWidth="1"/>
    <col min="3605" max="3606" width="10.5703125" style="8" bestFit="1" customWidth="1"/>
    <col min="3607" max="3608" width="11.42578125" style="8" customWidth="1"/>
    <col min="3609" max="3609" width="6.140625" style="8" customWidth="1"/>
    <col min="3610" max="3620" width="11.42578125" style="8" customWidth="1"/>
    <col min="3621" max="3850" width="11.42578125" style="8"/>
    <col min="3851" max="3851" width="5.28515625" style="8" customWidth="1"/>
    <col min="3852" max="3852" width="15.28515625" style="8" customWidth="1"/>
    <col min="3853" max="3853" width="14.42578125" style="8" bestFit="1" customWidth="1"/>
    <col min="3854" max="3854" width="10.42578125" style="8" bestFit="1" customWidth="1"/>
    <col min="3855" max="3855" width="12.28515625" style="8" customWidth="1"/>
    <col min="3856" max="3860" width="11.42578125" style="8" customWidth="1"/>
    <col min="3861" max="3862" width="10.5703125" style="8" bestFit="1" customWidth="1"/>
    <col min="3863" max="3864" width="11.42578125" style="8" customWidth="1"/>
    <col min="3865" max="3865" width="6.140625" style="8" customWidth="1"/>
    <col min="3866" max="3876" width="11.42578125" style="8" customWidth="1"/>
    <col min="3877" max="4106" width="11.42578125" style="8"/>
    <col min="4107" max="4107" width="5.28515625" style="8" customWidth="1"/>
    <col min="4108" max="4108" width="15.28515625" style="8" customWidth="1"/>
    <col min="4109" max="4109" width="14.42578125" style="8" bestFit="1" customWidth="1"/>
    <col min="4110" max="4110" width="10.42578125" style="8" bestFit="1" customWidth="1"/>
    <col min="4111" max="4111" width="12.28515625" style="8" customWidth="1"/>
    <col min="4112" max="4116" width="11.42578125" style="8" customWidth="1"/>
    <col min="4117" max="4118" width="10.5703125" style="8" bestFit="1" customWidth="1"/>
    <col min="4119" max="4120" width="11.42578125" style="8" customWidth="1"/>
    <col min="4121" max="4121" width="6.140625" style="8" customWidth="1"/>
    <col min="4122" max="4132" width="11.42578125" style="8" customWidth="1"/>
    <col min="4133" max="4362" width="11.42578125" style="8"/>
    <col min="4363" max="4363" width="5.28515625" style="8" customWidth="1"/>
    <col min="4364" max="4364" width="15.28515625" style="8" customWidth="1"/>
    <col min="4365" max="4365" width="14.42578125" style="8" bestFit="1" customWidth="1"/>
    <col min="4366" max="4366" width="10.42578125" style="8" bestFit="1" customWidth="1"/>
    <col min="4367" max="4367" width="12.28515625" style="8" customWidth="1"/>
    <col min="4368" max="4372" width="11.42578125" style="8" customWidth="1"/>
    <col min="4373" max="4374" width="10.5703125" style="8" bestFit="1" customWidth="1"/>
    <col min="4375" max="4376" width="11.42578125" style="8" customWidth="1"/>
    <col min="4377" max="4377" width="6.140625" style="8" customWidth="1"/>
    <col min="4378" max="4388" width="11.42578125" style="8" customWidth="1"/>
    <col min="4389" max="4618" width="11.42578125" style="8"/>
    <col min="4619" max="4619" width="5.28515625" style="8" customWidth="1"/>
    <col min="4620" max="4620" width="15.28515625" style="8" customWidth="1"/>
    <col min="4621" max="4621" width="14.42578125" style="8" bestFit="1" customWidth="1"/>
    <col min="4622" max="4622" width="10.42578125" style="8" bestFit="1" customWidth="1"/>
    <col min="4623" max="4623" width="12.28515625" style="8" customWidth="1"/>
    <col min="4624" max="4628" width="11.42578125" style="8" customWidth="1"/>
    <col min="4629" max="4630" width="10.5703125" style="8" bestFit="1" customWidth="1"/>
    <col min="4631" max="4632" width="11.42578125" style="8" customWidth="1"/>
    <col min="4633" max="4633" width="6.140625" style="8" customWidth="1"/>
    <col min="4634" max="4644" width="11.42578125" style="8" customWidth="1"/>
    <col min="4645" max="4874" width="11.42578125" style="8"/>
    <col min="4875" max="4875" width="5.28515625" style="8" customWidth="1"/>
    <col min="4876" max="4876" width="15.28515625" style="8" customWidth="1"/>
    <col min="4877" max="4877" width="14.42578125" style="8" bestFit="1" customWidth="1"/>
    <col min="4878" max="4878" width="10.42578125" style="8" bestFit="1" customWidth="1"/>
    <col min="4879" max="4879" width="12.28515625" style="8" customWidth="1"/>
    <col min="4880" max="4884" width="11.42578125" style="8" customWidth="1"/>
    <col min="4885" max="4886" width="10.5703125" style="8" bestFit="1" customWidth="1"/>
    <col min="4887" max="4888" width="11.42578125" style="8" customWidth="1"/>
    <col min="4889" max="4889" width="6.140625" style="8" customWidth="1"/>
    <col min="4890" max="4900" width="11.42578125" style="8" customWidth="1"/>
    <col min="4901" max="5130" width="11.42578125" style="8"/>
    <col min="5131" max="5131" width="5.28515625" style="8" customWidth="1"/>
    <col min="5132" max="5132" width="15.28515625" style="8" customWidth="1"/>
    <col min="5133" max="5133" width="14.42578125" style="8" bestFit="1" customWidth="1"/>
    <col min="5134" max="5134" width="10.42578125" style="8" bestFit="1" customWidth="1"/>
    <col min="5135" max="5135" width="12.28515625" style="8" customWidth="1"/>
    <col min="5136" max="5140" width="11.42578125" style="8" customWidth="1"/>
    <col min="5141" max="5142" width="10.5703125" style="8" bestFit="1" customWidth="1"/>
    <col min="5143" max="5144" width="11.42578125" style="8" customWidth="1"/>
    <col min="5145" max="5145" width="6.140625" style="8" customWidth="1"/>
    <col min="5146" max="5156" width="11.42578125" style="8" customWidth="1"/>
    <col min="5157" max="5386" width="11.42578125" style="8"/>
    <col min="5387" max="5387" width="5.28515625" style="8" customWidth="1"/>
    <col min="5388" max="5388" width="15.28515625" style="8" customWidth="1"/>
    <col min="5389" max="5389" width="14.42578125" style="8" bestFit="1" customWidth="1"/>
    <col min="5390" max="5390" width="10.42578125" style="8" bestFit="1" customWidth="1"/>
    <col min="5391" max="5391" width="12.28515625" style="8" customWidth="1"/>
    <col min="5392" max="5396" width="11.42578125" style="8" customWidth="1"/>
    <col min="5397" max="5398" width="10.5703125" style="8" bestFit="1" customWidth="1"/>
    <col min="5399" max="5400" width="11.42578125" style="8" customWidth="1"/>
    <col min="5401" max="5401" width="6.140625" style="8" customWidth="1"/>
    <col min="5402" max="5412" width="11.42578125" style="8" customWidth="1"/>
    <col min="5413" max="5642" width="11.42578125" style="8"/>
    <col min="5643" max="5643" width="5.28515625" style="8" customWidth="1"/>
    <col min="5644" max="5644" width="15.28515625" style="8" customWidth="1"/>
    <col min="5645" max="5645" width="14.42578125" style="8" bestFit="1" customWidth="1"/>
    <col min="5646" max="5646" width="10.42578125" style="8" bestFit="1" customWidth="1"/>
    <col min="5647" max="5647" width="12.28515625" style="8" customWidth="1"/>
    <col min="5648" max="5652" width="11.42578125" style="8" customWidth="1"/>
    <col min="5653" max="5654" width="10.5703125" style="8" bestFit="1" customWidth="1"/>
    <col min="5655" max="5656" width="11.42578125" style="8" customWidth="1"/>
    <col min="5657" max="5657" width="6.140625" style="8" customWidth="1"/>
    <col min="5658" max="5668" width="11.42578125" style="8" customWidth="1"/>
    <col min="5669" max="5898" width="11.42578125" style="8"/>
    <col min="5899" max="5899" width="5.28515625" style="8" customWidth="1"/>
    <col min="5900" max="5900" width="15.28515625" style="8" customWidth="1"/>
    <col min="5901" max="5901" width="14.42578125" style="8" bestFit="1" customWidth="1"/>
    <col min="5902" max="5902" width="10.42578125" style="8" bestFit="1" customWidth="1"/>
    <col min="5903" max="5903" width="12.28515625" style="8" customWidth="1"/>
    <col min="5904" max="5908" width="11.42578125" style="8" customWidth="1"/>
    <col min="5909" max="5910" width="10.5703125" style="8" bestFit="1" customWidth="1"/>
    <col min="5911" max="5912" width="11.42578125" style="8" customWidth="1"/>
    <col min="5913" max="5913" width="6.140625" style="8" customWidth="1"/>
    <col min="5914" max="5924" width="11.42578125" style="8" customWidth="1"/>
    <col min="5925" max="6154" width="11.42578125" style="8"/>
    <col min="6155" max="6155" width="5.28515625" style="8" customWidth="1"/>
    <col min="6156" max="6156" width="15.28515625" style="8" customWidth="1"/>
    <col min="6157" max="6157" width="14.42578125" style="8" bestFit="1" customWidth="1"/>
    <col min="6158" max="6158" width="10.42578125" style="8" bestFit="1" customWidth="1"/>
    <col min="6159" max="6159" width="12.28515625" style="8" customWidth="1"/>
    <col min="6160" max="6164" width="11.42578125" style="8" customWidth="1"/>
    <col min="6165" max="6166" width="10.5703125" style="8" bestFit="1" customWidth="1"/>
    <col min="6167" max="6168" width="11.42578125" style="8" customWidth="1"/>
    <col min="6169" max="6169" width="6.140625" style="8" customWidth="1"/>
    <col min="6170" max="6180" width="11.42578125" style="8" customWidth="1"/>
    <col min="6181" max="6410" width="11.42578125" style="8"/>
    <col min="6411" max="6411" width="5.28515625" style="8" customWidth="1"/>
    <col min="6412" max="6412" width="15.28515625" style="8" customWidth="1"/>
    <col min="6413" max="6413" width="14.42578125" style="8" bestFit="1" customWidth="1"/>
    <col min="6414" max="6414" width="10.42578125" style="8" bestFit="1" customWidth="1"/>
    <col min="6415" max="6415" width="12.28515625" style="8" customWidth="1"/>
    <col min="6416" max="6420" width="11.42578125" style="8" customWidth="1"/>
    <col min="6421" max="6422" width="10.5703125" style="8" bestFit="1" customWidth="1"/>
    <col min="6423" max="6424" width="11.42578125" style="8" customWidth="1"/>
    <col min="6425" max="6425" width="6.140625" style="8" customWidth="1"/>
    <col min="6426" max="6436" width="11.42578125" style="8" customWidth="1"/>
    <col min="6437" max="6666" width="11.42578125" style="8"/>
    <col min="6667" max="6667" width="5.28515625" style="8" customWidth="1"/>
    <col min="6668" max="6668" width="15.28515625" style="8" customWidth="1"/>
    <col min="6669" max="6669" width="14.42578125" style="8" bestFit="1" customWidth="1"/>
    <col min="6670" max="6670" width="10.42578125" style="8" bestFit="1" customWidth="1"/>
    <col min="6671" max="6671" width="12.28515625" style="8" customWidth="1"/>
    <col min="6672" max="6676" width="11.42578125" style="8" customWidth="1"/>
    <col min="6677" max="6678" width="10.5703125" style="8" bestFit="1" customWidth="1"/>
    <col min="6679" max="6680" width="11.42578125" style="8" customWidth="1"/>
    <col min="6681" max="6681" width="6.140625" style="8" customWidth="1"/>
    <col min="6682" max="6692" width="11.42578125" style="8" customWidth="1"/>
    <col min="6693" max="6922" width="11.42578125" style="8"/>
    <col min="6923" max="6923" width="5.28515625" style="8" customWidth="1"/>
    <col min="6924" max="6924" width="15.28515625" style="8" customWidth="1"/>
    <col min="6925" max="6925" width="14.42578125" style="8" bestFit="1" customWidth="1"/>
    <col min="6926" max="6926" width="10.42578125" style="8" bestFit="1" customWidth="1"/>
    <col min="6927" max="6927" width="12.28515625" style="8" customWidth="1"/>
    <col min="6928" max="6932" width="11.42578125" style="8" customWidth="1"/>
    <col min="6933" max="6934" width="10.5703125" style="8" bestFit="1" customWidth="1"/>
    <col min="6935" max="6936" width="11.42578125" style="8" customWidth="1"/>
    <col min="6937" max="6937" width="6.140625" style="8" customWidth="1"/>
    <col min="6938" max="6948" width="11.42578125" style="8" customWidth="1"/>
    <col min="6949" max="7178" width="11.42578125" style="8"/>
    <col min="7179" max="7179" width="5.28515625" style="8" customWidth="1"/>
    <col min="7180" max="7180" width="15.28515625" style="8" customWidth="1"/>
    <col min="7181" max="7181" width="14.42578125" style="8" bestFit="1" customWidth="1"/>
    <col min="7182" max="7182" width="10.42578125" style="8" bestFit="1" customWidth="1"/>
    <col min="7183" max="7183" width="12.28515625" style="8" customWidth="1"/>
    <col min="7184" max="7188" width="11.42578125" style="8" customWidth="1"/>
    <col min="7189" max="7190" width="10.5703125" style="8" bestFit="1" customWidth="1"/>
    <col min="7191" max="7192" width="11.42578125" style="8" customWidth="1"/>
    <col min="7193" max="7193" width="6.140625" style="8" customWidth="1"/>
    <col min="7194" max="7204" width="11.42578125" style="8" customWidth="1"/>
    <col min="7205" max="7434" width="11.42578125" style="8"/>
    <col min="7435" max="7435" width="5.28515625" style="8" customWidth="1"/>
    <col min="7436" max="7436" width="15.28515625" style="8" customWidth="1"/>
    <col min="7437" max="7437" width="14.42578125" style="8" bestFit="1" customWidth="1"/>
    <col min="7438" max="7438" width="10.42578125" style="8" bestFit="1" customWidth="1"/>
    <col min="7439" max="7439" width="12.28515625" style="8" customWidth="1"/>
    <col min="7440" max="7444" width="11.42578125" style="8" customWidth="1"/>
    <col min="7445" max="7446" width="10.5703125" style="8" bestFit="1" customWidth="1"/>
    <col min="7447" max="7448" width="11.42578125" style="8" customWidth="1"/>
    <col min="7449" max="7449" width="6.140625" style="8" customWidth="1"/>
    <col min="7450" max="7460" width="11.42578125" style="8" customWidth="1"/>
    <col min="7461" max="7690" width="11.42578125" style="8"/>
    <col min="7691" max="7691" width="5.28515625" style="8" customWidth="1"/>
    <col min="7692" max="7692" width="15.28515625" style="8" customWidth="1"/>
    <col min="7693" max="7693" width="14.42578125" style="8" bestFit="1" customWidth="1"/>
    <col min="7694" max="7694" width="10.42578125" style="8" bestFit="1" customWidth="1"/>
    <col min="7695" max="7695" width="12.28515625" style="8" customWidth="1"/>
    <col min="7696" max="7700" width="11.42578125" style="8" customWidth="1"/>
    <col min="7701" max="7702" width="10.5703125" style="8" bestFit="1" customWidth="1"/>
    <col min="7703" max="7704" width="11.42578125" style="8" customWidth="1"/>
    <col min="7705" max="7705" width="6.140625" style="8" customWidth="1"/>
    <col min="7706" max="7716" width="11.42578125" style="8" customWidth="1"/>
    <col min="7717" max="7946" width="11.42578125" style="8"/>
    <col min="7947" max="7947" width="5.28515625" style="8" customWidth="1"/>
    <col min="7948" max="7948" width="15.28515625" style="8" customWidth="1"/>
    <col min="7949" max="7949" width="14.42578125" style="8" bestFit="1" customWidth="1"/>
    <col min="7950" max="7950" width="10.42578125" style="8" bestFit="1" customWidth="1"/>
    <col min="7951" max="7951" width="12.28515625" style="8" customWidth="1"/>
    <col min="7952" max="7956" width="11.42578125" style="8" customWidth="1"/>
    <col min="7957" max="7958" width="10.5703125" style="8" bestFit="1" customWidth="1"/>
    <col min="7959" max="7960" width="11.42578125" style="8" customWidth="1"/>
    <col min="7961" max="7961" width="6.140625" style="8" customWidth="1"/>
    <col min="7962" max="7972" width="11.42578125" style="8" customWidth="1"/>
    <col min="7973" max="8202" width="11.42578125" style="8"/>
    <col min="8203" max="8203" width="5.28515625" style="8" customWidth="1"/>
    <col min="8204" max="8204" width="15.28515625" style="8" customWidth="1"/>
    <col min="8205" max="8205" width="14.42578125" style="8" bestFit="1" customWidth="1"/>
    <col min="8206" max="8206" width="10.42578125" style="8" bestFit="1" customWidth="1"/>
    <col min="8207" max="8207" width="12.28515625" style="8" customWidth="1"/>
    <col min="8208" max="8212" width="11.42578125" style="8" customWidth="1"/>
    <col min="8213" max="8214" width="10.5703125" style="8" bestFit="1" customWidth="1"/>
    <col min="8215" max="8216" width="11.42578125" style="8" customWidth="1"/>
    <col min="8217" max="8217" width="6.140625" style="8" customWidth="1"/>
    <col min="8218" max="8228" width="11.42578125" style="8" customWidth="1"/>
    <col min="8229" max="8458" width="11.42578125" style="8"/>
    <col min="8459" max="8459" width="5.28515625" style="8" customWidth="1"/>
    <col min="8460" max="8460" width="15.28515625" style="8" customWidth="1"/>
    <col min="8461" max="8461" width="14.42578125" style="8" bestFit="1" customWidth="1"/>
    <col min="8462" max="8462" width="10.42578125" style="8" bestFit="1" customWidth="1"/>
    <col min="8463" max="8463" width="12.28515625" style="8" customWidth="1"/>
    <col min="8464" max="8468" width="11.42578125" style="8" customWidth="1"/>
    <col min="8469" max="8470" width="10.5703125" style="8" bestFit="1" customWidth="1"/>
    <col min="8471" max="8472" width="11.42578125" style="8" customWidth="1"/>
    <col min="8473" max="8473" width="6.140625" style="8" customWidth="1"/>
    <col min="8474" max="8484" width="11.42578125" style="8" customWidth="1"/>
    <col min="8485" max="8714" width="11.42578125" style="8"/>
    <col min="8715" max="8715" width="5.28515625" style="8" customWidth="1"/>
    <col min="8716" max="8716" width="15.28515625" style="8" customWidth="1"/>
    <col min="8717" max="8717" width="14.42578125" style="8" bestFit="1" customWidth="1"/>
    <col min="8718" max="8718" width="10.42578125" style="8" bestFit="1" customWidth="1"/>
    <col min="8719" max="8719" width="12.28515625" style="8" customWidth="1"/>
    <col min="8720" max="8724" width="11.42578125" style="8" customWidth="1"/>
    <col min="8725" max="8726" width="10.5703125" style="8" bestFit="1" customWidth="1"/>
    <col min="8727" max="8728" width="11.42578125" style="8" customWidth="1"/>
    <col min="8729" max="8729" width="6.140625" style="8" customWidth="1"/>
    <col min="8730" max="8740" width="11.42578125" style="8" customWidth="1"/>
    <col min="8741" max="8970" width="11.42578125" style="8"/>
    <col min="8971" max="8971" width="5.28515625" style="8" customWidth="1"/>
    <col min="8972" max="8972" width="15.28515625" style="8" customWidth="1"/>
    <col min="8973" max="8973" width="14.42578125" style="8" bestFit="1" customWidth="1"/>
    <col min="8974" max="8974" width="10.42578125" style="8" bestFit="1" customWidth="1"/>
    <col min="8975" max="8975" width="12.28515625" style="8" customWidth="1"/>
    <col min="8976" max="8980" width="11.42578125" style="8" customWidth="1"/>
    <col min="8981" max="8982" width="10.5703125" style="8" bestFit="1" customWidth="1"/>
    <col min="8983" max="8984" width="11.42578125" style="8" customWidth="1"/>
    <col min="8985" max="8985" width="6.140625" style="8" customWidth="1"/>
    <col min="8986" max="8996" width="11.42578125" style="8" customWidth="1"/>
    <col min="8997" max="9226" width="11.42578125" style="8"/>
    <col min="9227" max="9227" width="5.28515625" style="8" customWidth="1"/>
    <col min="9228" max="9228" width="15.28515625" style="8" customWidth="1"/>
    <col min="9229" max="9229" width="14.42578125" style="8" bestFit="1" customWidth="1"/>
    <col min="9230" max="9230" width="10.42578125" style="8" bestFit="1" customWidth="1"/>
    <col min="9231" max="9231" width="12.28515625" style="8" customWidth="1"/>
    <col min="9232" max="9236" width="11.42578125" style="8" customWidth="1"/>
    <col min="9237" max="9238" width="10.5703125" style="8" bestFit="1" customWidth="1"/>
    <col min="9239" max="9240" width="11.42578125" style="8" customWidth="1"/>
    <col min="9241" max="9241" width="6.140625" style="8" customWidth="1"/>
    <col min="9242" max="9252" width="11.42578125" style="8" customWidth="1"/>
    <col min="9253" max="9482" width="11.42578125" style="8"/>
    <col min="9483" max="9483" width="5.28515625" style="8" customWidth="1"/>
    <col min="9484" max="9484" width="15.28515625" style="8" customWidth="1"/>
    <col min="9485" max="9485" width="14.42578125" style="8" bestFit="1" customWidth="1"/>
    <col min="9486" max="9486" width="10.42578125" style="8" bestFit="1" customWidth="1"/>
    <col min="9487" max="9487" width="12.28515625" style="8" customWidth="1"/>
    <col min="9488" max="9492" width="11.42578125" style="8" customWidth="1"/>
    <col min="9493" max="9494" width="10.5703125" style="8" bestFit="1" customWidth="1"/>
    <col min="9495" max="9496" width="11.42578125" style="8" customWidth="1"/>
    <col min="9497" max="9497" width="6.140625" style="8" customWidth="1"/>
    <col min="9498" max="9508" width="11.42578125" style="8" customWidth="1"/>
    <col min="9509" max="9738" width="11.42578125" style="8"/>
    <col min="9739" max="9739" width="5.28515625" style="8" customWidth="1"/>
    <col min="9740" max="9740" width="15.28515625" style="8" customWidth="1"/>
    <col min="9741" max="9741" width="14.42578125" style="8" bestFit="1" customWidth="1"/>
    <col min="9742" max="9742" width="10.42578125" style="8" bestFit="1" customWidth="1"/>
    <col min="9743" max="9743" width="12.28515625" style="8" customWidth="1"/>
    <col min="9744" max="9748" width="11.42578125" style="8" customWidth="1"/>
    <col min="9749" max="9750" width="10.5703125" style="8" bestFit="1" customWidth="1"/>
    <col min="9751" max="9752" width="11.42578125" style="8" customWidth="1"/>
    <col min="9753" max="9753" width="6.140625" style="8" customWidth="1"/>
    <col min="9754" max="9764" width="11.42578125" style="8" customWidth="1"/>
    <col min="9765" max="9994" width="11.42578125" style="8"/>
    <col min="9995" max="9995" width="5.28515625" style="8" customWidth="1"/>
    <col min="9996" max="9996" width="15.28515625" style="8" customWidth="1"/>
    <col min="9997" max="9997" width="14.42578125" style="8" bestFit="1" customWidth="1"/>
    <col min="9998" max="9998" width="10.42578125" style="8" bestFit="1" customWidth="1"/>
    <col min="9999" max="9999" width="12.28515625" style="8" customWidth="1"/>
    <col min="10000" max="10004" width="11.42578125" style="8" customWidth="1"/>
    <col min="10005" max="10006" width="10.5703125" style="8" bestFit="1" customWidth="1"/>
    <col min="10007" max="10008" width="11.42578125" style="8" customWidth="1"/>
    <col min="10009" max="10009" width="6.140625" style="8" customWidth="1"/>
    <col min="10010" max="10020" width="11.42578125" style="8" customWidth="1"/>
    <col min="10021" max="10250" width="11.42578125" style="8"/>
    <col min="10251" max="10251" width="5.28515625" style="8" customWidth="1"/>
    <col min="10252" max="10252" width="15.28515625" style="8" customWidth="1"/>
    <col min="10253" max="10253" width="14.42578125" style="8" bestFit="1" customWidth="1"/>
    <col min="10254" max="10254" width="10.42578125" style="8" bestFit="1" customWidth="1"/>
    <col min="10255" max="10255" width="12.28515625" style="8" customWidth="1"/>
    <col min="10256" max="10260" width="11.42578125" style="8" customWidth="1"/>
    <col min="10261" max="10262" width="10.5703125" style="8" bestFit="1" customWidth="1"/>
    <col min="10263" max="10264" width="11.42578125" style="8" customWidth="1"/>
    <col min="10265" max="10265" width="6.140625" style="8" customWidth="1"/>
    <col min="10266" max="10276" width="11.42578125" style="8" customWidth="1"/>
    <col min="10277" max="10506" width="11.42578125" style="8"/>
    <col min="10507" max="10507" width="5.28515625" style="8" customWidth="1"/>
    <col min="10508" max="10508" width="15.28515625" style="8" customWidth="1"/>
    <col min="10509" max="10509" width="14.42578125" style="8" bestFit="1" customWidth="1"/>
    <col min="10510" max="10510" width="10.42578125" style="8" bestFit="1" customWidth="1"/>
    <col min="10511" max="10511" width="12.28515625" style="8" customWidth="1"/>
    <col min="10512" max="10516" width="11.42578125" style="8" customWidth="1"/>
    <col min="10517" max="10518" width="10.5703125" style="8" bestFit="1" customWidth="1"/>
    <col min="10519" max="10520" width="11.42578125" style="8" customWidth="1"/>
    <col min="10521" max="10521" width="6.140625" style="8" customWidth="1"/>
    <col min="10522" max="10532" width="11.42578125" style="8" customWidth="1"/>
    <col min="10533" max="10762" width="11.42578125" style="8"/>
    <col min="10763" max="10763" width="5.28515625" style="8" customWidth="1"/>
    <col min="10764" max="10764" width="15.28515625" style="8" customWidth="1"/>
    <col min="10765" max="10765" width="14.42578125" style="8" bestFit="1" customWidth="1"/>
    <col min="10766" max="10766" width="10.42578125" style="8" bestFit="1" customWidth="1"/>
    <col min="10767" max="10767" width="12.28515625" style="8" customWidth="1"/>
    <col min="10768" max="10772" width="11.42578125" style="8" customWidth="1"/>
    <col min="10773" max="10774" width="10.5703125" style="8" bestFit="1" customWidth="1"/>
    <col min="10775" max="10776" width="11.42578125" style="8" customWidth="1"/>
    <col min="10777" max="10777" width="6.140625" style="8" customWidth="1"/>
    <col min="10778" max="10788" width="11.42578125" style="8" customWidth="1"/>
    <col min="10789" max="11018" width="11.42578125" style="8"/>
    <col min="11019" max="11019" width="5.28515625" style="8" customWidth="1"/>
    <col min="11020" max="11020" width="15.28515625" style="8" customWidth="1"/>
    <col min="11021" max="11021" width="14.42578125" style="8" bestFit="1" customWidth="1"/>
    <col min="11022" max="11022" width="10.42578125" style="8" bestFit="1" customWidth="1"/>
    <col min="11023" max="11023" width="12.28515625" style="8" customWidth="1"/>
    <col min="11024" max="11028" width="11.42578125" style="8" customWidth="1"/>
    <col min="11029" max="11030" width="10.5703125" style="8" bestFit="1" customWidth="1"/>
    <col min="11031" max="11032" width="11.42578125" style="8" customWidth="1"/>
    <col min="11033" max="11033" width="6.140625" style="8" customWidth="1"/>
    <col min="11034" max="11044" width="11.42578125" style="8" customWidth="1"/>
    <col min="11045" max="11274" width="11.42578125" style="8"/>
    <col min="11275" max="11275" width="5.28515625" style="8" customWidth="1"/>
    <col min="11276" max="11276" width="15.28515625" style="8" customWidth="1"/>
    <col min="11277" max="11277" width="14.42578125" style="8" bestFit="1" customWidth="1"/>
    <col min="11278" max="11278" width="10.42578125" style="8" bestFit="1" customWidth="1"/>
    <col min="11279" max="11279" width="12.28515625" style="8" customWidth="1"/>
    <col min="11280" max="11284" width="11.42578125" style="8" customWidth="1"/>
    <col min="11285" max="11286" width="10.5703125" style="8" bestFit="1" customWidth="1"/>
    <col min="11287" max="11288" width="11.42578125" style="8" customWidth="1"/>
    <col min="11289" max="11289" width="6.140625" style="8" customWidth="1"/>
    <col min="11290" max="11300" width="11.42578125" style="8" customWidth="1"/>
    <col min="11301" max="11530" width="11.42578125" style="8"/>
    <col min="11531" max="11531" width="5.28515625" style="8" customWidth="1"/>
    <col min="11532" max="11532" width="15.28515625" style="8" customWidth="1"/>
    <col min="11533" max="11533" width="14.42578125" style="8" bestFit="1" customWidth="1"/>
    <col min="11534" max="11534" width="10.42578125" style="8" bestFit="1" customWidth="1"/>
    <col min="11535" max="11535" width="12.28515625" style="8" customWidth="1"/>
    <col min="11536" max="11540" width="11.42578125" style="8" customWidth="1"/>
    <col min="11541" max="11542" width="10.5703125" style="8" bestFit="1" customWidth="1"/>
    <col min="11543" max="11544" width="11.42578125" style="8" customWidth="1"/>
    <col min="11545" max="11545" width="6.140625" style="8" customWidth="1"/>
    <col min="11546" max="11556" width="11.42578125" style="8" customWidth="1"/>
    <col min="11557" max="11786" width="11.42578125" style="8"/>
    <col min="11787" max="11787" width="5.28515625" style="8" customWidth="1"/>
    <col min="11788" max="11788" width="15.28515625" style="8" customWidth="1"/>
    <col min="11789" max="11789" width="14.42578125" style="8" bestFit="1" customWidth="1"/>
    <col min="11790" max="11790" width="10.42578125" style="8" bestFit="1" customWidth="1"/>
    <col min="11791" max="11791" width="12.28515625" style="8" customWidth="1"/>
    <col min="11792" max="11796" width="11.42578125" style="8" customWidth="1"/>
    <col min="11797" max="11798" width="10.5703125" style="8" bestFit="1" customWidth="1"/>
    <col min="11799" max="11800" width="11.42578125" style="8" customWidth="1"/>
    <col min="11801" max="11801" width="6.140625" style="8" customWidth="1"/>
    <col min="11802" max="11812" width="11.42578125" style="8" customWidth="1"/>
    <col min="11813" max="12042" width="11.42578125" style="8"/>
    <col min="12043" max="12043" width="5.28515625" style="8" customWidth="1"/>
    <col min="12044" max="12044" width="15.28515625" style="8" customWidth="1"/>
    <col min="12045" max="12045" width="14.42578125" style="8" bestFit="1" customWidth="1"/>
    <col min="12046" max="12046" width="10.42578125" style="8" bestFit="1" customWidth="1"/>
    <col min="12047" max="12047" width="12.28515625" style="8" customWidth="1"/>
    <col min="12048" max="12052" width="11.42578125" style="8" customWidth="1"/>
    <col min="12053" max="12054" width="10.5703125" style="8" bestFit="1" customWidth="1"/>
    <col min="12055" max="12056" width="11.42578125" style="8" customWidth="1"/>
    <col min="12057" max="12057" width="6.140625" style="8" customWidth="1"/>
    <col min="12058" max="12068" width="11.42578125" style="8" customWidth="1"/>
    <col min="12069" max="12298" width="11.42578125" style="8"/>
    <col min="12299" max="12299" width="5.28515625" style="8" customWidth="1"/>
    <col min="12300" max="12300" width="15.28515625" style="8" customWidth="1"/>
    <col min="12301" max="12301" width="14.42578125" style="8" bestFit="1" customWidth="1"/>
    <col min="12302" max="12302" width="10.42578125" style="8" bestFit="1" customWidth="1"/>
    <col min="12303" max="12303" width="12.28515625" style="8" customWidth="1"/>
    <col min="12304" max="12308" width="11.42578125" style="8" customWidth="1"/>
    <col min="12309" max="12310" width="10.5703125" style="8" bestFit="1" customWidth="1"/>
    <col min="12311" max="12312" width="11.42578125" style="8" customWidth="1"/>
    <col min="12313" max="12313" width="6.140625" style="8" customWidth="1"/>
    <col min="12314" max="12324" width="11.42578125" style="8" customWidth="1"/>
    <col min="12325" max="12554" width="11.42578125" style="8"/>
    <col min="12555" max="12555" width="5.28515625" style="8" customWidth="1"/>
    <col min="12556" max="12556" width="15.28515625" style="8" customWidth="1"/>
    <col min="12557" max="12557" width="14.42578125" style="8" bestFit="1" customWidth="1"/>
    <col min="12558" max="12558" width="10.42578125" style="8" bestFit="1" customWidth="1"/>
    <col min="12559" max="12559" width="12.28515625" style="8" customWidth="1"/>
    <col min="12560" max="12564" width="11.42578125" style="8" customWidth="1"/>
    <col min="12565" max="12566" width="10.5703125" style="8" bestFit="1" customWidth="1"/>
    <col min="12567" max="12568" width="11.42578125" style="8" customWidth="1"/>
    <col min="12569" max="12569" width="6.140625" style="8" customWidth="1"/>
    <col min="12570" max="12580" width="11.42578125" style="8" customWidth="1"/>
    <col min="12581" max="12810" width="11.42578125" style="8"/>
    <col min="12811" max="12811" width="5.28515625" style="8" customWidth="1"/>
    <col min="12812" max="12812" width="15.28515625" style="8" customWidth="1"/>
    <col min="12813" max="12813" width="14.42578125" style="8" bestFit="1" customWidth="1"/>
    <col min="12814" max="12814" width="10.42578125" style="8" bestFit="1" customWidth="1"/>
    <col min="12815" max="12815" width="12.28515625" style="8" customWidth="1"/>
    <col min="12816" max="12820" width="11.42578125" style="8" customWidth="1"/>
    <col min="12821" max="12822" width="10.5703125" style="8" bestFit="1" customWidth="1"/>
    <col min="12823" max="12824" width="11.42578125" style="8" customWidth="1"/>
    <col min="12825" max="12825" width="6.140625" style="8" customWidth="1"/>
    <col min="12826" max="12836" width="11.42578125" style="8" customWidth="1"/>
    <col min="12837" max="13066" width="11.42578125" style="8"/>
    <col min="13067" max="13067" width="5.28515625" style="8" customWidth="1"/>
    <col min="13068" max="13068" width="15.28515625" style="8" customWidth="1"/>
    <col min="13069" max="13069" width="14.42578125" style="8" bestFit="1" customWidth="1"/>
    <col min="13070" max="13070" width="10.42578125" style="8" bestFit="1" customWidth="1"/>
    <col min="13071" max="13071" width="12.28515625" style="8" customWidth="1"/>
    <col min="13072" max="13076" width="11.42578125" style="8" customWidth="1"/>
    <col min="13077" max="13078" width="10.5703125" style="8" bestFit="1" customWidth="1"/>
    <col min="13079" max="13080" width="11.42578125" style="8" customWidth="1"/>
    <col min="13081" max="13081" width="6.140625" style="8" customWidth="1"/>
    <col min="13082" max="13092" width="11.42578125" style="8" customWidth="1"/>
    <col min="13093" max="13322" width="11.42578125" style="8"/>
    <col min="13323" max="13323" width="5.28515625" style="8" customWidth="1"/>
    <col min="13324" max="13324" width="15.28515625" style="8" customWidth="1"/>
    <col min="13325" max="13325" width="14.42578125" style="8" bestFit="1" customWidth="1"/>
    <col min="13326" max="13326" width="10.42578125" style="8" bestFit="1" customWidth="1"/>
    <col min="13327" max="13327" width="12.28515625" style="8" customWidth="1"/>
    <col min="13328" max="13332" width="11.42578125" style="8" customWidth="1"/>
    <col min="13333" max="13334" width="10.5703125" style="8" bestFit="1" customWidth="1"/>
    <col min="13335" max="13336" width="11.42578125" style="8" customWidth="1"/>
    <col min="13337" max="13337" width="6.140625" style="8" customWidth="1"/>
    <col min="13338" max="13348" width="11.42578125" style="8" customWidth="1"/>
    <col min="13349" max="13578" width="11.42578125" style="8"/>
    <col min="13579" max="13579" width="5.28515625" style="8" customWidth="1"/>
    <col min="13580" max="13580" width="15.28515625" style="8" customWidth="1"/>
    <col min="13581" max="13581" width="14.42578125" style="8" bestFit="1" customWidth="1"/>
    <col min="13582" max="13582" width="10.42578125" style="8" bestFit="1" customWidth="1"/>
    <col min="13583" max="13583" width="12.28515625" style="8" customWidth="1"/>
    <col min="13584" max="13588" width="11.42578125" style="8" customWidth="1"/>
    <col min="13589" max="13590" width="10.5703125" style="8" bestFit="1" customWidth="1"/>
    <col min="13591" max="13592" width="11.42578125" style="8" customWidth="1"/>
    <col min="13593" max="13593" width="6.140625" style="8" customWidth="1"/>
    <col min="13594" max="13604" width="11.42578125" style="8" customWidth="1"/>
    <col min="13605" max="13834" width="11.42578125" style="8"/>
    <col min="13835" max="13835" width="5.28515625" style="8" customWidth="1"/>
    <col min="13836" max="13836" width="15.28515625" style="8" customWidth="1"/>
    <col min="13837" max="13837" width="14.42578125" style="8" bestFit="1" customWidth="1"/>
    <col min="13838" max="13838" width="10.42578125" style="8" bestFit="1" customWidth="1"/>
    <col min="13839" max="13839" width="12.28515625" style="8" customWidth="1"/>
    <col min="13840" max="13844" width="11.42578125" style="8" customWidth="1"/>
    <col min="13845" max="13846" width="10.5703125" style="8" bestFit="1" customWidth="1"/>
    <col min="13847" max="13848" width="11.42578125" style="8" customWidth="1"/>
    <col min="13849" max="13849" width="6.140625" style="8" customWidth="1"/>
    <col min="13850" max="13860" width="11.42578125" style="8" customWidth="1"/>
    <col min="13861" max="14090" width="11.42578125" style="8"/>
    <col min="14091" max="14091" width="5.28515625" style="8" customWidth="1"/>
    <col min="14092" max="14092" width="15.28515625" style="8" customWidth="1"/>
    <col min="14093" max="14093" width="14.42578125" style="8" bestFit="1" customWidth="1"/>
    <col min="14094" max="14094" width="10.42578125" style="8" bestFit="1" customWidth="1"/>
    <col min="14095" max="14095" width="12.28515625" style="8" customWidth="1"/>
    <col min="14096" max="14100" width="11.42578125" style="8" customWidth="1"/>
    <col min="14101" max="14102" width="10.5703125" style="8" bestFit="1" customWidth="1"/>
    <col min="14103" max="14104" width="11.42578125" style="8" customWidth="1"/>
    <col min="14105" max="14105" width="6.140625" style="8" customWidth="1"/>
    <col min="14106" max="14116" width="11.42578125" style="8" customWidth="1"/>
    <col min="14117" max="14346" width="11.42578125" style="8"/>
    <col min="14347" max="14347" width="5.28515625" style="8" customWidth="1"/>
    <col min="14348" max="14348" width="15.28515625" style="8" customWidth="1"/>
    <col min="14349" max="14349" width="14.42578125" style="8" bestFit="1" customWidth="1"/>
    <col min="14350" max="14350" width="10.42578125" style="8" bestFit="1" customWidth="1"/>
    <col min="14351" max="14351" width="12.28515625" style="8" customWidth="1"/>
    <col min="14352" max="14356" width="11.42578125" style="8" customWidth="1"/>
    <col min="14357" max="14358" width="10.5703125" style="8" bestFit="1" customWidth="1"/>
    <col min="14359" max="14360" width="11.42578125" style="8" customWidth="1"/>
    <col min="14361" max="14361" width="6.140625" style="8" customWidth="1"/>
    <col min="14362" max="14372" width="11.42578125" style="8" customWidth="1"/>
    <col min="14373" max="14602" width="11.42578125" style="8"/>
    <col min="14603" max="14603" width="5.28515625" style="8" customWidth="1"/>
    <col min="14604" max="14604" width="15.28515625" style="8" customWidth="1"/>
    <col min="14605" max="14605" width="14.42578125" style="8" bestFit="1" customWidth="1"/>
    <col min="14606" max="14606" width="10.42578125" style="8" bestFit="1" customWidth="1"/>
    <col min="14607" max="14607" width="12.28515625" style="8" customWidth="1"/>
    <col min="14608" max="14612" width="11.42578125" style="8" customWidth="1"/>
    <col min="14613" max="14614" width="10.5703125" style="8" bestFit="1" customWidth="1"/>
    <col min="14615" max="14616" width="11.42578125" style="8" customWidth="1"/>
    <col min="14617" max="14617" width="6.140625" style="8" customWidth="1"/>
    <col min="14618" max="14628" width="11.42578125" style="8" customWidth="1"/>
    <col min="14629" max="14858" width="11.42578125" style="8"/>
    <col min="14859" max="14859" width="5.28515625" style="8" customWidth="1"/>
    <col min="14860" max="14860" width="15.28515625" style="8" customWidth="1"/>
    <col min="14861" max="14861" width="14.42578125" style="8" bestFit="1" customWidth="1"/>
    <col min="14862" max="14862" width="10.42578125" style="8" bestFit="1" customWidth="1"/>
    <col min="14863" max="14863" width="12.28515625" style="8" customWidth="1"/>
    <col min="14864" max="14868" width="11.42578125" style="8" customWidth="1"/>
    <col min="14869" max="14870" width="10.5703125" style="8" bestFit="1" customWidth="1"/>
    <col min="14871" max="14872" width="11.42578125" style="8" customWidth="1"/>
    <col min="14873" max="14873" width="6.140625" style="8" customWidth="1"/>
    <col min="14874" max="14884" width="11.42578125" style="8" customWidth="1"/>
    <col min="14885" max="15114" width="11.42578125" style="8"/>
    <col min="15115" max="15115" width="5.28515625" style="8" customWidth="1"/>
    <col min="15116" max="15116" width="15.28515625" style="8" customWidth="1"/>
    <col min="15117" max="15117" width="14.42578125" style="8" bestFit="1" customWidth="1"/>
    <col min="15118" max="15118" width="10.42578125" style="8" bestFit="1" customWidth="1"/>
    <col min="15119" max="15119" width="12.28515625" style="8" customWidth="1"/>
    <col min="15120" max="15124" width="11.42578125" style="8" customWidth="1"/>
    <col min="15125" max="15126" width="10.5703125" style="8" bestFit="1" customWidth="1"/>
    <col min="15127" max="15128" width="11.42578125" style="8" customWidth="1"/>
    <col min="15129" max="15129" width="6.140625" style="8" customWidth="1"/>
    <col min="15130" max="15140" width="11.42578125" style="8" customWidth="1"/>
    <col min="15141" max="15370" width="11.42578125" style="8"/>
    <col min="15371" max="15371" width="5.28515625" style="8" customWidth="1"/>
    <col min="15372" max="15372" width="15.28515625" style="8" customWidth="1"/>
    <col min="15373" max="15373" width="14.42578125" style="8" bestFit="1" customWidth="1"/>
    <col min="15374" max="15374" width="10.42578125" style="8" bestFit="1" customWidth="1"/>
    <col min="15375" max="15375" width="12.28515625" style="8" customWidth="1"/>
    <col min="15376" max="15380" width="11.42578125" style="8" customWidth="1"/>
    <col min="15381" max="15382" width="10.5703125" style="8" bestFit="1" customWidth="1"/>
    <col min="15383" max="15384" width="11.42578125" style="8" customWidth="1"/>
    <col min="15385" max="15385" width="6.140625" style="8" customWidth="1"/>
    <col min="15386" max="15396" width="11.42578125" style="8" customWidth="1"/>
    <col min="15397" max="15626" width="11.42578125" style="8"/>
    <col min="15627" max="15627" width="5.28515625" style="8" customWidth="1"/>
    <col min="15628" max="15628" width="15.28515625" style="8" customWidth="1"/>
    <col min="15629" max="15629" width="14.42578125" style="8" bestFit="1" customWidth="1"/>
    <col min="15630" max="15630" width="10.42578125" style="8" bestFit="1" customWidth="1"/>
    <col min="15631" max="15631" width="12.28515625" style="8" customWidth="1"/>
    <col min="15632" max="15636" width="11.42578125" style="8" customWidth="1"/>
    <col min="15637" max="15638" width="10.5703125" style="8" bestFit="1" customWidth="1"/>
    <col min="15639" max="15640" width="11.42578125" style="8" customWidth="1"/>
    <col min="15641" max="15641" width="6.140625" style="8" customWidth="1"/>
    <col min="15642" max="15652" width="11.42578125" style="8" customWidth="1"/>
    <col min="15653" max="15882" width="11.42578125" style="8"/>
    <col min="15883" max="15883" width="5.28515625" style="8" customWidth="1"/>
    <col min="15884" max="15884" width="15.28515625" style="8" customWidth="1"/>
    <col min="15885" max="15885" width="14.42578125" style="8" bestFit="1" customWidth="1"/>
    <col min="15886" max="15886" width="10.42578125" style="8" bestFit="1" customWidth="1"/>
    <col min="15887" max="15887" width="12.28515625" style="8" customWidth="1"/>
    <col min="15888" max="15892" width="11.42578125" style="8" customWidth="1"/>
    <col min="15893" max="15894" width="10.5703125" style="8" bestFit="1" customWidth="1"/>
    <col min="15895" max="15896" width="11.42578125" style="8" customWidth="1"/>
    <col min="15897" max="15897" width="6.140625" style="8" customWidth="1"/>
    <col min="15898" max="15908" width="11.42578125" style="8" customWidth="1"/>
    <col min="15909" max="16138" width="11.42578125" style="8"/>
    <col min="16139" max="16139" width="5.28515625" style="8" customWidth="1"/>
    <col min="16140" max="16140" width="15.28515625" style="8" customWidth="1"/>
    <col min="16141" max="16141" width="14.42578125" style="8" bestFit="1" customWidth="1"/>
    <col min="16142" max="16142" width="10.42578125" style="8" bestFit="1" customWidth="1"/>
    <col min="16143" max="16143" width="12.28515625" style="8" customWidth="1"/>
    <col min="16144" max="16148" width="11.42578125" style="8" customWidth="1"/>
    <col min="16149" max="16150" width="10.5703125" style="8" bestFit="1" customWidth="1"/>
    <col min="16151" max="16152" width="11.42578125" style="8" customWidth="1"/>
    <col min="16153" max="16153" width="6.140625" style="8" customWidth="1"/>
    <col min="16154" max="16164" width="11.42578125" style="8" customWidth="1"/>
    <col min="16165" max="16384" width="11.42578125" style="8"/>
  </cols>
  <sheetData>
    <row r="1" spans="1:602" s="38" customFormat="1" ht="10.5" customHeight="1" thickBot="1" x14ac:dyDescent="0.3">
      <c r="Q1" s="9"/>
      <c r="AI1" s="305"/>
      <c r="AJ1" s="305"/>
      <c r="AK1" s="305"/>
      <c r="AL1" s="305"/>
      <c r="AM1" s="305"/>
      <c r="AN1" s="305"/>
      <c r="AT1" s="305"/>
      <c r="AU1"/>
      <c r="AV1"/>
      <c r="AW1"/>
      <c r="WD1" s="13"/>
    </row>
    <row r="2" spans="1:602" s="1" customFormat="1" ht="25.15" customHeight="1" thickBot="1" x14ac:dyDescent="0.3">
      <c r="B2" s="86"/>
      <c r="C2" s="370" t="s">
        <v>1395</v>
      </c>
      <c r="D2" s="370"/>
      <c r="E2" s="370"/>
      <c r="F2" s="370"/>
      <c r="G2" s="370"/>
      <c r="H2" s="370"/>
      <c r="I2" s="370"/>
      <c r="J2" s="362"/>
      <c r="K2" s="362"/>
      <c r="L2" s="362"/>
      <c r="M2" s="362"/>
      <c r="N2" s="362"/>
      <c r="O2" s="362"/>
      <c r="P2" s="362"/>
      <c r="Q2" s="362"/>
      <c r="R2" s="362"/>
      <c r="S2" s="362"/>
      <c r="T2" s="87"/>
      <c r="V2" s="38" t="s">
        <v>1023</v>
      </c>
      <c r="W2" s="72">
        <f>SUMIFS(CampList[HH],CampList[Status],"open",CampList[Opening Date],"&gt;=" &amp; NFI_Monitor_Date)</f>
        <v>0</v>
      </c>
      <c r="X2" s="38"/>
      <c r="Y2" s="38"/>
      <c r="Z2" s="38"/>
      <c r="AA2" s="38"/>
      <c r="AB2" s="38"/>
      <c r="AC2" s="38"/>
      <c r="AD2" s="38"/>
      <c r="AE2" s="38"/>
      <c r="AF2" s="30"/>
      <c r="AG2" s="30"/>
      <c r="AH2" s="30"/>
      <c r="AI2" s="305"/>
      <c r="AJ2" s="305"/>
      <c r="AK2" s="305"/>
      <c r="AL2" s="305"/>
      <c r="AM2" s="305"/>
      <c r="AN2" s="305"/>
      <c r="AO2" s="30"/>
      <c r="AP2" s="30"/>
      <c r="AQ2" s="30"/>
      <c r="AR2" s="30"/>
      <c r="AS2" s="30"/>
      <c r="AT2" s="305"/>
      <c r="AU2"/>
      <c r="AV2"/>
      <c r="AW2"/>
      <c r="AX2" s="527" t="s">
        <v>408</v>
      </c>
      <c r="AY2" s="528" t="s">
        <v>957</v>
      </c>
      <c r="AZ2" s="30"/>
      <c r="BJ2" s="15"/>
      <c r="BK2" s="15"/>
      <c r="WD2" s="172"/>
    </row>
    <row r="3" spans="1:602" s="5" customFormat="1" ht="12.75" customHeight="1" thickBot="1" x14ac:dyDescent="0.3">
      <c r="B3" s="88"/>
      <c r="C3" s="838">
        <f>Definition!B23</f>
        <v>43404</v>
      </c>
      <c r="D3" s="838"/>
      <c r="E3" s="838"/>
      <c r="F3" s="838"/>
      <c r="G3" s="838"/>
      <c r="H3" s="838"/>
      <c r="I3" s="97"/>
      <c r="J3" s="85"/>
      <c r="K3" s="85"/>
      <c r="L3" s="85"/>
      <c r="M3" s="85"/>
      <c r="N3" s="85"/>
      <c r="O3" s="85"/>
      <c r="P3" s="85"/>
      <c r="Q3" s="85"/>
      <c r="R3" s="85"/>
      <c r="S3" s="85"/>
      <c r="T3" s="89"/>
      <c r="V3" s="38" t="s">
        <v>1024</v>
      </c>
      <c r="W3" s="72" t="e">
        <f>SUMIFS(CampList[HH],CampList[Status],"open",#REF!,"P1")</f>
        <v>#REF!</v>
      </c>
      <c r="X3" s="72"/>
      <c r="Y3" s="38"/>
      <c r="Z3" s="38"/>
      <c r="AA3" s="38"/>
      <c r="AB3" s="38"/>
      <c r="AC3" s="38"/>
      <c r="AD3" s="38"/>
      <c r="AE3" s="38"/>
      <c r="AF3" s="30"/>
      <c r="AG3" s="305"/>
      <c r="AH3" s="305"/>
      <c r="AI3" s="305"/>
      <c r="AJ3" s="305"/>
      <c r="AK3" s="305"/>
      <c r="AL3" s="305"/>
      <c r="AM3" s="305"/>
      <c r="AN3" s="305"/>
      <c r="AO3" s="305"/>
      <c r="AP3" s="305"/>
      <c r="AQ3" s="30"/>
      <c r="AR3" s="30"/>
      <c r="AS3" s="30"/>
      <c r="AT3" s="305"/>
      <c r="AU3"/>
      <c r="AV3"/>
      <c r="AW3"/>
      <c r="AX3"/>
      <c r="AY3"/>
      <c r="AZ3"/>
      <c r="BA3"/>
      <c r="BB3"/>
      <c r="BC3"/>
      <c r="BD3"/>
      <c r="BJ3" s="16"/>
      <c r="BK3" s="16"/>
      <c r="WD3" s="173"/>
    </row>
    <row r="4" spans="1:602" s="13" customFormat="1" ht="36.75" thickBot="1" x14ac:dyDescent="0.6">
      <c r="B4" s="371"/>
      <c r="C4" s="366"/>
      <c r="D4" s="365"/>
      <c r="E4" s="365"/>
      <c r="F4"/>
      <c r="G4"/>
      <c r="H4" s="365"/>
      <c r="I4" s="365"/>
      <c r="J4" s="365"/>
      <c r="K4" s="365"/>
      <c r="L4" s="365"/>
      <c r="M4" s="365"/>
      <c r="N4" s="365"/>
      <c r="O4" s="365"/>
      <c r="P4" s="365"/>
      <c r="Q4" s="367"/>
      <c r="R4" s="365"/>
      <c r="S4" s="365"/>
      <c r="T4" s="372"/>
      <c r="V4" s="13" t="s">
        <v>1218</v>
      </c>
      <c r="AG4" s="305"/>
      <c r="AH4" s="305"/>
      <c r="AI4" s="305"/>
      <c r="AJ4" s="305"/>
      <c r="AK4" s="305"/>
      <c r="AL4" s="305"/>
      <c r="AM4" s="305"/>
      <c r="AN4" s="305"/>
      <c r="AO4" s="305"/>
      <c r="AP4" s="305"/>
      <c r="AU4" s="139" t="s">
        <v>1436</v>
      </c>
      <c r="AV4"/>
      <c r="AW4"/>
      <c r="AX4" s="428" t="s">
        <v>1297</v>
      </c>
      <c r="AY4" s="442" t="s">
        <v>1399</v>
      </c>
      <c r="AZ4"/>
      <c r="BA4"/>
      <c r="BB4"/>
      <c r="BC4"/>
      <c r="BD4"/>
    </row>
    <row r="5" spans="1:602" s="13" customFormat="1" ht="36" x14ac:dyDescent="0.55000000000000004">
      <c r="B5" s="123"/>
      <c r="C5" s="124"/>
      <c r="D5" s="125"/>
      <c r="E5" s="125"/>
      <c r="I5" s="125"/>
      <c r="J5" s="125"/>
      <c r="K5" s="125"/>
      <c r="L5" s="125"/>
      <c r="M5" s="125"/>
      <c r="N5" s="125"/>
      <c r="O5" s="125"/>
      <c r="P5" s="125"/>
      <c r="Q5" s="126"/>
      <c r="R5" s="125"/>
      <c r="S5" s="125"/>
      <c r="T5" s="127"/>
      <c r="AG5" s="305"/>
      <c r="AH5" s="305"/>
      <c r="AI5" s="305"/>
      <c r="AJ5" s="305"/>
      <c r="AK5" s="305"/>
      <c r="AL5" s="305"/>
      <c r="AM5" s="305"/>
      <c r="AN5" s="305"/>
      <c r="AO5" s="305"/>
      <c r="AP5" s="305"/>
      <c r="AU5" s="6" t="s">
        <v>1435</v>
      </c>
      <c r="AV5" s="133">
        <v>466</v>
      </c>
      <c r="AW5"/>
      <c r="AX5" s="670" t="s">
        <v>778</v>
      </c>
      <c r="AY5" s="443">
        <v>15</v>
      </c>
    </row>
    <row r="6" spans="1:602" s="30" customFormat="1" ht="23.25" customHeight="1" x14ac:dyDescent="0.35">
      <c r="A6" s="38"/>
      <c r="B6" s="95"/>
      <c r="C6" s="10"/>
      <c r="D6" s="10"/>
      <c r="E6" s="10"/>
      <c r="I6" s="10"/>
      <c r="J6" s="10"/>
      <c r="K6" s="10"/>
      <c r="L6" s="10"/>
      <c r="M6" s="10"/>
      <c r="N6" s="10"/>
      <c r="O6" s="10"/>
      <c r="P6" s="10"/>
      <c r="Q6" s="128"/>
      <c r="R6" s="10"/>
      <c r="S6" s="10"/>
      <c r="T6" s="93"/>
      <c r="U6" s="38"/>
      <c r="V6" s="38"/>
      <c r="W6" s="38"/>
      <c r="X6" s="38"/>
      <c r="Y6" s="38"/>
      <c r="Z6" s="38"/>
      <c r="AA6" s="38"/>
      <c r="AB6" s="38"/>
      <c r="AC6" s="38"/>
      <c r="AD6" s="38"/>
      <c r="AE6" s="38"/>
      <c r="AG6" s="305"/>
      <c r="AH6" s="305"/>
      <c r="AI6" s="305"/>
      <c r="AJ6" s="305"/>
      <c r="AK6" s="305"/>
      <c r="AL6" s="305"/>
      <c r="AM6" s="305"/>
      <c r="AN6" s="305"/>
      <c r="AO6" s="305"/>
      <c r="AP6" s="305"/>
      <c r="AT6" s="305"/>
      <c r="AU6" s="6" t="s">
        <v>1434</v>
      </c>
      <c r="AV6" s="133">
        <v>1727</v>
      </c>
      <c r="AW6"/>
      <c r="AX6" s="682" t="s">
        <v>825</v>
      </c>
      <c r="AY6" s="444">
        <v>14</v>
      </c>
      <c r="WD6" s="13"/>
    </row>
    <row r="7" spans="1:602" s="30" customFormat="1" ht="15.75" thickBot="1" x14ac:dyDescent="0.3">
      <c r="A7" s="38"/>
      <c r="B7" s="95"/>
      <c r="C7" s="10"/>
      <c r="D7" s="10"/>
      <c r="E7" s="10"/>
      <c r="I7" s="10"/>
      <c r="J7" s="10"/>
      <c r="K7" s="10"/>
      <c r="L7" s="10"/>
      <c r="M7" s="10"/>
      <c r="N7" s="10"/>
      <c r="O7" s="10"/>
      <c r="P7" s="10"/>
      <c r="Q7" s="10"/>
      <c r="R7" s="10"/>
      <c r="S7" s="10"/>
      <c r="T7" s="93"/>
      <c r="U7" s="38"/>
      <c r="V7" s="38"/>
      <c r="W7" s="38"/>
      <c r="X7" s="38"/>
      <c r="Y7" s="38"/>
      <c r="Z7" s="38"/>
      <c r="AA7" s="38"/>
      <c r="AB7" s="38"/>
      <c r="AC7" s="38"/>
      <c r="AD7" s="38"/>
      <c r="AE7" s="38"/>
      <c r="AG7" s="305"/>
      <c r="AH7" s="305"/>
      <c r="AI7" s="305"/>
      <c r="AJ7" s="305"/>
      <c r="AK7" s="305"/>
      <c r="AL7" s="305"/>
      <c r="AM7" s="305"/>
      <c r="AN7" s="305"/>
      <c r="AO7" s="305"/>
      <c r="AP7" s="305"/>
      <c r="AT7" s="305"/>
      <c r="AU7" s="6" t="s">
        <v>1433</v>
      </c>
      <c r="AV7" s="133">
        <v>3540</v>
      </c>
      <c r="AW7"/>
      <c r="AX7" s="671" t="s">
        <v>1258</v>
      </c>
      <c r="AY7" s="444">
        <v>7</v>
      </c>
      <c r="WD7" s="13"/>
    </row>
    <row r="8" spans="1:602" ht="15" customHeight="1" x14ac:dyDescent="0.25">
      <c r="B8" s="95"/>
      <c r="C8" s="138"/>
      <c r="D8" s="138"/>
      <c r="E8" s="138"/>
      <c r="I8" s="138"/>
      <c r="J8" s="138"/>
      <c r="K8" s="138"/>
      <c r="L8" s="138"/>
      <c r="M8" s="138"/>
      <c r="N8" s="138"/>
      <c r="O8" s="138"/>
      <c r="P8" s="138"/>
      <c r="Q8" s="138"/>
      <c r="R8" s="138"/>
      <c r="S8" s="138"/>
      <c r="T8" s="93"/>
      <c r="Y8" s="1"/>
      <c r="AG8" s="305"/>
      <c r="AH8" s="305"/>
      <c r="AO8" s="305"/>
      <c r="AP8" s="305"/>
      <c r="AU8" s="6" t="s">
        <v>1432</v>
      </c>
      <c r="AV8" s="133">
        <v>6095</v>
      </c>
      <c r="AW8"/>
      <c r="AX8" s="458" t="s">
        <v>420</v>
      </c>
      <c r="AY8" s="444">
        <v>18</v>
      </c>
    </row>
    <row r="9" spans="1:602" ht="24" x14ac:dyDescent="0.25">
      <c r="B9" s="95"/>
      <c r="C9" s="378"/>
      <c r="D9" s="379"/>
      <c r="E9" s="380"/>
      <c r="I9" s="379"/>
      <c r="J9" s="380"/>
      <c r="K9" s="138"/>
      <c r="L9" s="378"/>
      <c r="M9" s="379"/>
      <c r="N9" s="380"/>
      <c r="O9" s="379"/>
      <c r="P9" s="379"/>
      <c r="Q9" s="379"/>
      <c r="R9" s="379"/>
      <c r="S9" s="380"/>
      <c r="T9" s="93"/>
      <c r="W9" s="14"/>
      <c r="X9" s="1"/>
      <c r="Y9" s="95"/>
      <c r="Z9" s="129" t="s">
        <v>765</v>
      </c>
      <c r="AA9" s="129" t="s">
        <v>766</v>
      </c>
      <c r="AB9" s="43" t="s">
        <v>767</v>
      </c>
      <c r="AC9" s="43" t="s">
        <v>768</v>
      </c>
      <c r="AD9" s="44" t="s">
        <v>769</v>
      </c>
      <c r="AE9" s="44" t="s">
        <v>770</v>
      </c>
      <c r="AF9" s="93"/>
      <c r="AG9" s="305"/>
      <c r="AH9" s="305"/>
      <c r="AO9" s="305"/>
      <c r="AP9" s="305"/>
      <c r="AU9" s="6" t="s">
        <v>1431</v>
      </c>
      <c r="AV9" s="133">
        <v>2051</v>
      </c>
      <c r="AW9"/>
      <c r="AX9" s="458" t="s">
        <v>462</v>
      </c>
      <c r="AY9" s="444">
        <v>2</v>
      </c>
    </row>
    <row r="10" spans="1:602" x14ac:dyDescent="0.25">
      <c r="B10" s="95"/>
      <c r="C10" s="368"/>
      <c r="D10" s="381"/>
      <c r="E10" s="369"/>
      <c r="I10" s="383"/>
      <c r="J10" s="383"/>
      <c r="K10" s="138"/>
      <c r="L10" s="368"/>
      <c r="M10" s="381"/>
      <c r="N10" s="369"/>
      <c r="O10" s="382"/>
      <c r="P10" s="383"/>
      <c r="Q10" s="382"/>
      <c r="R10" s="383"/>
      <c r="S10" s="383"/>
      <c r="T10" s="93"/>
      <c r="W10" s="14"/>
      <c r="X10" s="1"/>
      <c r="Y10" s="95"/>
      <c r="Z10" s="32">
        <f t="shared" ref="Z10:Z16" si="0">IF((E10-(SUM(AG7:AO7)))&lt;0,0,(E10-(SUM(AG7:AO7))))</f>
        <v>0</v>
      </c>
      <c r="AA10" s="130" t="e">
        <f t="shared" ref="AA10:AA16" si="1">Z10/E10</f>
        <v>#DIV/0!</v>
      </c>
      <c r="AB10" s="32" t="e">
        <f t="shared" ref="AB10:AB16" ca="1" si="2">SUMIFS(INDIRECT(VLOOKUP($C10,NFI,4,0)),NFI_Pipeline_State,$C$4)</f>
        <v>#N/A</v>
      </c>
      <c r="AC10" s="31" t="e">
        <f t="shared" ref="AC10:AC16" ca="1" si="3">AB10/E10</f>
        <v>#N/A</v>
      </c>
      <c r="AD10" s="33" t="e">
        <f t="shared" ref="AD10:AD16" ca="1" si="4">IF((E10-(AG7+AO7+AB10))&lt;0,0,(E10-(AG7+AO7+AB10)))</f>
        <v>#N/A</v>
      </c>
      <c r="AE10" s="34" t="e">
        <f t="shared" ref="AE10:AE16" ca="1" si="5">AD10/E10</f>
        <v>#N/A</v>
      </c>
      <c r="AF10" s="93"/>
      <c r="AG10" s="305"/>
      <c r="AH10" s="305"/>
      <c r="AO10" s="305"/>
      <c r="AP10" s="305"/>
      <c r="AU10" s="6" t="s">
        <v>1430</v>
      </c>
      <c r="AV10" s="133">
        <v>11282</v>
      </c>
      <c r="AW10"/>
      <c r="AX10" s="458" t="s">
        <v>1564</v>
      </c>
      <c r="AY10" s="444">
        <v>11</v>
      </c>
    </row>
    <row r="11" spans="1:602" ht="15" customHeight="1" x14ac:dyDescent="0.25">
      <c r="B11" s="95"/>
      <c r="C11" s="368"/>
      <c r="D11" s="381"/>
      <c r="E11" s="369"/>
      <c r="I11" s="383"/>
      <c r="J11" s="383"/>
      <c r="K11" s="138"/>
      <c r="L11" s="839"/>
      <c r="M11" s="840"/>
      <c r="N11" s="841"/>
      <c r="O11" s="844"/>
      <c r="P11" s="842"/>
      <c r="Q11" s="844"/>
      <c r="R11" s="843"/>
      <c r="S11" s="842"/>
      <c r="T11" s="93"/>
      <c r="W11" s="14"/>
      <c r="X11" s="1"/>
      <c r="Y11" s="95"/>
      <c r="Z11" s="32">
        <f t="shared" si="0"/>
        <v>0</v>
      </c>
      <c r="AA11" s="130" t="e">
        <f t="shared" si="1"/>
        <v>#DIV/0!</v>
      </c>
      <c r="AB11" s="32" t="e">
        <f t="shared" ca="1" si="2"/>
        <v>#N/A</v>
      </c>
      <c r="AC11" s="31" t="e">
        <f t="shared" ca="1" si="3"/>
        <v>#N/A</v>
      </c>
      <c r="AD11" s="33" t="e">
        <f t="shared" ca="1" si="4"/>
        <v>#N/A</v>
      </c>
      <c r="AE11" s="34" t="e">
        <f t="shared" ca="1" si="5"/>
        <v>#N/A</v>
      </c>
      <c r="AF11" s="93"/>
      <c r="AG11" s="305"/>
      <c r="AH11" s="305"/>
      <c r="AO11" s="305"/>
      <c r="AP11" s="305"/>
      <c r="AU11" s="6" t="s">
        <v>1429</v>
      </c>
      <c r="AV11" s="133">
        <v>3258</v>
      </c>
      <c r="AW11"/>
      <c r="AX11" s="458" t="s">
        <v>1088</v>
      </c>
      <c r="AY11" s="444">
        <v>2</v>
      </c>
    </row>
    <row r="12" spans="1:602" x14ac:dyDescent="0.25">
      <c r="B12" s="95"/>
      <c r="C12" s="368"/>
      <c r="D12" s="381"/>
      <c r="E12" s="369"/>
      <c r="I12" s="383"/>
      <c r="J12" s="383"/>
      <c r="K12" s="138"/>
      <c r="L12" s="839"/>
      <c r="M12" s="840"/>
      <c r="N12" s="841"/>
      <c r="O12" s="844"/>
      <c r="P12" s="842"/>
      <c r="Q12" s="844"/>
      <c r="R12" s="843"/>
      <c r="S12" s="842"/>
      <c r="T12" s="93"/>
      <c r="W12" s="14"/>
      <c r="X12" s="1"/>
      <c r="Y12" s="95"/>
      <c r="Z12" s="32">
        <f t="shared" si="0"/>
        <v>0</v>
      </c>
      <c r="AA12" s="130" t="e">
        <f t="shared" si="1"/>
        <v>#DIV/0!</v>
      </c>
      <c r="AB12" s="32" t="e">
        <f t="shared" ca="1" si="2"/>
        <v>#N/A</v>
      </c>
      <c r="AC12" s="31" t="e">
        <f t="shared" ca="1" si="3"/>
        <v>#N/A</v>
      </c>
      <c r="AD12" s="33" t="e">
        <f t="shared" ca="1" si="4"/>
        <v>#N/A</v>
      </c>
      <c r="AE12" s="34" t="e">
        <f t="shared" ca="1" si="5"/>
        <v>#N/A</v>
      </c>
      <c r="AF12" s="93"/>
      <c r="AG12" s="305"/>
      <c r="AH12" s="305"/>
      <c r="AO12" s="305"/>
      <c r="AP12" s="305"/>
      <c r="AU12" s="6" t="s">
        <v>1428</v>
      </c>
      <c r="AV12" s="133">
        <v>1808</v>
      </c>
      <c r="AW12"/>
      <c r="AX12" s="458" t="s">
        <v>1458</v>
      </c>
      <c r="AY12" s="444">
        <v>38</v>
      </c>
    </row>
    <row r="13" spans="1:602" ht="15" customHeight="1" x14ac:dyDescent="0.25">
      <c r="B13" s="95"/>
      <c r="C13" s="368"/>
      <c r="D13" s="381"/>
      <c r="E13" s="369"/>
      <c r="I13" s="383"/>
      <c r="J13" s="383"/>
      <c r="K13" s="138"/>
      <c r="L13" s="368"/>
      <c r="M13" s="381"/>
      <c r="N13" s="369"/>
      <c r="O13" s="382"/>
      <c r="P13" s="383"/>
      <c r="Q13" s="382"/>
      <c r="R13" s="383"/>
      <c r="S13" s="383"/>
      <c r="T13" s="93"/>
      <c r="W13" s="14"/>
      <c r="X13" s="1"/>
      <c r="Y13" s="95"/>
      <c r="Z13" s="32">
        <f t="shared" si="0"/>
        <v>0</v>
      </c>
      <c r="AA13" s="130" t="e">
        <f t="shared" si="1"/>
        <v>#DIV/0!</v>
      </c>
      <c r="AB13" s="32" t="e">
        <f t="shared" ca="1" si="2"/>
        <v>#N/A</v>
      </c>
      <c r="AC13" s="31" t="e">
        <f t="shared" ca="1" si="3"/>
        <v>#N/A</v>
      </c>
      <c r="AD13" s="33" t="e">
        <f t="shared" ca="1" si="4"/>
        <v>#N/A</v>
      </c>
      <c r="AE13" s="34" t="e">
        <f t="shared" ca="1" si="5"/>
        <v>#N/A</v>
      </c>
      <c r="AF13" s="93"/>
      <c r="AG13" s="305"/>
      <c r="AH13" s="305"/>
      <c r="AO13" s="305"/>
      <c r="AP13" s="305"/>
      <c r="AU13" s="6" t="s">
        <v>1427</v>
      </c>
      <c r="AV13" s="133">
        <v>6472</v>
      </c>
      <c r="AW13"/>
      <c r="AX13" s="458" t="s">
        <v>424</v>
      </c>
      <c r="AY13" s="444">
        <v>1</v>
      </c>
    </row>
    <row r="14" spans="1:602" x14ac:dyDescent="0.25">
      <c r="B14" s="95"/>
      <c r="C14" s="368"/>
      <c r="D14" s="381"/>
      <c r="E14" s="369"/>
      <c r="I14" s="383"/>
      <c r="J14" s="383"/>
      <c r="K14" s="138"/>
      <c r="L14" s="138"/>
      <c r="M14" s="138"/>
      <c r="N14" s="138"/>
      <c r="O14" s="138"/>
      <c r="P14" s="138"/>
      <c r="Q14" s="138"/>
      <c r="R14" s="138"/>
      <c r="S14" s="138"/>
      <c r="T14" s="93"/>
      <c r="W14" s="14"/>
      <c r="X14" s="1"/>
      <c r="Y14" s="95"/>
      <c r="Z14" s="32">
        <f t="shared" si="0"/>
        <v>0</v>
      </c>
      <c r="AA14" s="130" t="e">
        <f t="shared" si="1"/>
        <v>#DIV/0!</v>
      </c>
      <c r="AB14" s="32" t="e">
        <f t="shared" ca="1" si="2"/>
        <v>#N/A</v>
      </c>
      <c r="AC14" s="31" t="e">
        <f t="shared" ca="1" si="3"/>
        <v>#N/A</v>
      </c>
      <c r="AD14" s="33" t="e">
        <f t="shared" ca="1" si="4"/>
        <v>#N/A</v>
      </c>
      <c r="AE14" s="34" t="e">
        <f t="shared" ca="1" si="5"/>
        <v>#N/A</v>
      </c>
      <c r="AF14" s="93"/>
      <c r="AG14" s="305"/>
      <c r="AH14" s="305"/>
      <c r="AO14" s="305"/>
      <c r="AP14" s="305"/>
      <c r="AU14" s="6" t="s">
        <v>1426</v>
      </c>
      <c r="AV14" s="133">
        <v>2191</v>
      </c>
      <c r="AW14"/>
      <c r="AX14" s="458" t="s">
        <v>1635</v>
      </c>
      <c r="AY14" s="444">
        <v>11</v>
      </c>
    </row>
    <row r="15" spans="1:602" ht="15" customHeight="1" x14ac:dyDescent="0.25">
      <c r="B15" s="95"/>
      <c r="C15" s="368"/>
      <c r="D15" s="381"/>
      <c r="E15" s="369"/>
      <c r="I15" s="383"/>
      <c r="J15" s="383"/>
      <c r="K15" s="138"/>
      <c r="L15" s="138"/>
      <c r="M15" s="138"/>
      <c r="N15" s="138"/>
      <c r="O15" s="138"/>
      <c r="P15" s="138"/>
      <c r="Q15" s="138"/>
      <c r="R15" s="138"/>
      <c r="S15" s="138"/>
      <c r="T15" s="93"/>
      <c r="W15" s="14"/>
      <c r="X15" s="1"/>
      <c r="Y15" s="95"/>
      <c r="Z15" s="32">
        <f t="shared" si="0"/>
        <v>0</v>
      </c>
      <c r="AA15" s="130" t="e">
        <f t="shared" si="1"/>
        <v>#DIV/0!</v>
      </c>
      <c r="AB15" s="32" t="e">
        <f t="shared" ca="1" si="2"/>
        <v>#N/A</v>
      </c>
      <c r="AC15" s="31" t="e">
        <f t="shared" ca="1" si="3"/>
        <v>#N/A</v>
      </c>
      <c r="AD15" s="33" t="e">
        <f t="shared" ca="1" si="4"/>
        <v>#N/A</v>
      </c>
      <c r="AE15" s="34" t="e">
        <f t="shared" ca="1" si="5"/>
        <v>#N/A</v>
      </c>
      <c r="AF15" s="93"/>
      <c r="AG15" s="305"/>
      <c r="AH15" s="305"/>
      <c r="AO15" s="305"/>
      <c r="AP15" s="305"/>
      <c r="AU15"/>
      <c r="AV15"/>
      <c r="AW15"/>
      <c r="AX15" s="458" t="s">
        <v>1634</v>
      </c>
      <c r="AY15" s="444">
        <v>4</v>
      </c>
    </row>
    <row r="16" spans="1:602" ht="13.5" customHeight="1" x14ac:dyDescent="0.25">
      <c r="B16" s="95"/>
      <c r="C16" s="368"/>
      <c r="D16" s="381"/>
      <c r="E16" s="369"/>
      <c r="F16"/>
      <c r="G16"/>
      <c r="H16"/>
      <c r="I16" s="383"/>
      <c r="J16" s="383"/>
      <c r="K16" s="138"/>
      <c r="L16" s="138"/>
      <c r="M16" s="138"/>
      <c r="N16" s="138"/>
      <c r="O16" s="138"/>
      <c r="P16" s="138"/>
      <c r="Q16" s="138"/>
      <c r="R16" s="138"/>
      <c r="S16" s="138"/>
      <c r="T16" s="93"/>
      <c r="W16" s="14"/>
      <c r="X16" s="1"/>
      <c r="Y16" s="95"/>
      <c r="Z16" s="32">
        <f t="shared" si="0"/>
        <v>0</v>
      </c>
      <c r="AA16" s="130" t="e">
        <f t="shared" si="1"/>
        <v>#DIV/0!</v>
      </c>
      <c r="AB16" s="32" t="e">
        <f t="shared" ca="1" si="2"/>
        <v>#N/A</v>
      </c>
      <c r="AC16" s="31" t="e">
        <f t="shared" ca="1" si="3"/>
        <v>#N/A</v>
      </c>
      <c r="AD16" s="33" t="e">
        <f t="shared" ca="1" si="4"/>
        <v>#N/A</v>
      </c>
      <c r="AE16" s="34" t="e">
        <f t="shared" ca="1" si="5"/>
        <v>#N/A</v>
      </c>
      <c r="AF16" s="93"/>
      <c r="AG16" s="305"/>
      <c r="AH16" s="305"/>
      <c r="AO16" s="305"/>
      <c r="AP16" s="305"/>
      <c r="AU16" s="139" t="s">
        <v>1633</v>
      </c>
      <c r="AV16" s="305" t="s">
        <v>537</v>
      </c>
      <c r="AW16"/>
      <c r="AX16" s="458" t="s">
        <v>1560</v>
      </c>
      <c r="AY16" s="444">
        <v>2</v>
      </c>
    </row>
    <row r="17" spans="2:602" s="38" customFormat="1" x14ac:dyDescent="0.25">
      <c r="B17" s="95"/>
      <c r="C17" s="138"/>
      <c r="D17" s="138"/>
      <c r="E17" s="138"/>
      <c r="F17"/>
      <c r="G17"/>
      <c r="H17"/>
      <c r="I17" s="138"/>
      <c r="J17" s="138"/>
      <c r="K17" s="138"/>
      <c r="L17" s="138"/>
      <c r="M17" s="138"/>
      <c r="N17" s="138"/>
      <c r="O17" s="138"/>
      <c r="P17" s="138"/>
      <c r="Q17" s="138"/>
      <c r="R17" s="138"/>
      <c r="S17" s="138"/>
      <c r="T17" s="93"/>
      <c r="W17" s="14"/>
      <c r="X17" s="1"/>
      <c r="Y17" s="95"/>
      <c r="Z17" s="32">
        <f>IF((N10-(SUM(O10:Q10)))&lt;0,0,(N10-(SUM(O10:Q10))))</f>
        <v>0</v>
      </c>
      <c r="AA17" s="130" t="e">
        <f>Z17/N10</f>
        <v>#DIV/0!</v>
      </c>
      <c r="AB17" s="32" t="e">
        <f ca="1">SUMIFS(INDIRECT(VLOOKUP($L10,NFI,4,0)),NFI_Pipeline_State,$C$4)</f>
        <v>#N/A</v>
      </c>
      <c r="AC17" s="31" t="e">
        <f ca="1">AB17/N10</f>
        <v>#N/A</v>
      </c>
      <c r="AD17" s="33" t="e">
        <f ca="1">IF((N10-(O10+Q10+AB17))&lt;0,0,(N10-(O10+Q10+AB17)))</f>
        <v>#N/A</v>
      </c>
      <c r="AE17" s="34" t="e">
        <f ca="1">AD17/N10</f>
        <v>#N/A</v>
      </c>
      <c r="AF17" s="93"/>
      <c r="AG17" s="305"/>
      <c r="AH17" s="305"/>
      <c r="AI17" s="305"/>
      <c r="AJ17" s="305"/>
      <c r="AK17" s="305"/>
      <c r="AL17" s="305"/>
      <c r="AM17" s="305"/>
      <c r="AN17" s="305"/>
      <c r="AO17" s="305"/>
      <c r="AP17" s="305"/>
      <c r="AT17" s="305"/>
      <c r="AU17"/>
      <c r="AV17"/>
      <c r="AW17"/>
      <c r="AX17" s="429" t="s">
        <v>411</v>
      </c>
      <c r="AY17" s="430">
        <v>125</v>
      </c>
      <c r="WD17" s="13"/>
    </row>
    <row r="18" spans="2:602" s="38" customFormat="1" x14ac:dyDescent="0.25">
      <c r="B18" s="95"/>
      <c r="C18" s="138"/>
      <c r="D18" s="138"/>
      <c r="E18" s="138"/>
      <c r="F18"/>
      <c r="G18"/>
      <c r="H18"/>
      <c r="I18" s="138"/>
      <c r="J18" s="138"/>
      <c r="K18" s="138"/>
      <c r="L18" s="138"/>
      <c r="M18" s="138"/>
      <c r="N18" s="138"/>
      <c r="O18" s="138"/>
      <c r="P18" s="138"/>
      <c r="Q18" s="138"/>
      <c r="R18" s="138"/>
      <c r="S18" s="138"/>
      <c r="T18" s="93"/>
      <c r="W18" s="14"/>
      <c r="X18" s="1"/>
      <c r="Y18" s="95"/>
      <c r="Z18" s="32">
        <f>IF((N11-(SUM(O11:Q11)))&lt;0,0,(N11-(SUM(O11:Q11))))</f>
        <v>0</v>
      </c>
      <c r="AA18" s="130" t="e">
        <f>Z18/N11</f>
        <v>#DIV/0!</v>
      </c>
      <c r="AB18" s="32" t="e">
        <f ca="1">SUMIFS(INDIRECT(VLOOKUP($L11,NFI,4,0)),NFI_Pipeline_State,$C$4)</f>
        <v>#N/A</v>
      </c>
      <c r="AC18" s="31" t="e">
        <f ca="1">AB18/N11</f>
        <v>#N/A</v>
      </c>
      <c r="AD18" s="33" t="e">
        <f ca="1">IF((N11-(O11+Q11+AB18))&lt;0,0,(N11-(O11+Q11+AB18)))</f>
        <v>#N/A</v>
      </c>
      <c r="AE18" s="34" t="e">
        <f ca="1">AD18/N11</f>
        <v>#N/A</v>
      </c>
      <c r="AF18" s="93"/>
      <c r="AG18" s="305"/>
      <c r="AH18" s="305"/>
      <c r="AI18" s="305"/>
      <c r="AJ18" s="305"/>
      <c r="AK18" s="305"/>
      <c r="AL18" s="305"/>
      <c r="AM18" s="305"/>
      <c r="AN18" s="305"/>
      <c r="AO18" s="305"/>
      <c r="AP18" s="305"/>
      <c r="AT18" s="305"/>
      <c r="AU18" s="139" t="s">
        <v>410</v>
      </c>
      <c r="AV18" t="s">
        <v>1437</v>
      </c>
      <c r="AW18"/>
      <c r="AX18"/>
      <c r="AY18"/>
      <c r="WD18" s="13"/>
    </row>
    <row r="19" spans="2:602" x14ac:dyDescent="0.25">
      <c r="B19" s="95"/>
      <c r="C19" s="10"/>
      <c r="D19" s="10"/>
      <c r="E19" s="10"/>
      <c r="F19"/>
      <c r="G19"/>
      <c r="H19"/>
      <c r="I19" s="10"/>
      <c r="J19" s="10"/>
      <c r="K19" s="10"/>
      <c r="L19" s="10"/>
      <c r="M19" s="10"/>
      <c r="N19" s="10"/>
      <c r="O19" s="10"/>
      <c r="P19" s="10"/>
      <c r="Q19" s="10"/>
      <c r="R19" s="10"/>
      <c r="S19" s="10"/>
      <c r="T19" s="93"/>
      <c r="W19" s="14"/>
      <c r="X19" s="1"/>
      <c r="Y19" s="95"/>
      <c r="Z19" s="32">
        <f>IF((N13-(SUM(O13:Q13)))&lt;0,0,(N13-(SUM(O13:Q13))))</f>
        <v>0</v>
      </c>
      <c r="AA19" s="130" t="e">
        <f>Z19/N13</f>
        <v>#DIV/0!</v>
      </c>
      <c r="AB19" s="32" t="e">
        <f ca="1">SUMIFS(INDIRECT(VLOOKUP($L13,NFI,4,0)),NFI_Pipeline_State,$C$4)</f>
        <v>#N/A</v>
      </c>
      <c r="AC19" s="31" t="e">
        <f ca="1">AB19/N13</f>
        <v>#N/A</v>
      </c>
      <c r="AD19" s="33" t="e">
        <f ca="1">IF((N13-(O13+Q13+AB19))&lt;0,0,(N13-(O13+Q13+AB19)))</f>
        <v>#N/A</v>
      </c>
      <c r="AE19" s="34" t="e">
        <f ca="1">AD19/N13</f>
        <v>#N/A</v>
      </c>
      <c r="AF19" s="93"/>
      <c r="AG19" s="305"/>
      <c r="AH19" s="305"/>
      <c r="AO19" s="305"/>
      <c r="AP19" s="305"/>
      <c r="AU19" s="6" t="s">
        <v>5</v>
      </c>
      <c r="AV19" s="133">
        <v>23</v>
      </c>
      <c r="AW19"/>
      <c r="AX19"/>
      <c r="AY19"/>
    </row>
    <row r="20" spans="2:602" ht="12.75" customHeight="1" thickBot="1" x14ac:dyDescent="0.3">
      <c r="B20" s="95"/>
      <c r="C20" s="10"/>
      <c r="D20" s="10"/>
      <c r="E20" s="10"/>
      <c r="F20"/>
      <c r="G20"/>
      <c r="H20"/>
      <c r="I20" s="10"/>
      <c r="J20" s="10"/>
      <c r="K20" s="10"/>
      <c r="L20" s="10"/>
      <c r="M20" s="10"/>
      <c r="N20" s="10"/>
      <c r="O20" s="10"/>
      <c r="P20" s="10"/>
      <c r="Q20" s="10"/>
      <c r="R20" s="10"/>
      <c r="S20" s="10"/>
      <c r="T20" s="93"/>
      <c r="W20" s="90"/>
      <c r="X20" s="91"/>
      <c r="Y20" s="96"/>
      <c r="Z20" s="92"/>
      <c r="AA20" s="92"/>
      <c r="AB20" s="92"/>
      <c r="AC20" s="92"/>
      <c r="AD20" s="92"/>
      <c r="AE20" s="92"/>
      <c r="AF20" s="94"/>
      <c r="AG20" s="305"/>
      <c r="AH20" s="305"/>
      <c r="AO20" s="305"/>
      <c r="AP20" s="305"/>
      <c r="AU20" s="6" t="s">
        <v>27</v>
      </c>
      <c r="AV20" s="133">
        <v>10</v>
      </c>
      <c r="AW20"/>
    </row>
    <row r="21" spans="2:602" ht="12.75" customHeight="1" x14ac:dyDescent="0.25">
      <c r="B21" s="95"/>
      <c r="C21" s="10"/>
      <c r="D21" s="10"/>
      <c r="E21" s="10"/>
      <c r="F21"/>
      <c r="G21"/>
      <c r="H21"/>
      <c r="I21" s="10"/>
      <c r="J21" s="10"/>
      <c r="K21" s="10"/>
      <c r="L21" s="10"/>
      <c r="M21" s="10"/>
      <c r="N21" s="10"/>
      <c r="O21" s="10"/>
      <c r="P21" s="10"/>
      <c r="Q21" s="10"/>
      <c r="R21" s="10"/>
      <c r="S21" s="10"/>
      <c r="T21" s="93"/>
      <c r="Y21" s="1"/>
      <c r="AG21" s="305"/>
      <c r="AH21" s="305"/>
      <c r="AO21" s="305"/>
      <c r="AP21" s="305"/>
      <c r="AU21" s="6" t="s">
        <v>480</v>
      </c>
      <c r="AV21" s="133">
        <v>18</v>
      </c>
      <c r="AW21"/>
    </row>
    <row r="22" spans="2:602" ht="12.75" customHeight="1" x14ac:dyDescent="0.25">
      <c r="B22" s="95"/>
      <c r="C22" s="10"/>
      <c r="D22" s="10"/>
      <c r="E22" s="10"/>
      <c r="F22"/>
      <c r="G22"/>
      <c r="H22"/>
      <c r="I22" s="10"/>
      <c r="J22" s="10"/>
      <c r="K22" s="10"/>
      <c r="L22" s="10"/>
      <c r="M22" s="10"/>
      <c r="N22" s="10"/>
      <c r="O22" s="10"/>
      <c r="P22" s="10"/>
      <c r="Q22" s="10"/>
      <c r="R22" s="10"/>
      <c r="S22" s="10"/>
      <c r="T22" s="93"/>
      <c r="Y22" s="1"/>
      <c r="AG22" s="305"/>
      <c r="AH22" s="305"/>
      <c r="AO22" s="305"/>
      <c r="AP22" s="305"/>
      <c r="AU22" s="6" t="s">
        <v>719</v>
      </c>
      <c r="AV22" s="133">
        <v>3</v>
      </c>
      <c r="AW22"/>
    </row>
    <row r="23" spans="2:602" s="305" customFormat="1" ht="12.75" customHeight="1" x14ac:dyDescent="0.25">
      <c r="B23" s="95"/>
      <c r="C23" s="10"/>
      <c r="D23" s="10"/>
      <c r="E23" s="10"/>
      <c r="F23"/>
      <c r="G23"/>
      <c r="H23"/>
      <c r="I23" s="10"/>
      <c r="J23" s="10"/>
      <c r="K23" s="10"/>
      <c r="L23" s="10"/>
      <c r="M23" s="10"/>
      <c r="N23" s="10"/>
      <c r="O23" s="10"/>
      <c r="P23" s="10"/>
      <c r="Q23" s="10"/>
      <c r="R23" s="10"/>
      <c r="S23" s="10"/>
      <c r="T23" s="93"/>
      <c r="Y23" s="132"/>
      <c r="AU23" s="6" t="s">
        <v>146</v>
      </c>
      <c r="AV23" s="133">
        <v>20</v>
      </c>
      <c r="AW23"/>
      <c r="WD23" s="13"/>
    </row>
    <row r="24" spans="2:602" s="305" customFormat="1" ht="12.75" customHeight="1" x14ac:dyDescent="0.25">
      <c r="B24" s="95"/>
      <c r="C24" s="10"/>
      <c r="D24" s="10"/>
      <c r="E24" s="10"/>
      <c r="I24" s="10"/>
      <c r="J24" s="10"/>
      <c r="K24" s="10"/>
      <c r="L24" s="10"/>
      <c r="M24" s="10"/>
      <c r="N24" s="10"/>
      <c r="O24" s="10"/>
      <c r="P24" s="10"/>
      <c r="Q24" s="10"/>
      <c r="R24" s="10"/>
      <c r="S24" s="10"/>
      <c r="T24" s="93"/>
      <c r="Y24" s="132"/>
      <c r="AU24" s="6" t="s">
        <v>151</v>
      </c>
      <c r="AV24" s="133">
        <v>35</v>
      </c>
      <c r="AW24"/>
      <c r="WD24" s="13"/>
    </row>
    <row r="25" spans="2:602" s="305" customFormat="1" ht="12.75" customHeight="1" x14ac:dyDescent="0.25">
      <c r="B25" s="95"/>
      <c r="C25" s="10"/>
      <c r="D25" s="10"/>
      <c r="E25" s="10"/>
      <c r="I25" s="10"/>
      <c r="J25" s="10"/>
      <c r="K25" s="10"/>
      <c r="L25" s="10"/>
      <c r="M25" s="10"/>
      <c r="N25" s="10"/>
      <c r="O25" s="10"/>
      <c r="P25" s="10"/>
      <c r="Q25" s="10"/>
      <c r="R25" s="10"/>
      <c r="S25" s="10"/>
      <c r="T25" s="93"/>
      <c r="Y25" s="132"/>
      <c r="AU25" s="6" t="s">
        <v>237</v>
      </c>
      <c r="AV25" s="133">
        <v>66</v>
      </c>
      <c r="AW25"/>
      <c r="WD25" s="13"/>
    </row>
    <row r="26" spans="2:602" s="305" customFormat="1" ht="12.75" customHeight="1" x14ac:dyDescent="0.25">
      <c r="B26" s="95"/>
      <c r="C26" s="10"/>
      <c r="D26" s="10"/>
      <c r="E26" s="10"/>
      <c r="F26" s="384"/>
      <c r="G26" s="384"/>
      <c r="H26" s="361"/>
      <c r="I26" s="10"/>
      <c r="J26" s="10"/>
      <c r="K26" s="10"/>
      <c r="L26" s="10"/>
      <c r="M26" s="10"/>
      <c r="N26" s="10"/>
      <c r="O26" s="10"/>
      <c r="P26" s="10"/>
      <c r="Q26" s="10"/>
      <c r="R26" s="10"/>
      <c r="S26" s="10"/>
      <c r="T26" s="93"/>
      <c r="Y26" s="132"/>
      <c r="AU26" s="6" t="s">
        <v>297</v>
      </c>
      <c r="AV26" s="133">
        <v>28</v>
      </c>
      <c r="AW26"/>
      <c r="WD26" s="13"/>
    </row>
    <row r="27" spans="2:602" s="305" customFormat="1" ht="12.75" customHeight="1" x14ac:dyDescent="0.25">
      <c r="B27" s="95"/>
      <c r="C27" s="10"/>
      <c r="D27" s="10"/>
      <c r="E27" s="10"/>
      <c r="F27" s="384"/>
      <c r="G27" s="384"/>
      <c r="H27" s="361"/>
      <c r="I27" s="10"/>
      <c r="J27" s="10"/>
      <c r="K27" s="10"/>
      <c r="L27" s="10"/>
      <c r="M27" s="10"/>
      <c r="N27" s="10"/>
      <c r="O27" s="10"/>
      <c r="P27" s="10"/>
      <c r="Q27" s="10"/>
      <c r="R27" s="10"/>
      <c r="S27" s="10"/>
      <c r="T27" s="93"/>
      <c r="Y27" s="132"/>
      <c r="AU27" s="6" t="s">
        <v>301</v>
      </c>
      <c r="AV27" s="133">
        <v>8</v>
      </c>
      <c r="AW27"/>
      <c r="WD27" s="13"/>
    </row>
    <row r="28" spans="2:602" s="305" customFormat="1" ht="12.75" customHeight="1" x14ac:dyDescent="0.25">
      <c r="B28" s="95"/>
      <c r="C28" s="10"/>
      <c r="D28" s="10"/>
      <c r="E28" s="10"/>
      <c r="F28" s="384"/>
      <c r="G28" s="384"/>
      <c r="H28" s="361"/>
      <c r="I28" s="10"/>
      <c r="J28" s="10"/>
      <c r="K28" s="10"/>
      <c r="L28" s="10"/>
      <c r="M28" s="10"/>
      <c r="N28" s="10"/>
      <c r="O28" s="10"/>
      <c r="P28" s="10"/>
      <c r="Q28" s="10"/>
      <c r="R28" s="10"/>
      <c r="S28" s="10"/>
      <c r="T28" s="93"/>
      <c r="Y28" s="132"/>
      <c r="AU28" s="6" t="s">
        <v>746</v>
      </c>
      <c r="AV28" s="133">
        <v>4</v>
      </c>
      <c r="AW28"/>
      <c r="WD28" s="13"/>
    </row>
    <row r="29" spans="2:602" s="305" customFormat="1" ht="12.75" customHeight="1" x14ac:dyDescent="0.25">
      <c r="B29" s="95"/>
      <c r="C29" s="10"/>
      <c r="D29" s="10"/>
      <c r="E29" s="10"/>
      <c r="I29" s="10"/>
      <c r="J29" s="10"/>
      <c r="K29" s="10"/>
      <c r="L29" s="10"/>
      <c r="M29" s="10"/>
      <c r="N29" s="10"/>
      <c r="O29" s="10"/>
      <c r="P29" s="10"/>
      <c r="Q29" s="10"/>
      <c r="R29" s="10"/>
      <c r="S29" s="10"/>
      <c r="T29" s="93"/>
      <c r="Y29" s="132"/>
      <c r="AU29" s="6" t="s">
        <v>1135</v>
      </c>
      <c r="AV29" s="133">
        <v>6</v>
      </c>
      <c r="AW29"/>
      <c r="WD29" s="13"/>
    </row>
    <row r="30" spans="2:602" s="305" customFormat="1" x14ac:dyDescent="0.25">
      <c r="B30" s="95"/>
      <c r="C30" s="10"/>
      <c r="D30" s="10"/>
      <c r="E30" s="10"/>
      <c r="I30" s="10"/>
      <c r="J30" s="10"/>
      <c r="K30" s="10"/>
      <c r="L30" s="10"/>
      <c r="M30" s="10"/>
      <c r="N30" s="10"/>
      <c r="O30" s="10"/>
      <c r="P30" s="10"/>
      <c r="Q30" s="10"/>
      <c r="R30" s="10"/>
      <c r="S30" s="10"/>
      <c r="T30" s="93"/>
      <c r="Y30" s="132"/>
      <c r="AU30" s="6" t="s">
        <v>309</v>
      </c>
      <c r="AV30" s="133">
        <v>57</v>
      </c>
      <c r="AW30"/>
      <c r="WD30" s="13"/>
    </row>
    <row r="31" spans="2:602" s="305" customFormat="1" ht="12.75" customHeight="1" x14ac:dyDescent="0.25">
      <c r="B31" s="95"/>
      <c r="C31" s="10"/>
      <c r="D31" s="10"/>
      <c r="E31" s="10"/>
      <c r="I31" s="10"/>
      <c r="J31" s="10"/>
      <c r="K31" s="10"/>
      <c r="L31" s="10"/>
      <c r="M31" s="10"/>
      <c r="N31" s="10"/>
      <c r="O31" s="10"/>
      <c r="P31" s="10"/>
      <c r="Q31" s="10"/>
      <c r="R31" s="10"/>
      <c r="S31" s="10"/>
      <c r="T31" s="93"/>
      <c r="Y31" s="132"/>
      <c r="AU31" s="6" t="s">
        <v>180</v>
      </c>
      <c r="AV31" s="133">
        <v>3</v>
      </c>
      <c r="AW31"/>
      <c r="WD31" s="13"/>
    </row>
    <row r="32" spans="2:602" s="305" customFormat="1" ht="12.75" customHeight="1" x14ac:dyDescent="0.25">
      <c r="B32" s="95"/>
      <c r="C32" s="10"/>
      <c r="D32" s="10"/>
      <c r="E32" s="10"/>
      <c r="F32" s="10"/>
      <c r="G32" s="10"/>
      <c r="H32" s="10"/>
      <c r="I32" s="10"/>
      <c r="J32" s="10"/>
      <c r="K32" s="10"/>
      <c r="L32" s="10"/>
      <c r="M32" s="10"/>
      <c r="N32" s="10"/>
      <c r="O32" s="10"/>
      <c r="P32" s="10"/>
      <c r="Q32" s="10"/>
      <c r="R32" s="10"/>
      <c r="S32" s="10"/>
      <c r="T32" s="93"/>
      <c r="Y32" s="132"/>
      <c r="AU32" s="6" t="s">
        <v>494</v>
      </c>
      <c r="AV32" s="133">
        <v>8</v>
      </c>
      <c r="AW32"/>
      <c r="WD32" s="13"/>
    </row>
    <row r="33" spans="2:602" s="305" customFormat="1" x14ac:dyDescent="0.25">
      <c r="B33" s="95"/>
      <c r="C33" s="10"/>
      <c r="D33" s="10"/>
      <c r="E33" s="10"/>
      <c r="F33" s="10"/>
      <c r="G33" s="10"/>
      <c r="H33" s="10"/>
      <c r="I33" s="10"/>
      <c r="J33" s="10"/>
      <c r="K33" s="10"/>
      <c r="L33" s="10"/>
      <c r="M33" s="10"/>
      <c r="N33" s="10"/>
      <c r="O33" s="10"/>
      <c r="P33" s="10"/>
      <c r="Q33" s="10"/>
      <c r="R33" s="10"/>
      <c r="S33" s="10"/>
      <c r="T33" s="93"/>
      <c r="Y33" s="132"/>
      <c r="AU33" s="6" t="s">
        <v>185</v>
      </c>
      <c r="AV33" s="133">
        <v>17</v>
      </c>
      <c r="AW33" s="30"/>
      <c r="WD33" s="13"/>
    </row>
    <row r="34" spans="2:602" s="305" customFormat="1" x14ac:dyDescent="0.25">
      <c r="B34" s="95"/>
      <c r="F34" s="10"/>
      <c r="G34" s="10"/>
      <c r="H34" s="10"/>
      <c r="I34" s="10"/>
      <c r="J34" s="10"/>
      <c r="K34" s="10"/>
      <c r="L34" s="10"/>
      <c r="M34" s="10"/>
      <c r="N34" s="10"/>
      <c r="O34" s="10"/>
      <c r="P34" s="10"/>
      <c r="Q34" s="10"/>
      <c r="R34" s="10"/>
      <c r="S34" s="10"/>
      <c r="T34" s="93"/>
      <c r="Y34" s="132"/>
      <c r="AU34" s="6" t="s">
        <v>288</v>
      </c>
      <c r="AV34" s="133">
        <v>23</v>
      </c>
      <c r="AW34"/>
      <c r="WD34" s="13"/>
    </row>
    <row r="35" spans="2:602" s="305" customFormat="1" x14ac:dyDescent="0.25">
      <c r="B35" s="95"/>
      <c r="F35" s="10"/>
      <c r="G35" s="10"/>
      <c r="H35" s="10"/>
      <c r="I35" s="10"/>
      <c r="J35" s="10"/>
      <c r="K35" s="10"/>
      <c r="L35" s="10"/>
      <c r="M35" s="10"/>
      <c r="N35" s="10"/>
      <c r="O35" s="10"/>
      <c r="P35" s="10"/>
      <c r="Q35" s="10"/>
      <c r="R35" s="10"/>
      <c r="S35" s="10"/>
      <c r="T35" s="93"/>
      <c r="Y35" s="132"/>
      <c r="AU35" s="6" t="s">
        <v>230</v>
      </c>
      <c r="AV35" s="133">
        <v>4</v>
      </c>
      <c r="AW35"/>
      <c r="WD35" s="13"/>
    </row>
    <row r="36" spans="2:602" s="305" customFormat="1" x14ac:dyDescent="0.25">
      <c r="B36" s="95"/>
      <c r="F36" s="10"/>
      <c r="G36" s="10"/>
      <c r="H36" s="10"/>
      <c r="I36" s="10"/>
      <c r="J36" s="10"/>
      <c r="K36" s="10"/>
      <c r="L36" s="10"/>
      <c r="M36" s="10"/>
      <c r="N36" s="10"/>
      <c r="O36" s="10"/>
      <c r="P36" s="10"/>
      <c r="Q36" s="10"/>
      <c r="R36" s="10"/>
      <c r="S36" s="10"/>
      <c r="T36" s="93"/>
      <c r="Y36" s="132"/>
      <c r="AU36" s="6" t="s">
        <v>173</v>
      </c>
      <c r="AV36" s="133">
        <v>22</v>
      </c>
      <c r="AW36"/>
      <c r="WD36" s="13"/>
    </row>
    <row r="37" spans="2:602" s="305" customFormat="1" x14ac:dyDescent="0.25">
      <c r="B37" s="95"/>
      <c r="F37" s="10"/>
      <c r="G37" s="10"/>
      <c r="H37" s="10"/>
      <c r="I37" s="10"/>
      <c r="J37" s="10"/>
      <c r="K37" s="10"/>
      <c r="L37" s="10"/>
      <c r="M37" s="10"/>
      <c r="N37" s="10"/>
      <c r="O37" s="10"/>
      <c r="P37" s="10"/>
      <c r="Q37" s="10"/>
      <c r="R37" s="10"/>
      <c r="S37" s="10"/>
      <c r="T37" s="93"/>
      <c r="Y37" s="132"/>
      <c r="AU37" s="6" t="s">
        <v>361</v>
      </c>
      <c r="AV37" s="133">
        <v>2</v>
      </c>
      <c r="AW37"/>
      <c r="WD37" s="13"/>
    </row>
    <row r="38" spans="2:602" s="305" customFormat="1" x14ac:dyDescent="0.25">
      <c r="B38" s="95"/>
      <c r="F38" s="10"/>
      <c r="G38" s="10"/>
      <c r="H38" s="10"/>
      <c r="I38" s="10"/>
      <c r="J38" s="10"/>
      <c r="K38" s="10"/>
      <c r="L38" s="10"/>
      <c r="M38" s="10"/>
      <c r="N38" s="10"/>
      <c r="O38" s="10"/>
      <c r="P38" s="10"/>
      <c r="Q38" s="10"/>
      <c r="R38" s="10"/>
      <c r="S38" s="10"/>
      <c r="T38" s="93"/>
      <c r="Y38" s="132"/>
      <c r="AR38" s="433"/>
      <c r="AU38" s="6" t="s">
        <v>299</v>
      </c>
      <c r="AV38" s="133">
        <v>2</v>
      </c>
      <c r="AW38"/>
      <c r="WD38" s="13"/>
    </row>
    <row r="39" spans="2:602" s="305" customFormat="1" x14ac:dyDescent="0.25">
      <c r="B39" s="95"/>
      <c r="F39" s="10"/>
      <c r="G39" s="10"/>
      <c r="H39" s="10"/>
      <c r="I39" s="10"/>
      <c r="J39" s="10"/>
      <c r="K39" s="10"/>
      <c r="L39" s="10"/>
      <c r="M39" s="10"/>
      <c r="N39" s="10"/>
      <c r="O39" s="10"/>
      <c r="P39" s="10"/>
      <c r="Q39" s="10"/>
      <c r="R39" s="10"/>
      <c r="S39" s="10"/>
      <c r="T39" s="93"/>
      <c r="Y39" s="132"/>
      <c r="AR39" s="13">
        <f>COUNTIF(AV41:AV54,"&gt;5/1/2017")</f>
        <v>0</v>
      </c>
      <c r="AU39" s="6" t="s">
        <v>166</v>
      </c>
      <c r="AV39" s="133">
        <v>2</v>
      </c>
      <c r="AW39"/>
      <c r="WD39" s="13"/>
    </row>
    <row r="40" spans="2:602" s="305" customFormat="1" x14ac:dyDescent="0.25">
      <c r="B40" s="95"/>
      <c r="F40" s="10"/>
      <c r="G40" s="10"/>
      <c r="H40" s="10"/>
      <c r="I40" s="10"/>
      <c r="J40" s="10"/>
      <c r="K40" s="10"/>
      <c r="L40" s="10"/>
      <c r="M40" s="10"/>
      <c r="N40" s="10"/>
      <c r="O40" s="10"/>
      <c r="P40" s="10"/>
      <c r="Q40" s="10"/>
      <c r="R40" s="10"/>
      <c r="S40" s="10"/>
      <c r="T40" s="93"/>
      <c r="Y40" s="132"/>
      <c r="AU40" s="6" t="s">
        <v>411</v>
      </c>
      <c r="AV40" s="133">
        <v>361</v>
      </c>
      <c r="AW40"/>
      <c r="WD40" s="13"/>
    </row>
    <row r="41" spans="2:602" s="305" customFormat="1" x14ac:dyDescent="0.25">
      <c r="B41" s="95"/>
      <c r="F41" s="10"/>
      <c r="G41" s="10"/>
      <c r="H41" s="10"/>
      <c r="I41" s="10"/>
      <c r="J41" s="10"/>
      <c r="K41" s="10"/>
      <c r="L41" s="10"/>
      <c r="M41" s="10"/>
      <c r="N41" s="10"/>
      <c r="O41" s="10"/>
      <c r="P41" s="10"/>
      <c r="Q41" s="10"/>
      <c r="R41" s="10"/>
      <c r="S41" s="10"/>
      <c r="T41" s="93"/>
      <c r="Y41" s="132"/>
      <c r="AU41"/>
      <c r="AV41"/>
      <c r="WD41" s="13"/>
    </row>
    <row r="42" spans="2:602" s="305" customFormat="1" x14ac:dyDescent="0.25">
      <c r="B42" s="95"/>
      <c r="F42" s="10"/>
      <c r="G42" s="10"/>
      <c r="H42" s="10"/>
      <c r="I42" s="10"/>
      <c r="J42" s="10"/>
      <c r="K42" s="10"/>
      <c r="L42" s="10"/>
      <c r="M42" s="10"/>
      <c r="N42" s="10"/>
      <c r="O42" s="10"/>
      <c r="P42" s="10"/>
      <c r="Q42" s="10"/>
      <c r="R42" s="10"/>
      <c r="S42" s="10"/>
      <c r="T42" s="93"/>
      <c r="Y42" s="132"/>
      <c r="AU42"/>
      <c r="AV42"/>
      <c r="WD42" s="13"/>
    </row>
    <row r="43" spans="2:602" s="305" customFormat="1" x14ac:dyDescent="0.25">
      <c r="B43" s="95"/>
      <c r="F43" s="10"/>
      <c r="G43" s="10"/>
      <c r="H43" s="10"/>
      <c r="I43" s="10"/>
      <c r="J43" s="10"/>
      <c r="K43" s="10"/>
      <c r="L43" s="10"/>
      <c r="M43" s="10"/>
      <c r="N43" s="10"/>
      <c r="O43" s="10"/>
      <c r="P43" s="10"/>
      <c r="Q43" s="10"/>
      <c r="R43" s="10"/>
      <c r="S43" s="10"/>
      <c r="T43" s="93"/>
      <c r="Y43" s="132"/>
      <c r="AU43"/>
      <c r="AV43"/>
      <c r="WD43" s="13"/>
    </row>
    <row r="44" spans="2:602" s="305" customFormat="1" x14ac:dyDescent="0.25">
      <c r="B44" s="95"/>
      <c r="F44" s="10"/>
      <c r="G44" s="10"/>
      <c r="H44" s="10"/>
      <c r="I44" s="10"/>
      <c r="J44" s="10"/>
      <c r="K44" s="10"/>
      <c r="L44" s="10"/>
      <c r="M44" s="10"/>
      <c r="N44" s="10"/>
      <c r="O44" s="10"/>
      <c r="P44" s="10"/>
      <c r="Q44" s="10"/>
      <c r="R44" s="10"/>
      <c r="S44" s="10"/>
      <c r="T44" s="93"/>
      <c r="Y44" s="132"/>
      <c r="AU44"/>
      <c r="AV44"/>
      <c r="WD44" s="13"/>
    </row>
    <row r="45" spans="2:602" s="305" customFormat="1" x14ac:dyDescent="0.25">
      <c r="B45" s="95"/>
      <c r="C45" s="10"/>
      <c r="D45" s="10"/>
      <c r="E45" s="10"/>
      <c r="F45" s="10"/>
      <c r="G45" s="10"/>
      <c r="H45" s="10"/>
      <c r="I45" s="10"/>
      <c r="J45" s="10"/>
      <c r="K45" s="10"/>
      <c r="L45" s="10"/>
      <c r="M45" s="10"/>
      <c r="N45" s="10"/>
      <c r="O45" s="10"/>
      <c r="P45" s="10"/>
      <c r="Q45" s="10"/>
      <c r="R45" s="10"/>
      <c r="S45" s="10"/>
      <c r="T45" s="93"/>
      <c r="Y45" s="132"/>
      <c r="AU45"/>
      <c r="AV45"/>
      <c r="WD45" s="13"/>
    </row>
    <row r="46" spans="2:602" s="305" customFormat="1" x14ac:dyDescent="0.25">
      <c r="B46" s="95"/>
      <c r="F46" s="10"/>
      <c r="G46" s="10"/>
      <c r="H46" s="10"/>
      <c r="I46" s="10"/>
      <c r="J46" s="10"/>
      <c r="K46" s="10"/>
      <c r="L46" s="10"/>
      <c r="M46" s="10"/>
      <c r="N46" s="10"/>
      <c r="O46" s="10"/>
      <c r="P46" s="10"/>
      <c r="Q46" s="10"/>
      <c r="R46" s="10"/>
      <c r="S46" s="10"/>
      <c r="T46" s="93"/>
      <c r="Y46" s="132"/>
      <c r="AU46"/>
      <c r="AV46"/>
      <c r="WD46" s="13"/>
    </row>
    <row r="47" spans="2:602" s="305" customFormat="1" ht="12.75" customHeight="1" x14ac:dyDescent="0.25">
      <c r="B47" s="95"/>
      <c r="F47" s="10"/>
      <c r="G47" s="10"/>
      <c r="H47" s="10"/>
      <c r="I47" s="10"/>
      <c r="J47" s="10"/>
      <c r="K47" s="10"/>
      <c r="L47" s="10"/>
      <c r="M47" s="10"/>
      <c r="N47" s="10"/>
      <c r="O47" s="10"/>
      <c r="P47" s="10"/>
      <c r="Q47" s="10"/>
      <c r="R47" s="10"/>
      <c r="S47" s="10"/>
      <c r="T47" s="93"/>
      <c r="Y47" s="132"/>
      <c r="AU47"/>
      <c r="AV47"/>
      <c r="WD47" s="13"/>
    </row>
    <row r="48" spans="2:602" s="305" customFormat="1" x14ac:dyDescent="0.25">
      <c r="B48" s="95"/>
      <c r="F48" s="10"/>
      <c r="G48" s="10"/>
      <c r="H48" s="10"/>
      <c r="I48" s="10"/>
      <c r="J48" s="10"/>
      <c r="K48" s="10"/>
      <c r="L48" s="10"/>
      <c r="M48" s="10"/>
      <c r="N48" s="10"/>
      <c r="O48" s="10"/>
      <c r="P48" s="10"/>
      <c r="Q48" s="10"/>
      <c r="R48" s="10"/>
      <c r="S48" s="10"/>
      <c r="T48" s="93"/>
      <c r="Y48" s="132"/>
      <c r="AU48"/>
      <c r="AV48"/>
      <c r="WD48" s="13"/>
    </row>
    <row r="49" spans="2:602" s="305" customFormat="1" ht="12.75" customHeight="1" x14ac:dyDescent="0.25">
      <c r="B49" s="95"/>
      <c r="F49" s="10"/>
      <c r="G49" s="10"/>
      <c r="H49" s="10"/>
      <c r="I49" s="10"/>
      <c r="J49" s="10"/>
      <c r="K49" s="10"/>
      <c r="L49" s="10"/>
      <c r="M49" s="10"/>
      <c r="N49" s="10"/>
      <c r="O49" s="10"/>
      <c r="P49" s="10"/>
      <c r="Q49" s="10"/>
      <c r="R49" s="10"/>
      <c r="S49" s="10"/>
      <c r="T49" s="93"/>
      <c r="Y49" s="132"/>
      <c r="AU49"/>
      <c r="AV49"/>
      <c r="WD49" s="13"/>
    </row>
    <row r="50" spans="2:602" s="305" customFormat="1" ht="12.75" customHeight="1" x14ac:dyDescent="0.25">
      <c r="B50" s="95"/>
      <c r="F50" s="10"/>
      <c r="G50" s="10"/>
      <c r="H50" s="10"/>
      <c r="I50" s="10"/>
      <c r="J50" s="10"/>
      <c r="K50" s="10"/>
      <c r="L50" s="10"/>
      <c r="M50" s="10"/>
      <c r="N50" s="10"/>
      <c r="O50" s="10"/>
      <c r="P50" s="10"/>
      <c r="Q50" s="10"/>
      <c r="R50" s="10"/>
      <c r="S50" s="10"/>
      <c r="T50" s="93"/>
      <c r="Y50" s="132"/>
      <c r="AU50"/>
      <c r="AV50"/>
      <c r="WD50" s="13"/>
    </row>
    <row r="51" spans="2:602" s="305" customFormat="1" ht="12.75" customHeight="1" x14ac:dyDescent="0.25">
      <c r="B51" s="95"/>
      <c r="F51" s="10"/>
      <c r="G51" s="10"/>
      <c r="H51" s="10"/>
      <c r="I51" s="10"/>
      <c r="J51" s="10"/>
      <c r="K51" s="10"/>
      <c r="L51" s="10"/>
      <c r="M51" s="10"/>
      <c r="N51" s="10"/>
      <c r="O51" s="10"/>
      <c r="P51" s="10"/>
      <c r="Q51" s="10"/>
      <c r="R51" s="10"/>
      <c r="S51" s="10"/>
      <c r="T51" s="93"/>
      <c r="Y51" s="132"/>
      <c r="AU51"/>
      <c r="AV51"/>
      <c r="WD51" s="13"/>
    </row>
    <row r="52" spans="2:602" s="305" customFormat="1" ht="12.75" customHeight="1" x14ac:dyDescent="0.25">
      <c r="B52" s="95"/>
      <c r="F52" s="10"/>
      <c r="G52" s="10"/>
      <c r="H52" s="10"/>
      <c r="I52" s="10"/>
      <c r="J52" s="10"/>
      <c r="K52" s="10"/>
      <c r="L52" s="10"/>
      <c r="M52" s="10"/>
      <c r="N52" s="10"/>
      <c r="O52" s="10"/>
      <c r="P52" s="10"/>
      <c r="Q52" s="10"/>
      <c r="R52" s="10"/>
      <c r="S52" s="10"/>
      <c r="T52" s="93"/>
      <c r="Y52" s="132"/>
      <c r="AU52"/>
      <c r="AV52"/>
      <c r="WD52" s="13"/>
    </row>
    <row r="53" spans="2:602" s="305" customFormat="1" ht="12.75" customHeight="1" x14ac:dyDescent="0.25">
      <c r="B53" s="95"/>
      <c r="F53" s="10"/>
      <c r="G53" s="10"/>
      <c r="H53" s="10"/>
      <c r="I53" s="10"/>
      <c r="J53" s="10"/>
      <c r="K53" s="10"/>
      <c r="L53" s="10"/>
      <c r="M53" s="10"/>
      <c r="N53" s="10"/>
      <c r="O53" s="10"/>
      <c r="P53" s="10"/>
      <c r="Q53" s="10"/>
      <c r="R53" s="10"/>
      <c r="S53" s="10"/>
      <c r="T53" s="93"/>
      <c r="Y53" s="132"/>
      <c r="AU53"/>
      <c r="AV53"/>
      <c r="WD53" s="13"/>
    </row>
    <row r="54" spans="2:602" ht="12.75" customHeight="1" x14ac:dyDescent="0.25">
      <c r="B54" s="95"/>
      <c r="F54" s="10"/>
      <c r="G54" s="10"/>
      <c r="H54" s="10"/>
      <c r="I54" s="10"/>
      <c r="J54" s="10"/>
      <c r="K54" s="10"/>
      <c r="L54" s="10"/>
      <c r="M54" s="10"/>
      <c r="N54" s="10"/>
      <c r="O54" s="10"/>
      <c r="P54" s="10"/>
      <c r="Q54" s="10"/>
      <c r="R54" s="10"/>
      <c r="S54" s="10"/>
      <c r="T54" s="93"/>
      <c r="AU54"/>
      <c r="AV54"/>
    </row>
    <row r="55" spans="2:602" ht="12.75" customHeight="1" x14ac:dyDescent="0.25">
      <c r="B55" s="95"/>
      <c r="F55" s="10"/>
      <c r="G55" s="10"/>
      <c r="H55" s="10"/>
      <c r="I55" s="10"/>
      <c r="J55" s="10"/>
      <c r="K55" s="10"/>
      <c r="L55" s="10"/>
      <c r="M55" s="10"/>
      <c r="N55" s="10"/>
      <c r="O55" s="10"/>
      <c r="P55" s="10"/>
      <c r="Q55" s="10"/>
      <c r="R55" s="10"/>
      <c r="S55" s="10"/>
      <c r="T55" s="93"/>
      <c r="AU55"/>
      <c r="AV55"/>
    </row>
    <row r="56" spans="2:602" x14ac:dyDescent="0.25">
      <c r="B56" s="95"/>
      <c r="F56" s="10"/>
      <c r="G56" s="10"/>
      <c r="H56" s="10"/>
      <c r="I56" s="10"/>
      <c r="J56" s="10"/>
      <c r="K56" s="10"/>
      <c r="L56" s="10"/>
      <c r="M56" s="10"/>
      <c r="N56" s="10"/>
      <c r="O56" s="10"/>
      <c r="P56" s="10"/>
      <c r="Q56" s="10"/>
      <c r="R56" s="10"/>
      <c r="S56" s="10"/>
      <c r="T56" s="93"/>
      <c r="AU56"/>
      <c r="AV56"/>
    </row>
    <row r="57" spans="2:602" ht="26.25" customHeight="1" x14ac:dyDescent="0.25">
      <c r="B57" s="95"/>
      <c r="C57" s="10"/>
      <c r="D57" s="10"/>
      <c r="E57" s="10"/>
      <c r="F57" s="10"/>
      <c r="G57" s="10"/>
      <c r="H57" s="10"/>
      <c r="I57" s="10"/>
      <c r="J57" s="10"/>
      <c r="K57" s="10"/>
      <c r="L57" s="10"/>
      <c r="M57" s="10"/>
      <c r="N57" s="10"/>
      <c r="O57" s="10"/>
      <c r="P57" s="10"/>
      <c r="Q57" s="10"/>
      <c r="R57" s="10"/>
      <c r="S57" s="10"/>
      <c r="T57" s="93"/>
      <c r="AU57"/>
      <c r="AV57"/>
    </row>
    <row r="58" spans="2:602" ht="26.25" customHeight="1" thickBot="1" x14ac:dyDescent="0.3">
      <c r="B58" s="96"/>
      <c r="C58" s="92"/>
      <c r="D58" s="92"/>
      <c r="E58" s="92"/>
      <c r="F58" s="92"/>
      <c r="G58" s="92"/>
      <c r="H58" s="92"/>
      <c r="I58" s="92"/>
      <c r="J58" s="92"/>
      <c r="K58" s="92"/>
      <c r="L58" s="92"/>
      <c r="M58" s="92"/>
      <c r="N58" s="92"/>
      <c r="O58" s="92"/>
      <c r="P58" s="92"/>
      <c r="Q58" s="92"/>
      <c r="R58" s="92"/>
      <c r="S58" s="92"/>
      <c r="T58" s="94"/>
      <c r="AU58"/>
      <c r="AV58"/>
    </row>
    <row r="59" spans="2:602" hidden="1" x14ac:dyDescent="0.25">
      <c r="C59" s="4"/>
      <c r="D59" s="4"/>
      <c r="E59" s="4"/>
      <c r="F59" s="4"/>
      <c r="N59" s="4"/>
      <c r="O59" s="4"/>
      <c r="P59" s="4"/>
      <c r="Q59" s="4"/>
      <c r="AU59"/>
      <c r="AV59"/>
    </row>
    <row r="60" spans="2:602" ht="15.75" hidden="1" thickBot="1" x14ac:dyDescent="0.3">
      <c r="G60" s="139" t="s">
        <v>458</v>
      </c>
      <c r="H60" s="305" t="s">
        <v>460</v>
      </c>
      <c r="I60" s="92"/>
      <c r="J60" s="92"/>
      <c r="K60" s="92"/>
      <c r="L60" s="92"/>
      <c r="M60" s="92"/>
      <c r="AU60"/>
      <c r="AV60"/>
    </row>
    <row r="61" spans="2:602" ht="28.5" hidden="1" customHeight="1" x14ac:dyDescent="0.25">
      <c r="G61" s="139" t="s">
        <v>963</v>
      </c>
      <c r="H61" s="305" t="s">
        <v>957</v>
      </c>
      <c r="I61" s="4"/>
      <c r="J61" s="4"/>
      <c r="K61" s="4"/>
      <c r="L61" s="4"/>
      <c r="M61" s="4"/>
      <c r="AU61"/>
      <c r="AV61"/>
    </row>
    <row r="62" spans="2:602" hidden="1" x14ac:dyDescent="0.25">
      <c r="AU62"/>
      <c r="AV62"/>
    </row>
    <row r="63" spans="2:602" hidden="1" x14ac:dyDescent="0.25">
      <c r="G63" s="139" t="s">
        <v>410</v>
      </c>
      <c r="H63" s="305" t="s">
        <v>1020</v>
      </c>
      <c r="I63" s="305" t="s">
        <v>1222</v>
      </c>
      <c r="J63" s="305" t="s">
        <v>1223</v>
      </c>
      <c r="K63" s="305" t="s">
        <v>1224</v>
      </c>
      <c r="L63" s="305" t="s">
        <v>1021</v>
      </c>
      <c r="M63" s="305" t="s">
        <v>1022</v>
      </c>
      <c r="AU63"/>
      <c r="AV63"/>
    </row>
    <row r="64" spans="2:602" hidden="1" x14ac:dyDescent="0.25">
      <c r="G64" s="6" t="s">
        <v>826</v>
      </c>
      <c r="H64" s="133"/>
      <c r="I64" s="133"/>
      <c r="J64" s="133"/>
      <c r="K64" s="133"/>
      <c r="L64" s="133"/>
      <c r="M64" s="133"/>
      <c r="AU64"/>
      <c r="AV64"/>
    </row>
    <row r="65" spans="3:48" hidden="1" x14ac:dyDescent="0.25">
      <c r="C65"/>
      <c r="D65"/>
      <c r="G65" s="6" t="s">
        <v>420</v>
      </c>
      <c r="H65" s="133">
        <v>997</v>
      </c>
      <c r="I65" s="133">
        <v>543</v>
      </c>
      <c r="J65" s="133">
        <v>1571</v>
      </c>
      <c r="K65" s="133">
        <v>305</v>
      </c>
      <c r="L65" s="133">
        <v>343</v>
      </c>
      <c r="M65" s="133">
        <v>1310</v>
      </c>
      <c r="AU65"/>
      <c r="AV65"/>
    </row>
    <row r="66" spans="3:48" hidden="1" x14ac:dyDescent="0.25">
      <c r="C66"/>
      <c r="D66"/>
      <c r="G66" s="6" t="s">
        <v>1258</v>
      </c>
      <c r="H66" s="133">
        <v>322</v>
      </c>
      <c r="I66" s="133">
        <v>77</v>
      </c>
      <c r="J66" s="133">
        <v>454</v>
      </c>
      <c r="K66" s="133">
        <v>322</v>
      </c>
      <c r="L66" s="133"/>
      <c r="M66" s="133">
        <v>322</v>
      </c>
      <c r="AU66"/>
      <c r="AV66"/>
    </row>
    <row r="67" spans="3:48" hidden="1" x14ac:dyDescent="0.25">
      <c r="C67"/>
      <c r="D67"/>
      <c r="E67"/>
      <c r="F67"/>
      <c r="G67" s="6" t="s">
        <v>411</v>
      </c>
      <c r="H67" s="133">
        <v>1319</v>
      </c>
      <c r="I67" s="133">
        <v>620</v>
      </c>
      <c r="J67" s="133">
        <v>2025</v>
      </c>
      <c r="K67" s="133">
        <v>627</v>
      </c>
      <c r="L67" s="133">
        <v>343</v>
      </c>
      <c r="M67" s="133">
        <v>1632</v>
      </c>
      <c r="AU67"/>
      <c r="AV67"/>
    </row>
    <row r="68" spans="3:48" hidden="1" x14ac:dyDescent="0.25">
      <c r="C68" s="305" t="s">
        <v>1221</v>
      </c>
      <c r="D68" s="305" t="s">
        <v>1222</v>
      </c>
      <c r="E68" s="305" t="s">
        <v>1223</v>
      </c>
      <c r="F68" s="305" t="s">
        <v>1224</v>
      </c>
      <c r="G68" s="305" t="s">
        <v>1021</v>
      </c>
      <c r="H68" s="305" t="s">
        <v>1022</v>
      </c>
      <c r="I68"/>
      <c r="J68"/>
      <c r="K68"/>
      <c r="L68"/>
      <c r="M68"/>
      <c r="AU68"/>
      <c r="AV68"/>
    </row>
    <row r="69" spans="3:48" hidden="1" x14ac:dyDescent="0.25">
      <c r="C69" s="133">
        <v>6095</v>
      </c>
      <c r="D69" s="133">
        <v>2051</v>
      </c>
      <c r="E69" s="133">
        <v>11282</v>
      </c>
      <c r="F69" s="133">
        <v>3258</v>
      </c>
      <c r="G69" s="133">
        <v>1808</v>
      </c>
      <c r="H69" s="133">
        <v>6472</v>
      </c>
      <c r="I69"/>
      <c r="J69"/>
      <c r="K69"/>
      <c r="L69"/>
      <c r="M69"/>
      <c r="AU69"/>
      <c r="AV69"/>
    </row>
    <row r="70" spans="3:48" hidden="1" x14ac:dyDescent="0.25">
      <c r="C70"/>
      <c r="D70"/>
      <c r="E70"/>
      <c r="F70"/>
      <c r="G70"/>
      <c r="H70"/>
      <c r="I70"/>
      <c r="J70"/>
      <c r="K70"/>
      <c r="L70"/>
      <c r="M70"/>
      <c r="AU70"/>
      <c r="AV70"/>
    </row>
    <row r="71" spans="3:48" hidden="1" x14ac:dyDescent="0.25">
      <c r="C71"/>
      <c r="D71"/>
      <c r="E71"/>
      <c r="F71"/>
      <c r="G71"/>
      <c r="H71"/>
      <c r="I71"/>
      <c r="J71"/>
      <c r="K71"/>
      <c r="L71"/>
      <c r="M71"/>
      <c r="AU71"/>
      <c r="AV71"/>
    </row>
    <row r="72" spans="3:48" hidden="1" x14ac:dyDescent="0.25">
      <c r="C72"/>
      <c r="D72"/>
      <c r="E72"/>
      <c r="F72"/>
      <c r="G72"/>
      <c r="H72"/>
      <c r="I72"/>
      <c r="J72"/>
      <c r="K72"/>
      <c r="L72"/>
      <c r="M72"/>
      <c r="AU72"/>
      <c r="AV72"/>
    </row>
    <row r="73" spans="3:48" hidden="1" x14ac:dyDescent="0.25">
      <c r="C73"/>
      <c r="D73"/>
      <c r="E73"/>
      <c r="F73"/>
      <c r="G73"/>
      <c r="H73"/>
      <c r="I73"/>
      <c r="J73"/>
      <c r="K73"/>
      <c r="L73"/>
      <c r="M73"/>
      <c r="AU73"/>
      <c r="AV73"/>
    </row>
    <row r="74" spans="3:48" hidden="1" x14ac:dyDescent="0.25">
      <c r="C74"/>
      <c r="D74"/>
      <c r="E74"/>
      <c r="F74"/>
      <c r="G74"/>
      <c r="H74"/>
      <c r="I74"/>
      <c r="J74"/>
      <c r="K74"/>
      <c r="L74"/>
      <c r="M74"/>
      <c r="AU74"/>
      <c r="AV74"/>
    </row>
    <row r="75" spans="3:48" hidden="1" x14ac:dyDescent="0.25">
      <c r="C75"/>
      <c r="D75"/>
      <c r="E75"/>
      <c r="F75"/>
      <c r="G75"/>
      <c r="H75"/>
      <c r="I75"/>
      <c r="J75"/>
      <c r="K75"/>
      <c r="L75"/>
      <c r="M75"/>
      <c r="AU75"/>
      <c r="AV75"/>
    </row>
    <row r="76" spans="3:48" hidden="1" x14ac:dyDescent="0.25">
      <c r="C76"/>
      <c r="D76"/>
      <c r="E76"/>
      <c r="F76"/>
      <c r="G76"/>
      <c r="H76"/>
      <c r="I76"/>
      <c r="J76"/>
      <c r="K76"/>
      <c r="L76"/>
      <c r="M76"/>
      <c r="AU76"/>
      <c r="AV76"/>
    </row>
    <row r="77" spans="3:48" hidden="1" x14ac:dyDescent="0.25">
      <c r="C77"/>
      <c r="D77"/>
      <c r="E77"/>
      <c r="F77"/>
      <c r="G77"/>
      <c r="H77"/>
      <c r="I77"/>
      <c r="J77"/>
      <c r="K77"/>
      <c r="L77"/>
      <c r="M77"/>
      <c r="AU77"/>
      <c r="AV77"/>
    </row>
    <row r="78" spans="3:48" hidden="1" x14ac:dyDescent="0.25">
      <c r="C78"/>
      <c r="D78"/>
      <c r="E78"/>
      <c r="F78"/>
      <c r="G78"/>
      <c r="H78"/>
      <c r="I78"/>
      <c r="J78"/>
      <c r="K78"/>
      <c r="L78"/>
      <c r="M78"/>
      <c r="AU78"/>
      <c r="AV78"/>
    </row>
    <row r="79" spans="3:48" hidden="1" x14ac:dyDescent="0.25">
      <c r="C79"/>
      <c r="D79"/>
      <c r="E79"/>
      <c r="F79"/>
      <c r="G79"/>
      <c r="H79"/>
      <c r="I79"/>
      <c r="J79"/>
      <c r="K79"/>
      <c r="L79"/>
      <c r="AU79"/>
      <c r="AV79"/>
    </row>
    <row r="80" spans="3:48" hidden="1" x14ac:dyDescent="0.25">
      <c r="C80"/>
      <c r="D80"/>
      <c r="E80"/>
      <c r="F80"/>
      <c r="G80"/>
      <c r="H80"/>
      <c r="I80"/>
      <c r="J80"/>
      <c r="K80"/>
      <c r="L80"/>
      <c r="AU80"/>
      <c r="AV80"/>
    </row>
    <row r="81" spans="3:48" hidden="1" x14ac:dyDescent="0.25">
      <c r="C81"/>
      <c r="D81"/>
      <c r="E81"/>
      <c r="F81"/>
      <c r="G81"/>
      <c r="H81"/>
      <c r="I81"/>
      <c r="J81"/>
      <c r="K81"/>
      <c r="L81"/>
      <c r="AU81"/>
      <c r="AV81"/>
    </row>
    <row r="82" spans="3:48" hidden="1" x14ac:dyDescent="0.25">
      <c r="C82"/>
      <c r="D82"/>
      <c r="E82"/>
      <c r="F82"/>
      <c r="G82"/>
      <c r="H82"/>
      <c r="I82"/>
      <c r="J82"/>
      <c r="K82"/>
      <c r="L82"/>
      <c r="AU82"/>
      <c r="AV82"/>
    </row>
    <row r="83" spans="3:48" hidden="1" x14ac:dyDescent="0.25">
      <c r="C83"/>
      <c r="D83"/>
      <c r="E83"/>
      <c r="F83"/>
      <c r="G83"/>
      <c r="H83"/>
      <c r="I83"/>
      <c r="J83"/>
      <c r="K83"/>
      <c r="L83"/>
      <c r="AU83"/>
      <c r="AV83"/>
    </row>
    <row r="84" spans="3:48" hidden="1" x14ac:dyDescent="0.25">
      <c r="C84"/>
      <c r="D84"/>
      <c r="E84"/>
      <c r="F84"/>
      <c r="G84"/>
      <c r="H84"/>
      <c r="I84"/>
      <c r="J84"/>
      <c r="K84"/>
      <c r="L84"/>
      <c r="AU84"/>
      <c r="AV84"/>
    </row>
    <row r="85" spans="3:48" hidden="1" x14ac:dyDescent="0.25">
      <c r="C85"/>
      <c r="D85"/>
      <c r="E85"/>
      <c r="G85"/>
      <c r="H85"/>
      <c r="I85"/>
      <c r="J85"/>
      <c r="K85"/>
      <c r="L85"/>
      <c r="AU85"/>
      <c r="AV85"/>
    </row>
    <row r="86" spans="3:48" hidden="1" x14ac:dyDescent="0.25">
      <c r="G86"/>
      <c r="H86"/>
      <c r="I86"/>
      <c r="J86"/>
      <c r="K86"/>
      <c r="L86"/>
      <c r="AU86"/>
      <c r="AV86"/>
    </row>
    <row r="87" spans="3:48" hidden="1" x14ac:dyDescent="0.25">
      <c r="G87"/>
      <c r="H87"/>
      <c r="I87"/>
      <c r="J87"/>
      <c r="K87"/>
      <c r="L87"/>
      <c r="AU87"/>
      <c r="AV87"/>
    </row>
    <row r="88" spans="3:48" hidden="1" x14ac:dyDescent="0.25">
      <c r="G88"/>
      <c r="H88"/>
      <c r="I88"/>
      <c r="J88"/>
      <c r="K88"/>
      <c r="L88"/>
      <c r="AU88"/>
      <c r="AV88"/>
    </row>
    <row r="89" spans="3:48" hidden="1" x14ac:dyDescent="0.25">
      <c r="G89"/>
      <c r="H89"/>
      <c r="I89"/>
      <c r="J89"/>
      <c r="K89"/>
      <c r="L89"/>
      <c r="AU89"/>
      <c r="AV89"/>
    </row>
    <row r="90" spans="3:48" hidden="1" x14ac:dyDescent="0.25">
      <c r="G90"/>
      <c r="H90"/>
      <c r="I90"/>
      <c r="J90"/>
      <c r="K90"/>
      <c r="L90"/>
      <c r="AU90"/>
      <c r="AV90"/>
    </row>
    <row r="91" spans="3:48" hidden="1" x14ac:dyDescent="0.25">
      <c r="G91"/>
      <c r="H91"/>
      <c r="I91"/>
      <c r="J91"/>
      <c r="K91"/>
      <c r="L91"/>
      <c r="AU91"/>
      <c r="AV91"/>
    </row>
    <row r="92" spans="3:48" ht="12" customHeight="1" x14ac:dyDescent="0.25">
      <c r="G92"/>
      <c r="H92"/>
      <c r="I92"/>
      <c r="J92"/>
      <c r="K92"/>
      <c r="L92"/>
      <c r="AU92"/>
      <c r="AV92"/>
    </row>
    <row r="93" spans="3:48" x14ac:dyDescent="0.25">
      <c r="G93"/>
      <c r="H93"/>
      <c r="I93"/>
      <c r="J93"/>
      <c r="K93"/>
      <c r="L93"/>
      <c r="AU93"/>
      <c r="AV93"/>
    </row>
    <row r="94" spans="3:48" x14ac:dyDescent="0.25">
      <c r="G94"/>
      <c r="H94"/>
      <c r="I94"/>
      <c r="J94"/>
      <c r="K94"/>
      <c r="L94"/>
      <c r="AU94"/>
      <c r="AV94"/>
    </row>
    <row r="95" spans="3:48" x14ac:dyDescent="0.25">
      <c r="G95"/>
      <c r="H95"/>
      <c r="I95"/>
      <c r="J95"/>
      <c r="K95"/>
      <c r="L95"/>
      <c r="AU95"/>
      <c r="AV95"/>
    </row>
    <row r="96" spans="3:48" x14ac:dyDescent="0.25">
      <c r="G96"/>
      <c r="H96"/>
      <c r="I96"/>
      <c r="J96"/>
      <c r="K96"/>
      <c r="L96"/>
      <c r="AU96"/>
      <c r="AV96"/>
    </row>
    <row r="97" spans="3:48" x14ac:dyDescent="0.25">
      <c r="G97"/>
      <c r="H97"/>
      <c r="I97"/>
      <c r="J97"/>
      <c r="K97"/>
      <c r="L97"/>
      <c r="AU97"/>
      <c r="AV97"/>
    </row>
    <row r="98" spans="3:48" x14ac:dyDescent="0.25">
      <c r="C98"/>
      <c r="D98"/>
      <c r="E98"/>
      <c r="F98"/>
      <c r="G98"/>
      <c r="H98"/>
      <c r="I98"/>
      <c r="J98"/>
      <c r="K98"/>
      <c r="L98"/>
      <c r="AU98"/>
      <c r="AV98"/>
    </row>
    <row r="99" spans="3:48" x14ac:dyDescent="0.25">
      <c r="C99"/>
      <c r="D99"/>
      <c r="E99"/>
      <c r="F99"/>
      <c r="G99"/>
      <c r="H99"/>
      <c r="I99"/>
      <c r="J99"/>
      <c r="K99"/>
      <c r="L99"/>
      <c r="AU99"/>
      <c r="AV99"/>
    </row>
    <row r="100" spans="3:48" x14ac:dyDescent="0.25">
      <c r="C100"/>
      <c r="D100"/>
      <c r="E100"/>
      <c r="F100"/>
      <c r="G100"/>
      <c r="H100"/>
      <c r="I100"/>
      <c r="J100"/>
      <c r="K100"/>
      <c r="L100"/>
      <c r="AU100"/>
      <c r="AV100"/>
    </row>
    <row r="101" spans="3:48" x14ac:dyDescent="0.25">
      <c r="C101"/>
      <c r="D101"/>
      <c r="E101"/>
      <c r="F101"/>
      <c r="G101"/>
      <c r="H101"/>
      <c r="I101"/>
      <c r="J101"/>
      <c r="K101"/>
      <c r="L101"/>
      <c r="AU101"/>
      <c r="AV101"/>
    </row>
    <row r="102" spans="3:48" x14ac:dyDescent="0.25">
      <c r="C102"/>
      <c r="D102"/>
      <c r="E102"/>
      <c r="F102"/>
      <c r="G102"/>
      <c r="H102"/>
      <c r="I102"/>
      <c r="J102"/>
      <c r="K102"/>
      <c r="L102"/>
      <c r="AU102"/>
      <c r="AV102"/>
    </row>
    <row r="103" spans="3:48" x14ac:dyDescent="0.25">
      <c r="C103"/>
      <c r="D103"/>
      <c r="E103"/>
      <c r="F103"/>
      <c r="G103"/>
      <c r="H103"/>
      <c r="I103"/>
      <c r="J103"/>
      <c r="K103"/>
      <c r="L103"/>
      <c r="AU103"/>
      <c r="AV103"/>
    </row>
    <row r="104" spans="3:48" x14ac:dyDescent="0.25">
      <c r="C104"/>
      <c r="D104"/>
      <c r="E104"/>
      <c r="F104"/>
      <c r="G104"/>
      <c r="H104"/>
      <c r="I104"/>
      <c r="J104"/>
      <c r="K104"/>
      <c r="L104"/>
      <c r="AU104"/>
      <c r="AV104"/>
    </row>
    <row r="105" spans="3:48" x14ac:dyDescent="0.25">
      <c r="C105"/>
      <c r="D105"/>
      <c r="E105"/>
      <c r="F105"/>
      <c r="G105"/>
      <c r="H105"/>
      <c r="I105"/>
      <c r="J105"/>
      <c r="K105"/>
      <c r="L105"/>
      <c r="AU105"/>
      <c r="AV105"/>
    </row>
    <row r="106" spans="3:48" x14ac:dyDescent="0.25">
      <c r="C106"/>
      <c r="D106"/>
      <c r="E106"/>
      <c r="F106"/>
      <c r="G106"/>
      <c r="H106"/>
      <c r="I106"/>
      <c r="J106"/>
      <c r="K106"/>
      <c r="L106"/>
      <c r="AU106"/>
      <c r="AV106"/>
    </row>
    <row r="107" spans="3:48" x14ac:dyDescent="0.25">
      <c r="C107"/>
      <c r="D107"/>
      <c r="E107"/>
      <c r="F107"/>
      <c r="G107"/>
      <c r="H107"/>
      <c r="I107"/>
      <c r="J107"/>
      <c r="K107"/>
      <c r="L107"/>
      <c r="AU107"/>
      <c r="AV107"/>
    </row>
    <row r="108" spans="3:48" x14ac:dyDescent="0.25">
      <c r="C108"/>
      <c r="D108"/>
      <c r="E108"/>
      <c r="F108"/>
      <c r="G108"/>
      <c r="H108"/>
      <c r="I108"/>
      <c r="J108"/>
      <c r="K108"/>
      <c r="L108"/>
      <c r="AU108"/>
      <c r="AV108"/>
    </row>
    <row r="109" spans="3:48" x14ac:dyDescent="0.25">
      <c r="C109"/>
      <c r="D109"/>
      <c r="E109"/>
      <c r="F109"/>
      <c r="G109"/>
      <c r="H109"/>
      <c r="I109"/>
      <c r="J109"/>
      <c r="K109"/>
      <c r="L109"/>
      <c r="AU109"/>
      <c r="AV109"/>
    </row>
    <row r="110" spans="3:48" x14ac:dyDescent="0.25">
      <c r="C110"/>
      <c r="D110"/>
      <c r="E110"/>
      <c r="F110"/>
      <c r="G110"/>
      <c r="H110"/>
      <c r="I110"/>
      <c r="J110"/>
      <c r="K110"/>
      <c r="L110"/>
      <c r="AU110"/>
      <c r="AV110"/>
    </row>
    <row r="111" spans="3:48" x14ac:dyDescent="0.25">
      <c r="C111"/>
      <c r="D111"/>
      <c r="E111"/>
      <c r="F111"/>
      <c r="G111"/>
      <c r="H111"/>
      <c r="I111"/>
      <c r="J111"/>
      <c r="K111"/>
      <c r="L111"/>
      <c r="AU111"/>
      <c r="AV111"/>
    </row>
    <row r="112" spans="3:48" x14ac:dyDescent="0.25">
      <c r="C112"/>
      <c r="D112"/>
      <c r="E112"/>
      <c r="F112"/>
      <c r="G112"/>
      <c r="H112"/>
      <c r="I112"/>
      <c r="J112"/>
      <c r="K112"/>
      <c r="L112"/>
      <c r="AU112"/>
      <c r="AV112"/>
    </row>
    <row r="113" spans="3:48" x14ac:dyDescent="0.25">
      <c r="C113"/>
      <c r="D113"/>
      <c r="E113"/>
      <c r="F113"/>
      <c r="G113"/>
      <c r="H113"/>
      <c r="I113"/>
      <c r="J113"/>
      <c r="K113"/>
      <c r="L113"/>
      <c r="AU113"/>
      <c r="AV113"/>
    </row>
    <row r="114" spans="3:48" x14ac:dyDescent="0.25">
      <c r="C114"/>
      <c r="D114"/>
      <c r="E114"/>
      <c r="F114"/>
      <c r="G114"/>
      <c r="H114"/>
      <c r="I114"/>
      <c r="J114"/>
      <c r="K114"/>
      <c r="L114"/>
      <c r="AU114"/>
      <c r="AV114"/>
    </row>
    <row r="115" spans="3:48" x14ac:dyDescent="0.25">
      <c r="C115"/>
      <c r="D115"/>
      <c r="E115"/>
      <c r="F115"/>
      <c r="G115"/>
      <c r="H115"/>
      <c r="I115"/>
      <c r="J115"/>
      <c r="K115"/>
      <c r="L115"/>
      <c r="AU115"/>
      <c r="AV115"/>
    </row>
    <row r="116" spans="3:48" x14ac:dyDescent="0.25">
      <c r="C116"/>
      <c r="D116"/>
      <c r="E116"/>
      <c r="F116"/>
      <c r="G116"/>
      <c r="H116"/>
      <c r="I116"/>
      <c r="J116"/>
      <c r="K116"/>
      <c r="L116"/>
      <c r="AU116"/>
      <c r="AV116"/>
    </row>
    <row r="117" spans="3:48" x14ac:dyDescent="0.25">
      <c r="C117"/>
      <c r="D117"/>
      <c r="E117"/>
      <c r="F117"/>
      <c r="G117"/>
      <c r="H117"/>
      <c r="I117"/>
      <c r="J117"/>
      <c r="K117"/>
      <c r="L117"/>
      <c r="AU117"/>
      <c r="AV117"/>
    </row>
    <row r="118" spans="3:48" x14ac:dyDescent="0.25">
      <c r="C118"/>
      <c r="D118"/>
      <c r="E118"/>
      <c r="F118"/>
      <c r="G118"/>
      <c r="H118"/>
      <c r="I118"/>
      <c r="J118"/>
      <c r="K118"/>
      <c r="L118"/>
      <c r="AU118"/>
      <c r="AV118"/>
    </row>
    <row r="119" spans="3:48" x14ac:dyDescent="0.25">
      <c r="C119"/>
      <c r="D119"/>
      <c r="E119"/>
      <c r="F119"/>
      <c r="G119"/>
      <c r="H119"/>
      <c r="I119"/>
      <c r="J119"/>
      <c r="K119"/>
      <c r="L119"/>
      <c r="AU119"/>
      <c r="AV119"/>
    </row>
    <row r="120" spans="3:48" x14ac:dyDescent="0.25">
      <c r="C120"/>
      <c r="D120"/>
      <c r="E120"/>
      <c r="F120"/>
      <c r="G120"/>
      <c r="H120"/>
      <c r="I120"/>
      <c r="J120"/>
      <c r="K120"/>
      <c r="L120"/>
      <c r="AU120"/>
      <c r="AV120"/>
    </row>
    <row r="121" spans="3:48" x14ac:dyDescent="0.25">
      <c r="G121"/>
      <c r="H121"/>
      <c r="I121"/>
      <c r="J121"/>
      <c r="K121"/>
      <c r="L121"/>
      <c r="AU121"/>
      <c r="AV121"/>
    </row>
    <row r="122" spans="3:48" x14ac:dyDescent="0.25">
      <c r="G122"/>
      <c r="H122"/>
      <c r="I122"/>
      <c r="J122"/>
      <c r="K122"/>
      <c r="L122"/>
      <c r="AU122"/>
      <c r="AV122"/>
    </row>
    <row r="123" spans="3:48" x14ac:dyDescent="0.25">
      <c r="G123"/>
      <c r="H123"/>
      <c r="I123"/>
      <c r="J123"/>
      <c r="K123"/>
      <c r="L123"/>
      <c r="AU123"/>
      <c r="AV123"/>
    </row>
    <row r="124" spans="3:48" x14ac:dyDescent="0.25">
      <c r="G124"/>
      <c r="H124"/>
      <c r="I124"/>
      <c r="J124"/>
      <c r="K124"/>
      <c r="L124"/>
      <c r="AU124"/>
      <c r="AV124"/>
    </row>
    <row r="125" spans="3:48" x14ac:dyDescent="0.25">
      <c r="G125"/>
      <c r="H125"/>
      <c r="I125"/>
      <c r="J125"/>
      <c r="K125"/>
      <c r="L125"/>
      <c r="AU125"/>
      <c r="AV125"/>
    </row>
    <row r="126" spans="3:48" x14ac:dyDescent="0.25">
      <c r="G126"/>
      <c r="H126"/>
      <c r="I126"/>
      <c r="J126"/>
      <c r="K126"/>
      <c r="L126"/>
      <c r="AU126"/>
      <c r="AV126"/>
    </row>
    <row r="127" spans="3:48" x14ac:dyDescent="0.25">
      <c r="G127"/>
      <c r="H127"/>
      <c r="I127"/>
      <c r="J127"/>
      <c r="K127"/>
      <c r="L127"/>
      <c r="AU127"/>
      <c r="AV127"/>
    </row>
    <row r="128" spans="3:48" x14ac:dyDescent="0.25">
      <c r="G128"/>
      <c r="H128"/>
      <c r="I128"/>
      <c r="J128"/>
      <c r="K128"/>
      <c r="L128"/>
      <c r="AU128"/>
      <c r="AV128"/>
    </row>
    <row r="129" spans="7:48" x14ac:dyDescent="0.25">
      <c r="G129"/>
      <c r="H129"/>
      <c r="I129"/>
      <c r="J129"/>
      <c r="K129"/>
      <c r="L129"/>
      <c r="AU129"/>
      <c r="AV129"/>
    </row>
    <row r="130" spans="7:48" x14ac:dyDescent="0.25">
      <c r="G130"/>
      <c r="H130"/>
      <c r="I130"/>
      <c r="J130"/>
      <c r="K130"/>
      <c r="L130"/>
      <c r="AU130"/>
      <c r="AV130"/>
    </row>
    <row r="131" spans="7:48" x14ac:dyDescent="0.25">
      <c r="G131"/>
      <c r="H131"/>
      <c r="I131"/>
      <c r="J131"/>
      <c r="K131"/>
      <c r="L131"/>
      <c r="AU131"/>
      <c r="AV131"/>
    </row>
    <row r="132" spans="7:48" x14ac:dyDescent="0.25">
      <c r="G132"/>
      <c r="H132"/>
      <c r="I132"/>
      <c r="J132"/>
      <c r="K132"/>
      <c r="L132"/>
      <c r="AU132"/>
      <c r="AV132"/>
    </row>
    <row r="133" spans="7:48" x14ac:dyDescent="0.25">
      <c r="G133"/>
      <c r="H133"/>
      <c r="I133"/>
      <c r="J133"/>
      <c r="K133"/>
      <c r="L133"/>
      <c r="AU133"/>
      <c r="AV133"/>
    </row>
    <row r="134" spans="7:48" x14ac:dyDescent="0.25">
      <c r="G134"/>
      <c r="H134"/>
      <c r="I134"/>
      <c r="J134"/>
      <c r="K134"/>
      <c r="L134"/>
      <c r="AU134"/>
      <c r="AV134"/>
    </row>
    <row r="135" spans="7:48" x14ac:dyDescent="0.25">
      <c r="G135"/>
      <c r="H135"/>
      <c r="I135"/>
      <c r="J135"/>
      <c r="K135"/>
      <c r="L135"/>
      <c r="AU135"/>
      <c r="AV135"/>
    </row>
    <row r="136" spans="7:48" x14ac:dyDescent="0.25">
      <c r="G136"/>
      <c r="H136"/>
      <c r="I136"/>
      <c r="J136"/>
      <c r="K136"/>
      <c r="L136"/>
      <c r="AU136"/>
      <c r="AV136"/>
    </row>
    <row r="137" spans="7:48" x14ac:dyDescent="0.25">
      <c r="G137"/>
      <c r="H137"/>
      <c r="I137"/>
      <c r="J137"/>
      <c r="K137"/>
      <c r="L137"/>
      <c r="AU137"/>
      <c r="AV137"/>
    </row>
    <row r="138" spans="7:48" x14ac:dyDescent="0.25">
      <c r="G138"/>
      <c r="H138"/>
      <c r="I138"/>
      <c r="J138"/>
      <c r="K138"/>
      <c r="L138"/>
      <c r="AU138"/>
      <c r="AV138"/>
    </row>
    <row r="139" spans="7:48" x14ac:dyDescent="0.25">
      <c r="G139"/>
      <c r="H139"/>
      <c r="I139"/>
      <c r="J139"/>
      <c r="K139"/>
      <c r="L139"/>
      <c r="AU139"/>
      <c r="AV139"/>
    </row>
    <row r="140" spans="7:48" x14ac:dyDescent="0.25">
      <c r="G140"/>
      <c r="H140"/>
      <c r="I140"/>
      <c r="J140"/>
      <c r="K140"/>
      <c r="L140"/>
      <c r="AU140"/>
      <c r="AV140"/>
    </row>
    <row r="141" spans="7:48" x14ac:dyDescent="0.25">
      <c r="G141"/>
      <c r="H141"/>
      <c r="I141"/>
      <c r="J141"/>
      <c r="K141"/>
      <c r="L141"/>
      <c r="AU141"/>
      <c r="AV141"/>
    </row>
    <row r="142" spans="7:48" x14ac:dyDescent="0.25">
      <c r="G142"/>
      <c r="H142"/>
      <c r="I142"/>
      <c r="J142"/>
      <c r="K142"/>
      <c r="L142"/>
      <c r="AU142"/>
      <c r="AV142"/>
    </row>
    <row r="143" spans="7:48" x14ac:dyDescent="0.25">
      <c r="G143"/>
      <c r="H143"/>
      <c r="I143"/>
      <c r="J143"/>
      <c r="K143"/>
      <c r="L143"/>
      <c r="AU143"/>
      <c r="AV143"/>
    </row>
    <row r="144" spans="7:48" x14ac:dyDescent="0.25">
      <c r="G144"/>
      <c r="H144"/>
      <c r="I144"/>
      <c r="J144"/>
      <c r="K144"/>
      <c r="L144"/>
      <c r="AU144"/>
      <c r="AV144"/>
    </row>
    <row r="145" spans="7:48" x14ac:dyDescent="0.25">
      <c r="G145"/>
      <c r="H145"/>
      <c r="I145"/>
      <c r="J145"/>
      <c r="K145"/>
      <c r="L145"/>
      <c r="AU145"/>
      <c r="AV145"/>
    </row>
    <row r="146" spans="7:48" x14ac:dyDescent="0.25">
      <c r="G146"/>
      <c r="H146"/>
      <c r="I146"/>
      <c r="J146"/>
      <c r="K146"/>
      <c r="L146"/>
      <c r="AU146"/>
      <c r="AV146"/>
    </row>
    <row r="147" spans="7:48" x14ac:dyDescent="0.25">
      <c r="G147"/>
      <c r="H147"/>
      <c r="I147"/>
      <c r="J147"/>
      <c r="K147"/>
      <c r="L147"/>
      <c r="AU147"/>
      <c r="AV147"/>
    </row>
    <row r="148" spans="7:48" x14ac:dyDescent="0.25">
      <c r="G148"/>
      <c r="H148"/>
      <c r="I148"/>
      <c r="J148"/>
      <c r="K148"/>
      <c r="L148"/>
      <c r="AU148"/>
      <c r="AV148"/>
    </row>
    <row r="149" spans="7:48" x14ac:dyDescent="0.25">
      <c r="G149"/>
      <c r="H149"/>
      <c r="I149"/>
      <c r="J149"/>
      <c r="K149"/>
      <c r="L149"/>
      <c r="AU149"/>
      <c r="AV149"/>
    </row>
    <row r="150" spans="7:48" x14ac:dyDescent="0.25">
      <c r="G150"/>
      <c r="H150"/>
      <c r="I150"/>
      <c r="J150"/>
      <c r="K150"/>
      <c r="L150"/>
      <c r="AU150"/>
      <c r="AV150"/>
    </row>
    <row r="151" spans="7:48" x14ac:dyDescent="0.25">
      <c r="G151"/>
      <c r="H151"/>
      <c r="I151"/>
      <c r="J151"/>
      <c r="K151"/>
      <c r="L151"/>
      <c r="AU151"/>
      <c r="AV151"/>
    </row>
    <row r="152" spans="7:48" x14ac:dyDescent="0.25">
      <c r="G152"/>
      <c r="H152"/>
      <c r="I152"/>
      <c r="J152"/>
      <c r="K152"/>
      <c r="L152"/>
      <c r="AU152"/>
      <c r="AV152"/>
    </row>
    <row r="153" spans="7:48" x14ac:dyDescent="0.25">
      <c r="G153"/>
      <c r="H153"/>
      <c r="I153"/>
      <c r="J153"/>
      <c r="K153"/>
      <c r="L153"/>
      <c r="AU153"/>
      <c r="AV153"/>
    </row>
    <row r="154" spans="7:48" x14ac:dyDescent="0.25">
      <c r="G154"/>
      <c r="H154"/>
      <c r="I154"/>
      <c r="J154"/>
      <c r="K154"/>
      <c r="L154"/>
    </row>
    <row r="155" spans="7:48" x14ac:dyDescent="0.25">
      <c r="G155"/>
      <c r="H155"/>
      <c r="I155"/>
      <c r="J155"/>
      <c r="K155"/>
      <c r="L155"/>
    </row>
    <row r="156" spans="7:48" x14ac:dyDescent="0.25">
      <c r="G156"/>
      <c r="H156"/>
      <c r="I156"/>
      <c r="J156"/>
      <c r="K156"/>
      <c r="L156"/>
    </row>
    <row r="157" spans="7:48" x14ac:dyDescent="0.25">
      <c r="G157"/>
      <c r="H157"/>
      <c r="I157"/>
      <c r="J157"/>
      <c r="K157"/>
      <c r="L157"/>
    </row>
    <row r="158" spans="7:48" x14ac:dyDescent="0.25">
      <c r="G158"/>
      <c r="H158"/>
      <c r="I158"/>
      <c r="J158"/>
      <c r="K158"/>
      <c r="L158"/>
    </row>
    <row r="159" spans="7:48" x14ac:dyDescent="0.25">
      <c r="G159"/>
      <c r="H159"/>
      <c r="I159"/>
      <c r="J159"/>
      <c r="K159"/>
      <c r="L159"/>
    </row>
    <row r="160" spans="7:48" x14ac:dyDescent="0.25">
      <c r="G160"/>
      <c r="H160"/>
      <c r="I160"/>
      <c r="J160"/>
      <c r="K160"/>
      <c r="L160"/>
    </row>
    <row r="161" spans="7:12" x14ac:dyDescent="0.25">
      <c r="G161"/>
      <c r="H161"/>
      <c r="I161"/>
      <c r="J161"/>
      <c r="K161"/>
      <c r="L161"/>
    </row>
    <row r="162" spans="7:12" x14ac:dyDescent="0.25">
      <c r="G162"/>
      <c r="H162"/>
      <c r="I162"/>
      <c r="J162"/>
      <c r="K162"/>
      <c r="L162"/>
    </row>
    <row r="163" spans="7:12" x14ac:dyDescent="0.25">
      <c r="G163"/>
      <c r="H163"/>
      <c r="I163"/>
      <c r="J163"/>
      <c r="K163"/>
      <c r="L163"/>
    </row>
    <row r="164" spans="7:12" x14ac:dyDescent="0.25">
      <c r="G164"/>
      <c r="H164"/>
      <c r="I164"/>
      <c r="J164"/>
      <c r="K164"/>
      <c r="L164"/>
    </row>
    <row r="165" spans="7:12" x14ac:dyDescent="0.25">
      <c r="G165"/>
      <c r="H165"/>
      <c r="I165"/>
      <c r="J165"/>
      <c r="K165"/>
      <c r="L165"/>
    </row>
    <row r="166" spans="7:12" x14ac:dyDescent="0.25">
      <c r="G166"/>
      <c r="H166"/>
      <c r="I166"/>
      <c r="J166"/>
      <c r="K166"/>
      <c r="L166"/>
    </row>
    <row r="167" spans="7:12" x14ac:dyDescent="0.25">
      <c r="G167"/>
      <c r="H167"/>
      <c r="I167"/>
      <c r="J167"/>
      <c r="K167"/>
      <c r="L167"/>
    </row>
    <row r="168" spans="7:12" x14ac:dyDescent="0.25">
      <c r="G168"/>
      <c r="H168"/>
      <c r="I168"/>
      <c r="J168"/>
      <c r="K168"/>
      <c r="L168"/>
    </row>
    <row r="169" spans="7:12" x14ac:dyDescent="0.25">
      <c r="G169"/>
      <c r="H169"/>
      <c r="I169"/>
      <c r="J169"/>
      <c r="K169"/>
      <c r="L169"/>
    </row>
    <row r="170" spans="7:12" x14ac:dyDescent="0.25">
      <c r="G170"/>
      <c r="H170"/>
      <c r="I170"/>
      <c r="J170"/>
      <c r="K170"/>
      <c r="L170"/>
    </row>
    <row r="171" spans="7:12" x14ac:dyDescent="0.25">
      <c r="G171"/>
      <c r="H171"/>
      <c r="I171"/>
      <c r="J171"/>
      <c r="K171"/>
      <c r="L171"/>
    </row>
    <row r="172" spans="7:12" x14ac:dyDescent="0.25">
      <c r="G172"/>
      <c r="H172"/>
      <c r="I172"/>
      <c r="J172"/>
      <c r="K172"/>
      <c r="L172"/>
    </row>
    <row r="173" spans="7:12" x14ac:dyDescent="0.25">
      <c r="G173"/>
      <c r="H173"/>
      <c r="I173"/>
      <c r="J173"/>
      <c r="K173"/>
      <c r="L173"/>
    </row>
    <row r="174" spans="7:12" x14ac:dyDescent="0.25">
      <c r="G174"/>
      <c r="H174"/>
      <c r="I174"/>
      <c r="J174"/>
      <c r="K174"/>
      <c r="L174"/>
    </row>
    <row r="175" spans="7:12" x14ac:dyDescent="0.25">
      <c r="G175"/>
      <c r="H175"/>
      <c r="I175"/>
      <c r="J175"/>
      <c r="K175"/>
      <c r="L175"/>
    </row>
    <row r="176" spans="7:12" x14ac:dyDescent="0.25">
      <c r="G176"/>
      <c r="H176"/>
      <c r="I176"/>
      <c r="J176"/>
      <c r="K176"/>
      <c r="L176"/>
    </row>
    <row r="177" spans="7:12" x14ac:dyDescent="0.25">
      <c r="G177"/>
      <c r="H177"/>
      <c r="I177"/>
      <c r="J177"/>
      <c r="K177"/>
      <c r="L177"/>
    </row>
    <row r="178" spans="7:12" x14ac:dyDescent="0.25">
      <c r="G178"/>
      <c r="H178"/>
      <c r="I178"/>
      <c r="J178"/>
      <c r="K178"/>
      <c r="L178"/>
    </row>
    <row r="179" spans="7:12" x14ac:dyDescent="0.25">
      <c r="G179"/>
      <c r="H179"/>
      <c r="I179"/>
      <c r="J179"/>
      <c r="K179"/>
      <c r="L179"/>
    </row>
    <row r="180" spans="7:12" x14ac:dyDescent="0.25">
      <c r="G180"/>
      <c r="H180"/>
      <c r="I180"/>
      <c r="J180"/>
      <c r="K180"/>
      <c r="L180"/>
    </row>
    <row r="181" spans="7:12" x14ac:dyDescent="0.25">
      <c r="G181"/>
      <c r="H181"/>
      <c r="I181"/>
      <c r="J181"/>
      <c r="K181"/>
      <c r="L181"/>
    </row>
    <row r="182" spans="7:12" x14ac:dyDescent="0.25">
      <c r="G182"/>
      <c r="H182"/>
      <c r="I182"/>
      <c r="J182"/>
      <c r="K182"/>
      <c r="L182"/>
    </row>
    <row r="183" spans="7:12" x14ac:dyDescent="0.25">
      <c r="G183"/>
      <c r="H183"/>
      <c r="I183"/>
      <c r="J183"/>
      <c r="K183"/>
      <c r="L183"/>
    </row>
    <row r="184" spans="7:12" x14ac:dyDescent="0.25">
      <c r="G184"/>
      <c r="H184"/>
      <c r="I184"/>
      <c r="J184"/>
      <c r="K184"/>
      <c r="L184"/>
    </row>
    <row r="185" spans="7:12" x14ac:dyDescent="0.25">
      <c r="G185"/>
      <c r="H185"/>
      <c r="I185"/>
      <c r="J185"/>
      <c r="K185"/>
      <c r="L185"/>
    </row>
    <row r="186" spans="7:12" x14ac:dyDescent="0.25">
      <c r="G186"/>
      <c r="H186"/>
      <c r="I186"/>
      <c r="J186"/>
      <c r="K186"/>
      <c r="L186"/>
    </row>
    <row r="187" spans="7:12" x14ac:dyDescent="0.25">
      <c r="G187"/>
      <c r="H187"/>
      <c r="I187"/>
      <c r="J187"/>
      <c r="K187"/>
      <c r="L187"/>
    </row>
    <row r="188" spans="7:12" x14ac:dyDescent="0.25">
      <c r="G188"/>
      <c r="H188"/>
      <c r="I188"/>
      <c r="J188"/>
      <c r="K188"/>
      <c r="L188"/>
    </row>
    <row r="189" spans="7:12" x14ac:dyDescent="0.25">
      <c r="G189"/>
      <c r="H189"/>
      <c r="I189"/>
      <c r="J189"/>
      <c r="K189"/>
      <c r="L189"/>
    </row>
    <row r="190" spans="7:12" x14ac:dyDescent="0.25">
      <c r="G190"/>
      <c r="H190"/>
      <c r="I190"/>
      <c r="J190"/>
      <c r="K190"/>
      <c r="L190"/>
    </row>
    <row r="191" spans="7:12" x14ac:dyDescent="0.25">
      <c r="G191"/>
      <c r="H191"/>
      <c r="I191"/>
      <c r="J191"/>
      <c r="K191"/>
      <c r="L191"/>
    </row>
    <row r="192" spans="7:12" x14ac:dyDescent="0.25">
      <c r="G192"/>
      <c r="H192"/>
      <c r="I192"/>
      <c r="J192"/>
      <c r="K192"/>
      <c r="L192"/>
    </row>
    <row r="193" spans="7:12" x14ac:dyDescent="0.25">
      <c r="G193"/>
      <c r="H193"/>
      <c r="I193"/>
      <c r="J193"/>
      <c r="K193"/>
      <c r="L193"/>
    </row>
    <row r="194" spans="7:12" x14ac:dyDescent="0.25">
      <c r="G194"/>
      <c r="H194"/>
      <c r="I194"/>
      <c r="J194"/>
      <c r="K194"/>
      <c r="L194"/>
    </row>
    <row r="195" spans="7:12" x14ac:dyDescent="0.25">
      <c r="G195"/>
      <c r="H195"/>
      <c r="I195"/>
      <c r="J195"/>
      <c r="K195"/>
      <c r="L195"/>
    </row>
    <row r="196" spans="7:12" x14ac:dyDescent="0.25">
      <c r="G196"/>
      <c r="H196"/>
      <c r="I196"/>
      <c r="J196"/>
      <c r="K196"/>
      <c r="L196"/>
    </row>
    <row r="197" spans="7:12" x14ac:dyDescent="0.25">
      <c r="G197"/>
      <c r="H197"/>
      <c r="I197"/>
      <c r="J197"/>
      <c r="K197"/>
      <c r="L197"/>
    </row>
    <row r="198" spans="7:12" x14ac:dyDescent="0.25">
      <c r="G198"/>
      <c r="H198"/>
      <c r="I198"/>
      <c r="J198"/>
      <c r="K198"/>
      <c r="L198"/>
    </row>
    <row r="199" spans="7:12" x14ac:dyDescent="0.25">
      <c r="G199"/>
      <c r="H199"/>
      <c r="I199"/>
      <c r="J199"/>
      <c r="K199"/>
      <c r="L199"/>
    </row>
    <row r="200" spans="7:12" x14ac:dyDescent="0.25">
      <c r="G200"/>
      <c r="H200"/>
      <c r="I200"/>
      <c r="J200"/>
      <c r="K200"/>
      <c r="L200"/>
    </row>
    <row r="201" spans="7:12" x14ac:dyDescent="0.25">
      <c r="G201"/>
      <c r="H201"/>
      <c r="I201"/>
      <c r="J201"/>
      <c r="K201"/>
      <c r="L201"/>
    </row>
    <row r="202" spans="7:12" x14ac:dyDescent="0.25">
      <c r="G202"/>
      <c r="H202"/>
      <c r="I202"/>
      <c r="J202"/>
      <c r="K202"/>
      <c r="L202"/>
    </row>
    <row r="203" spans="7:12" x14ac:dyDescent="0.25">
      <c r="G203"/>
      <c r="H203"/>
      <c r="I203"/>
      <c r="J203"/>
      <c r="K203"/>
      <c r="L203"/>
    </row>
    <row r="204" spans="7:12" x14ac:dyDescent="0.25">
      <c r="G204"/>
      <c r="H204"/>
      <c r="I204"/>
      <c r="J204"/>
      <c r="K204"/>
      <c r="L204"/>
    </row>
    <row r="205" spans="7:12" x14ac:dyDescent="0.25">
      <c r="G205"/>
      <c r="H205"/>
      <c r="I205"/>
      <c r="J205"/>
      <c r="K205"/>
      <c r="L205"/>
    </row>
    <row r="206" spans="7:12" x14ac:dyDescent="0.25">
      <c r="G206"/>
      <c r="H206"/>
      <c r="I206"/>
      <c r="J206"/>
      <c r="K206"/>
      <c r="L206"/>
    </row>
    <row r="207" spans="7:12" x14ac:dyDescent="0.25">
      <c r="G207"/>
      <c r="H207"/>
      <c r="I207"/>
      <c r="J207"/>
      <c r="K207"/>
      <c r="L207"/>
    </row>
    <row r="208" spans="7:12" x14ac:dyDescent="0.25">
      <c r="G208"/>
      <c r="H208"/>
      <c r="I208"/>
      <c r="J208"/>
      <c r="K208"/>
      <c r="L208"/>
    </row>
    <row r="209" spans="7:12" x14ac:dyDescent="0.25">
      <c r="G209"/>
      <c r="H209"/>
      <c r="I209"/>
      <c r="J209"/>
      <c r="K209"/>
      <c r="L209"/>
    </row>
    <row r="210" spans="7:12" x14ac:dyDescent="0.25">
      <c r="G210"/>
      <c r="H210"/>
      <c r="I210"/>
      <c r="J210"/>
      <c r="K210"/>
      <c r="L210"/>
    </row>
    <row r="211" spans="7:12" x14ac:dyDescent="0.25">
      <c r="G211"/>
      <c r="H211"/>
      <c r="I211"/>
      <c r="J211"/>
      <c r="K211"/>
      <c r="L211"/>
    </row>
    <row r="212" spans="7:12" x14ac:dyDescent="0.25">
      <c r="G212"/>
      <c r="H212"/>
      <c r="I212"/>
      <c r="J212"/>
      <c r="K212"/>
      <c r="L212"/>
    </row>
    <row r="213" spans="7:12" x14ac:dyDescent="0.25">
      <c r="G213"/>
      <c r="H213"/>
      <c r="I213"/>
      <c r="J213"/>
      <c r="K213"/>
      <c r="L213"/>
    </row>
    <row r="214" spans="7:12" x14ac:dyDescent="0.25">
      <c r="G214"/>
      <c r="H214"/>
      <c r="I214"/>
      <c r="J214"/>
      <c r="K214"/>
      <c r="L214"/>
    </row>
    <row r="215" spans="7:12" x14ac:dyDescent="0.25">
      <c r="G215"/>
      <c r="H215"/>
      <c r="I215"/>
      <c r="J215"/>
      <c r="K215"/>
      <c r="L215"/>
    </row>
    <row r="216" spans="7:12" x14ac:dyDescent="0.25">
      <c r="G216"/>
      <c r="H216"/>
      <c r="I216"/>
      <c r="J216"/>
      <c r="K216"/>
      <c r="L216"/>
    </row>
    <row r="217" spans="7:12" x14ac:dyDescent="0.25">
      <c r="G217"/>
      <c r="H217"/>
      <c r="I217"/>
      <c r="J217"/>
      <c r="K217"/>
      <c r="L217"/>
    </row>
    <row r="218" spans="7:12" x14ac:dyDescent="0.25">
      <c r="G218"/>
      <c r="H218"/>
      <c r="I218"/>
      <c r="J218"/>
      <c r="K218"/>
      <c r="L218"/>
    </row>
    <row r="219" spans="7:12" x14ac:dyDescent="0.25">
      <c r="G219"/>
      <c r="H219"/>
      <c r="I219"/>
      <c r="J219"/>
      <c r="K219"/>
      <c r="L219"/>
    </row>
    <row r="220" spans="7:12" x14ac:dyDescent="0.25">
      <c r="G220"/>
      <c r="H220"/>
      <c r="I220"/>
      <c r="J220"/>
      <c r="K220"/>
      <c r="L220"/>
    </row>
    <row r="221" spans="7:12" x14ac:dyDescent="0.25">
      <c r="G221"/>
      <c r="H221"/>
      <c r="I221"/>
      <c r="J221"/>
      <c r="K221"/>
      <c r="L221"/>
    </row>
    <row r="222" spans="7:12" x14ac:dyDescent="0.25">
      <c r="G222"/>
      <c r="H222"/>
      <c r="I222"/>
      <c r="J222"/>
      <c r="K222"/>
      <c r="L222"/>
    </row>
    <row r="223" spans="7:12" x14ac:dyDescent="0.25">
      <c r="G223"/>
      <c r="H223"/>
      <c r="I223"/>
      <c r="J223"/>
      <c r="K223"/>
      <c r="L223"/>
    </row>
    <row r="224" spans="7:12" x14ac:dyDescent="0.25">
      <c r="G224"/>
      <c r="H224"/>
      <c r="I224"/>
      <c r="J224"/>
      <c r="K224"/>
      <c r="L224"/>
    </row>
    <row r="225" spans="7:12" x14ac:dyDescent="0.25">
      <c r="G225"/>
      <c r="H225"/>
      <c r="I225"/>
      <c r="J225"/>
      <c r="K225"/>
      <c r="L225"/>
    </row>
    <row r="226" spans="7:12" x14ac:dyDescent="0.25">
      <c r="G226"/>
      <c r="H226"/>
      <c r="I226"/>
      <c r="J226"/>
      <c r="K226"/>
      <c r="L226"/>
    </row>
    <row r="227" spans="7:12" x14ac:dyDescent="0.25">
      <c r="G227"/>
      <c r="H227"/>
      <c r="I227"/>
      <c r="J227"/>
      <c r="K227"/>
      <c r="L227"/>
    </row>
    <row r="228" spans="7:12" x14ac:dyDescent="0.25">
      <c r="G228"/>
      <c r="H228"/>
      <c r="I228"/>
      <c r="J228"/>
      <c r="K228"/>
      <c r="L228"/>
    </row>
    <row r="229" spans="7:12" x14ac:dyDescent="0.25">
      <c r="G229"/>
      <c r="H229"/>
      <c r="I229"/>
      <c r="J229"/>
      <c r="K229"/>
      <c r="L229"/>
    </row>
    <row r="230" spans="7:12" x14ac:dyDescent="0.25">
      <c r="G230"/>
      <c r="H230"/>
      <c r="I230"/>
      <c r="J230"/>
      <c r="K230"/>
    </row>
    <row r="231" spans="7:12" x14ac:dyDescent="0.25">
      <c r="G231"/>
      <c r="H231"/>
      <c r="I231"/>
      <c r="J231"/>
      <c r="K231"/>
    </row>
    <row r="232" spans="7:12" x14ac:dyDescent="0.25">
      <c r="G232"/>
      <c r="H232"/>
      <c r="I232"/>
      <c r="J232"/>
      <c r="K232"/>
    </row>
    <row r="233" spans="7:12" x14ac:dyDescent="0.25">
      <c r="G233"/>
      <c r="H233"/>
      <c r="I233"/>
      <c r="J233"/>
      <c r="K233"/>
    </row>
    <row r="234" spans="7:12" x14ac:dyDescent="0.25">
      <c r="G234"/>
      <c r="H234"/>
      <c r="I234"/>
      <c r="J234"/>
      <c r="K234"/>
    </row>
    <row r="235" spans="7:12" x14ac:dyDescent="0.25">
      <c r="G235"/>
      <c r="H235"/>
      <c r="I235"/>
      <c r="J235"/>
      <c r="K235"/>
    </row>
    <row r="236" spans="7:12" x14ac:dyDescent="0.25">
      <c r="G236"/>
      <c r="H236"/>
      <c r="I236"/>
      <c r="J236"/>
      <c r="K236"/>
    </row>
    <row r="237" spans="7:12" x14ac:dyDescent="0.25">
      <c r="G237"/>
      <c r="H237"/>
      <c r="I237"/>
      <c r="J237"/>
      <c r="K237"/>
    </row>
    <row r="238" spans="7:12" x14ac:dyDescent="0.25">
      <c r="G238"/>
      <c r="H238"/>
      <c r="I238"/>
      <c r="J238"/>
      <c r="K238"/>
    </row>
    <row r="239" spans="7:12" x14ac:dyDescent="0.25">
      <c r="G239"/>
      <c r="H239"/>
      <c r="I239"/>
      <c r="J239"/>
      <c r="K239"/>
    </row>
    <row r="240" spans="7:12" x14ac:dyDescent="0.25">
      <c r="G240"/>
      <c r="H240"/>
      <c r="I240"/>
      <c r="J240"/>
      <c r="K240"/>
    </row>
    <row r="241" spans="7:11" x14ac:dyDescent="0.25">
      <c r="G241"/>
      <c r="H241"/>
      <c r="I241"/>
      <c r="J241"/>
      <c r="K241"/>
    </row>
    <row r="242" spans="7:11" x14ac:dyDescent="0.25">
      <c r="G242"/>
      <c r="H242"/>
      <c r="I242"/>
      <c r="J242"/>
      <c r="K242"/>
    </row>
    <row r="243" spans="7:11" x14ac:dyDescent="0.25">
      <c r="G243"/>
      <c r="H243"/>
      <c r="I243"/>
      <c r="J243"/>
      <c r="K243"/>
    </row>
    <row r="244" spans="7:11" x14ac:dyDescent="0.25">
      <c r="G244"/>
      <c r="H244"/>
      <c r="I244"/>
      <c r="J244"/>
      <c r="K244"/>
    </row>
    <row r="245" spans="7:11" x14ac:dyDescent="0.25">
      <c r="G245"/>
      <c r="H245"/>
      <c r="I245"/>
      <c r="J245"/>
      <c r="K245"/>
    </row>
    <row r="246" spans="7:11" x14ac:dyDescent="0.25">
      <c r="G246"/>
      <c r="H246"/>
      <c r="I246"/>
      <c r="J246"/>
      <c r="K246"/>
    </row>
    <row r="247" spans="7:11" x14ac:dyDescent="0.25">
      <c r="G247"/>
      <c r="H247"/>
      <c r="I247"/>
      <c r="J247"/>
      <c r="K247"/>
    </row>
    <row r="248" spans="7:11" x14ac:dyDescent="0.25">
      <c r="G248"/>
      <c r="H248"/>
      <c r="I248"/>
      <c r="J248"/>
      <c r="K248"/>
    </row>
    <row r="249" spans="7:11" x14ac:dyDescent="0.25">
      <c r="G249"/>
      <c r="H249"/>
      <c r="I249"/>
      <c r="J249"/>
      <c r="K249"/>
    </row>
    <row r="250" spans="7:11" x14ac:dyDescent="0.25">
      <c r="G250"/>
      <c r="H250"/>
      <c r="I250"/>
      <c r="J250"/>
      <c r="K250"/>
    </row>
    <row r="251" spans="7:11" x14ac:dyDescent="0.25">
      <c r="G251"/>
      <c r="H251"/>
      <c r="I251"/>
      <c r="J251"/>
      <c r="K251"/>
    </row>
    <row r="252" spans="7:11" x14ac:dyDescent="0.25">
      <c r="G252"/>
      <c r="H252"/>
      <c r="I252"/>
      <c r="J252"/>
      <c r="K252"/>
    </row>
    <row r="253" spans="7:11" x14ac:dyDescent="0.25">
      <c r="G253"/>
      <c r="H253"/>
      <c r="I253"/>
      <c r="J253"/>
      <c r="K253"/>
    </row>
    <row r="254" spans="7:11" x14ac:dyDescent="0.25">
      <c r="G254"/>
      <c r="H254"/>
      <c r="I254"/>
      <c r="J254"/>
      <c r="K254"/>
    </row>
    <row r="255" spans="7:11" x14ac:dyDescent="0.25">
      <c r="G255"/>
      <c r="H255"/>
      <c r="I255"/>
      <c r="J255"/>
      <c r="K255"/>
    </row>
    <row r="256" spans="7:11" x14ac:dyDescent="0.25">
      <c r="G256"/>
      <c r="H256"/>
      <c r="I256"/>
      <c r="J256"/>
      <c r="K256"/>
    </row>
    <row r="257" spans="7:11" x14ac:dyDescent="0.25">
      <c r="G257"/>
      <c r="H257"/>
      <c r="I257"/>
      <c r="J257"/>
      <c r="K257"/>
    </row>
    <row r="258" spans="7:11" x14ac:dyDescent="0.25">
      <c r="G258"/>
      <c r="H258"/>
      <c r="I258"/>
      <c r="J258"/>
      <c r="K258"/>
    </row>
    <row r="259" spans="7:11" x14ac:dyDescent="0.25">
      <c r="G259"/>
      <c r="H259"/>
      <c r="I259"/>
      <c r="J259"/>
      <c r="K259"/>
    </row>
    <row r="260" spans="7:11" x14ac:dyDescent="0.25">
      <c r="G260"/>
      <c r="H260"/>
      <c r="I260"/>
      <c r="J260"/>
      <c r="K260"/>
    </row>
    <row r="261" spans="7:11" x14ac:dyDescent="0.25">
      <c r="G261"/>
      <c r="H261"/>
      <c r="I261"/>
      <c r="J261"/>
      <c r="K261"/>
    </row>
    <row r="262" spans="7:11" x14ac:dyDescent="0.25">
      <c r="G262"/>
      <c r="H262"/>
      <c r="I262"/>
      <c r="J262"/>
      <c r="K262"/>
    </row>
    <row r="263" spans="7:11" x14ac:dyDescent="0.25">
      <c r="G263"/>
      <c r="H263"/>
      <c r="I263"/>
      <c r="J263"/>
      <c r="K263"/>
    </row>
    <row r="264" spans="7:11" x14ac:dyDescent="0.25">
      <c r="G264"/>
      <c r="H264"/>
      <c r="I264"/>
      <c r="J264"/>
      <c r="K264"/>
    </row>
    <row r="265" spans="7:11" x14ac:dyDescent="0.25">
      <c r="G265"/>
      <c r="H265"/>
      <c r="I265"/>
      <c r="J265"/>
      <c r="K265"/>
    </row>
    <row r="266" spans="7:11" x14ac:dyDescent="0.25">
      <c r="G266"/>
      <c r="H266"/>
      <c r="I266"/>
      <c r="J266"/>
      <c r="K266"/>
    </row>
    <row r="267" spans="7:11" x14ac:dyDescent="0.25">
      <c r="G267"/>
      <c r="H267"/>
      <c r="I267"/>
      <c r="J267"/>
      <c r="K267"/>
    </row>
    <row r="268" spans="7:11" x14ac:dyDescent="0.25">
      <c r="G268"/>
      <c r="H268"/>
      <c r="I268"/>
      <c r="J268"/>
      <c r="K268"/>
    </row>
    <row r="269" spans="7:11" x14ac:dyDescent="0.25">
      <c r="G269"/>
      <c r="H269"/>
      <c r="I269"/>
      <c r="J269"/>
      <c r="K269"/>
    </row>
    <row r="270" spans="7:11" x14ac:dyDescent="0.25">
      <c r="G270"/>
      <c r="H270"/>
      <c r="I270"/>
      <c r="J270"/>
      <c r="K270"/>
    </row>
    <row r="271" spans="7:11" x14ac:dyDescent="0.25">
      <c r="G271"/>
      <c r="H271"/>
      <c r="I271"/>
      <c r="J271"/>
      <c r="K271"/>
    </row>
    <row r="272" spans="7:11" x14ac:dyDescent="0.25">
      <c r="G272"/>
      <c r="H272"/>
      <c r="I272"/>
      <c r="J272"/>
      <c r="K272"/>
    </row>
    <row r="273" spans="7:11" x14ac:dyDescent="0.25">
      <c r="G273"/>
      <c r="H273"/>
      <c r="I273"/>
      <c r="J273"/>
      <c r="K273"/>
    </row>
    <row r="274" spans="7:11" x14ac:dyDescent="0.25">
      <c r="G274"/>
      <c r="H274"/>
      <c r="I274"/>
      <c r="J274"/>
      <c r="K274"/>
    </row>
    <row r="275" spans="7:11" x14ac:dyDescent="0.25">
      <c r="G275"/>
      <c r="H275"/>
      <c r="I275"/>
      <c r="J275"/>
      <c r="K275"/>
    </row>
    <row r="276" spans="7:11" x14ac:dyDescent="0.25">
      <c r="G276"/>
      <c r="H276"/>
      <c r="I276"/>
      <c r="J276"/>
      <c r="K276"/>
    </row>
    <row r="277" spans="7:11" x14ac:dyDescent="0.25">
      <c r="G277"/>
      <c r="H277"/>
      <c r="I277"/>
      <c r="J277"/>
      <c r="K277"/>
    </row>
    <row r="278" spans="7:11" x14ac:dyDescent="0.25">
      <c r="G278"/>
      <c r="H278"/>
      <c r="I278"/>
      <c r="J278"/>
      <c r="K278"/>
    </row>
    <row r="279" spans="7:11" x14ac:dyDescent="0.25">
      <c r="G279"/>
      <c r="H279"/>
      <c r="I279"/>
      <c r="J279"/>
      <c r="K279"/>
    </row>
    <row r="280" spans="7:11" x14ac:dyDescent="0.25">
      <c r="G280"/>
      <c r="H280"/>
      <c r="I280"/>
      <c r="J280"/>
      <c r="K280"/>
    </row>
    <row r="281" spans="7:11" x14ac:dyDescent="0.25">
      <c r="G281"/>
      <c r="H281"/>
      <c r="I281"/>
      <c r="J281"/>
      <c r="K281"/>
    </row>
    <row r="282" spans="7:11" x14ac:dyDescent="0.25">
      <c r="G282"/>
      <c r="H282"/>
      <c r="I282"/>
      <c r="J282"/>
      <c r="K282"/>
    </row>
    <row r="283" spans="7:11" x14ac:dyDescent="0.25">
      <c r="G283"/>
      <c r="H283"/>
      <c r="I283"/>
      <c r="J283"/>
      <c r="K283"/>
    </row>
    <row r="284" spans="7:11" x14ac:dyDescent="0.25">
      <c r="G284"/>
      <c r="H284"/>
      <c r="I284"/>
      <c r="J284"/>
      <c r="K284"/>
    </row>
    <row r="285" spans="7:11" x14ac:dyDescent="0.25">
      <c r="G285"/>
      <c r="H285"/>
      <c r="I285"/>
      <c r="J285"/>
      <c r="K285"/>
    </row>
    <row r="286" spans="7:11" x14ac:dyDescent="0.25">
      <c r="G286"/>
      <c r="H286"/>
      <c r="I286"/>
      <c r="J286"/>
      <c r="K286"/>
    </row>
    <row r="287" spans="7:11" x14ac:dyDescent="0.25">
      <c r="G287"/>
      <c r="H287"/>
      <c r="I287"/>
      <c r="J287"/>
      <c r="K287"/>
    </row>
    <row r="288" spans="7:11" x14ac:dyDescent="0.25">
      <c r="G288"/>
      <c r="H288"/>
      <c r="I288"/>
      <c r="J288"/>
      <c r="K288"/>
    </row>
    <row r="289" spans="7:11" x14ac:dyDescent="0.25">
      <c r="G289"/>
      <c r="H289"/>
      <c r="I289"/>
      <c r="J289"/>
      <c r="K289"/>
    </row>
    <row r="290" spans="7:11" x14ac:dyDescent="0.25">
      <c r="G290"/>
      <c r="H290"/>
      <c r="I290"/>
      <c r="J290"/>
      <c r="K290"/>
    </row>
    <row r="291" spans="7:11" x14ac:dyDescent="0.25">
      <c r="G291"/>
      <c r="H291"/>
      <c r="I291"/>
      <c r="J291"/>
      <c r="K291"/>
    </row>
    <row r="292" spans="7:11" x14ac:dyDescent="0.25">
      <c r="G292"/>
      <c r="H292"/>
      <c r="I292"/>
      <c r="J292"/>
      <c r="K292"/>
    </row>
    <row r="293" spans="7:11" x14ac:dyDescent="0.25">
      <c r="G293"/>
      <c r="H293"/>
      <c r="I293"/>
      <c r="J293"/>
      <c r="K293"/>
    </row>
    <row r="294" spans="7:11" x14ac:dyDescent="0.25">
      <c r="G294"/>
      <c r="H294"/>
      <c r="I294"/>
      <c r="J294"/>
      <c r="K294"/>
    </row>
    <row r="295" spans="7:11" x14ac:dyDescent="0.25">
      <c r="G295"/>
      <c r="H295"/>
      <c r="I295"/>
      <c r="J295"/>
      <c r="K295"/>
    </row>
    <row r="296" spans="7:11" x14ac:dyDescent="0.25">
      <c r="G296"/>
      <c r="H296"/>
      <c r="I296"/>
      <c r="J296"/>
      <c r="K296"/>
    </row>
    <row r="297" spans="7:11" x14ac:dyDescent="0.25">
      <c r="G297"/>
      <c r="H297"/>
      <c r="I297"/>
      <c r="J297"/>
      <c r="K297"/>
    </row>
    <row r="298" spans="7:11" x14ac:dyDescent="0.25">
      <c r="G298"/>
      <c r="H298"/>
      <c r="I298"/>
      <c r="J298"/>
      <c r="K298"/>
    </row>
    <row r="299" spans="7:11" x14ac:dyDescent="0.25">
      <c r="G299"/>
      <c r="H299"/>
      <c r="I299"/>
      <c r="J299"/>
      <c r="K299"/>
    </row>
    <row r="300" spans="7:11" x14ac:dyDescent="0.25">
      <c r="G300"/>
      <c r="H300"/>
      <c r="I300"/>
      <c r="J300"/>
      <c r="K300"/>
    </row>
    <row r="301" spans="7:11" x14ac:dyDescent="0.25">
      <c r="G301"/>
      <c r="H301"/>
      <c r="I301"/>
      <c r="J301"/>
      <c r="K301"/>
    </row>
    <row r="302" spans="7:11" x14ac:dyDescent="0.25">
      <c r="G302"/>
      <c r="H302"/>
      <c r="I302"/>
      <c r="J302"/>
      <c r="K302"/>
    </row>
    <row r="303" spans="7:11" x14ac:dyDescent="0.25">
      <c r="G303"/>
      <c r="H303"/>
      <c r="I303"/>
      <c r="J303"/>
      <c r="K303"/>
    </row>
    <row r="304" spans="7:11" x14ac:dyDescent="0.25">
      <c r="G304"/>
      <c r="H304"/>
      <c r="I304"/>
      <c r="J304"/>
      <c r="K304"/>
    </row>
    <row r="305" spans="7:11" x14ac:dyDescent="0.25">
      <c r="G305"/>
      <c r="H305"/>
      <c r="I305"/>
      <c r="J305"/>
      <c r="K305"/>
    </row>
    <row r="306" spans="7:11" x14ac:dyDescent="0.25">
      <c r="G306"/>
      <c r="H306"/>
      <c r="I306"/>
      <c r="J306"/>
      <c r="K306"/>
    </row>
    <row r="307" spans="7:11" x14ac:dyDescent="0.25">
      <c r="G307"/>
      <c r="H307"/>
      <c r="I307"/>
      <c r="J307"/>
      <c r="K307"/>
    </row>
    <row r="308" spans="7:11" x14ac:dyDescent="0.25">
      <c r="G308"/>
      <c r="H308"/>
      <c r="I308"/>
      <c r="J308"/>
      <c r="K308"/>
    </row>
    <row r="309" spans="7:11" x14ac:dyDescent="0.25">
      <c r="G309"/>
      <c r="H309"/>
      <c r="I309"/>
      <c r="J309"/>
      <c r="K309"/>
    </row>
    <row r="310" spans="7:11" x14ac:dyDescent="0.25">
      <c r="G310"/>
      <c r="H310"/>
      <c r="I310"/>
      <c r="J310"/>
      <c r="K310"/>
    </row>
    <row r="311" spans="7:11" x14ac:dyDescent="0.25">
      <c r="G311"/>
      <c r="H311"/>
      <c r="I311"/>
      <c r="J311"/>
      <c r="K311"/>
    </row>
    <row r="312" spans="7:11" x14ac:dyDescent="0.25">
      <c r="G312"/>
      <c r="H312"/>
      <c r="I312"/>
      <c r="J312"/>
      <c r="K312"/>
    </row>
    <row r="313" spans="7:11" x14ac:dyDescent="0.25">
      <c r="G313"/>
      <c r="H313"/>
      <c r="I313"/>
      <c r="J313"/>
      <c r="K313"/>
    </row>
    <row r="314" spans="7:11" x14ac:dyDescent="0.25">
      <c r="G314"/>
      <c r="H314"/>
      <c r="I314"/>
      <c r="J314"/>
      <c r="K314"/>
    </row>
    <row r="315" spans="7:11" x14ac:dyDescent="0.25">
      <c r="G315"/>
      <c r="H315"/>
      <c r="I315"/>
      <c r="J315"/>
      <c r="K315"/>
    </row>
    <row r="316" spans="7:11" x14ac:dyDescent="0.25">
      <c r="G316"/>
      <c r="H316"/>
      <c r="I316"/>
      <c r="J316"/>
      <c r="K316"/>
    </row>
    <row r="317" spans="7:11" x14ac:dyDescent="0.25">
      <c r="G317"/>
      <c r="H317"/>
      <c r="I317"/>
      <c r="J317"/>
      <c r="K317"/>
    </row>
    <row r="318" spans="7:11" x14ac:dyDescent="0.25">
      <c r="G318"/>
      <c r="H318"/>
      <c r="I318"/>
      <c r="J318"/>
      <c r="K318"/>
    </row>
    <row r="319" spans="7:11" x14ac:dyDescent="0.25">
      <c r="G319"/>
      <c r="H319"/>
      <c r="I319"/>
      <c r="J319"/>
      <c r="K319"/>
    </row>
    <row r="320" spans="7:11" x14ac:dyDescent="0.25">
      <c r="G320"/>
      <c r="H320"/>
      <c r="I320"/>
      <c r="J320"/>
      <c r="K320"/>
    </row>
    <row r="321" spans="7:11" x14ac:dyDescent="0.25">
      <c r="G321"/>
      <c r="H321"/>
      <c r="I321"/>
      <c r="J321"/>
      <c r="K321"/>
    </row>
    <row r="322" spans="7:11" x14ac:dyDescent="0.25">
      <c r="G322"/>
      <c r="H322"/>
      <c r="I322"/>
      <c r="J322"/>
      <c r="K322"/>
    </row>
    <row r="323" spans="7:11" x14ac:dyDescent="0.25">
      <c r="G323"/>
      <c r="H323"/>
      <c r="I323"/>
      <c r="J323"/>
      <c r="K323"/>
    </row>
    <row r="324" spans="7:11" x14ac:dyDescent="0.25">
      <c r="G324"/>
      <c r="H324"/>
      <c r="I324"/>
      <c r="J324"/>
      <c r="K324"/>
    </row>
    <row r="325" spans="7:11" x14ac:dyDescent="0.25">
      <c r="G325"/>
      <c r="H325"/>
      <c r="I325"/>
      <c r="J325"/>
      <c r="K325"/>
    </row>
    <row r="326" spans="7:11" x14ac:dyDescent="0.25">
      <c r="G326"/>
      <c r="H326"/>
      <c r="I326"/>
      <c r="J326"/>
      <c r="K326"/>
    </row>
    <row r="327" spans="7:11" x14ac:dyDescent="0.25">
      <c r="G327"/>
      <c r="H327"/>
      <c r="I327"/>
      <c r="J327"/>
      <c r="K327"/>
    </row>
    <row r="328" spans="7:11" x14ac:dyDescent="0.25">
      <c r="G328"/>
      <c r="H328"/>
      <c r="I328"/>
      <c r="J328"/>
      <c r="K328"/>
    </row>
    <row r="329" spans="7:11" x14ac:dyDescent="0.25">
      <c r="G329"/>
      <c r="H329"/>
      <c r="I329"/>
      <c r="J329"/>
      <c r="K329"/>
    </row>
    <row r="330" spans="7:11" x14ac:dyDescent="0.25">
      <c r="G330"/>
      <c r="H330"/>
      <c r="I330"/>
      <c r="J330"/>
      <c r="K330"/>
    </row>
    <row r="331" spans="7:11" x14ac:dyDescent="0.25">
      <c r="G331"/>
      <c r="H331"/>
      <c r="I331"/>
      <c r="J331"/>
      <c r="K331"/>
    </row>
    <row r="332" spans="7:11" x14ac:dyDescent="0.25">
      <c r="G332"/>
      <c r="H332"/>
      <c r="I332"/>
      <c r="J332"/>
      <c r="K332"/>
    </row>
    <row r="333" spans="7:11" x14ac:dyDescent="0.25">
      <c r="G333"/>
      <c r="H333"/>
      <c r="I333"/>
      <c r="J333"/>
      <c r="K333"/>
    </row>
    <row r="334" spans="7:11" x14ac:dyDescent="0.25">
      <c r="G334"/>
      <c r="H334"/>
      <c r="I334"/>
      <c r="J334"/>
      <c r="K334"/>
    </row>
    <row r="335" spans="7:11" x14ac:dyDescent="0.25">
      <c r="G335"/>
      <c r="H335"/>
      <c r="I335"/>
      <c r="J335"/>
      <c r="K335"/>
    </row>
    <row r="336" spans="7:11" x14ac:dyDescent="0.25">
      <c r="G336"/>
      <c r="H336"/>
      <c r="I336"/>
      <c r="J336"/>
      <c r="K336"/>
    </row>
    <row r="337" spans="7:11" x14ac:dyDescent="0.25">
      <c r="G337"/>
      <c r="H337"/>
      <c r="I337"/>
      <c r="J337"/>
      <c r="K337"/>
    </row>
    <row r="338" spans="7:11" x14ac:dyDescent="0.25">
      <c r="G338"/>
      <c r="H338"/>
      <c r="I338"/>
      <c r="J338"/>
      <c r="K338"/>
    </row>
    <row r="339" spans="7:11" x14ac:dyDescent="0.25">
      <c r="G339"/>
      <c r="H339"/>
      <c r="I339"/>
      <c r="J339"/>
      <c r="K339"/>
    </row>
    <row r="340" spans="7:11" x14ac:dyDescent="0.25">
      <c r="G340"/>
      <c r="H340"/>
      <c r="I340"/>
      <c r="J340"/>
      <c r="K340"/>
    </row>
    <row r="341" spans="7:11" x14ac:dyDescent="0.25">
      <c r="G341"/>
      <c r="H341"/>
      <c r="I341"/>
      <c r="J341"/>
      <c r="K341"/>
    </row>
    <row r="342" spans="7:11" x14ac:dyDescent="0.25">
      <c r="G342"/>
      <c r="H342"/>
      <c r="I342"/>
      <c r="J342"/>
      <c r="K342"/>
    </row>
    <row r="343" spans="7:11" x14ac:dyDescent="0.25">
      <c r="G343"/>
      <c r="H343"/>
      <c r="I343"/>
      <c r="J343"/>
      <c r="K343"/>
    </row>
    <row r="344" spans="7:11" x14ac:dyDescent="0.25">
      <c r="G344"/>
      <c r="H344"/>
      <c r="I344"/>
      <c r="J344"/>
      <c r="K344"/>
    </row>
    <row r="345" spans="7:11" x14ac:dyDescent="0.25">
      <c r="G345"/>
      <c r="H345"/>
      <c r="I345"/>
      <c r="J345"/>
      <c r="K345"/>
    </row>
    <row r="346" spans="7:11" x14ac:dyDescent="0.25">
      <c r="G346"/>
      <c r="H346"/>
      <c r="I346"/>
      <c r="J346"/>
      <c r="K346"/>
    </row>
    <row r="347" spans="7:11" x14ac:dyDescent="0.25">
      <c r="G347"/>
      <c r="H347"/>
      <c r="I347"/>
      <c r="J347"/>
      <c r="K347"/>
    </row>
    <row r="348" spans="7:11" x14ac:dyDescent="0.25">
      <c r="G348"/>
      <c r="H348"/>
      <c r="I348"/>
      <c r="J348"/>
      <c r="K348"/>
    </row>
    <row r="349" spans="7:11" x14ac:dyDescent="0.25">
      <c r="G349"/>
      <c r="H349"/>
      <c r="I349"/>
      <c r="J349"/>
      <c r="K349"/>
    </row>
    <row r="350" spans="7:11" x14ac:dyDescent="0.25">
      <c r="G350"/>
      <c r="H350"/>
      <c r="I350"/>
      <c r="J350"/>
      <c r="K350"/>
    </row>
    <row r="351" spans="7:11" x14ac:dyDescent="0.25">
      <c r="G351"/>
      <c r="H351"/>
      <c r="I351"/>
      <c r="J351"/>
      <c r="K351"/>
    </row>
    <row r="352" spans="7:11" x14ac:dyDescent="0.25">
      <c r="G352"/>
      <c r="H352"/>
      <c r="I352"/>
      <c r="J352"/>
      <c r="K352"/>
    </row>
    <row r="353" spans="7:11" x14ac:dyDescent="0.25">
      <c r="G353"/>
      <c r="H353"/>
      <c r="I353"/>
      <c r="J353"/>
      <c r="K353"/>
    </row>
    <row r="354" spans="7:11" x14ac:dyDescent="0.25">
      <c r="G354"/>
      <c r="H354"/>
      <c r="I354"/>
      <c r="J354"/>
      <c r="K354"/>
    </row>
    <row r="355" spans="7:11" x14ac:dyDescent="0.25">
      <c r="G355"/>
      <c r="H355"/>
      <c r="I355"/>
      <c r="J355"/>
      <c r="K355"/>
    </row>
    <row r="356" spans="7:11" x14ac:dyDescent="0.25">
      <c r="G356"/>
      <c r="H356"/>
      <c r="I356"/>
      <c r="J356"/>
      <c r="K356"/>
    </row>
    <row r="357" spans="7:11" x14ac:dyDescent="0.25">
      <c r="G357"/>
      <c r="H357"/>
      <c r="I357"/>
      <c r="J357"/>
      <c r="K357"/>
    </row>
    <row r="358" spans="7:11" x14ac:dyDescent="0.25">
      <c r="G358"/>
      <c r="H358"/>
      <c r="I358"/>
      <c r="J358"/>
      <c r="K358"/>
    </row>
    <row r="359" spans="7:11" x14ac:dyDescent="0.25">
      <c r="G359"/>
      <c r="H359"/>
      <c r="I359"/>
      <c r="J359"/>
      <c r="K359"/>
    </row>
    <row r="360" spans="7:11" x14ac:dyDescent="0.25">
      <c r="G360"/>
      <c r="H360"/>
      <c r="I360"/>
      <c r="J360"/>
      <c r="K360"/>
    </row>
    <row r="361" spans="7:11" x14ac:dyDescent="0.25">
      <c r="G361"/>
      <c r="H361"/>
      <c r="I361"/>
      <c r="J361"/>
      <c r="K361"/>
    </row>
    <row r="362" spans="7:11" x14ac:dyDescent="0.25">
      <c r="G362"/>
      <c r="H362"/>
      <c r="I362"/>
      <c r="J362"/>
      <c r="K362"/>
    </row>
    <row r="363" spans="7:11" x14ac:dyDescent="0.25">
      <c r="G363"/>
      <c r="H363"/>
      <c r="I363"/>
      <c r="J363"/>
      <c r="K363"/>
    </row>
    <row r="364" spans="7:11" x14ac:dyDescent="0.25">
      <c r="G364"/>
      <c r="H364"/>
      <c r="I364"/>
      <c r="J364"/>
      <c r="K364"/>
    </row>
    <row r="365" spans="7:11" x14ac:dyDescent="0.25">
      <c r="G365"/>
      <c r="H365"/>
      <c r="I365"/>
      <c r="J365"/>
      <c r="K365"/>
    </row>
    <row r="366" spans="7:11" x14ac:dyDescent="0.25">
      <c r="G366"/>
      <c r="H366"/>
      <c r="I366"/>
      <c r="J366"/>
      <c r="K366"/>
    </row>
    <row r="367" spans="7:11" x14ac:dyDescent="0.25">
      <c r="G367"/>
      <c r="H367"/>
      <c r="I367"/>
      <c r="J367"/>
      <c r="K367"/>
    </row>
    <row r="368" spans="7:11" x14ac:dyDescent="0.25">
      <c r="G368"/>
      <c r="H368"/>
      <c r="I368"/>
      <c r="J368"/>
      <c r="K368"/>
    </row>
    <row r="369" spans="7:11" x14ac:dyDescent="0.25">
      <c r="G369"/>
      <c r="H369"/>
      <c r="I369"/>
      <c r="J369"/>
      <c r="K369"/>
    </row>
    <row r="370" spans="7:11" x14ac:dyDescent="0.25">
      <c r="G370"/>
      <c r="H370"/>
      <c r="I370"/>
      <c r="J370"/>
      <c r="K370"/>
    </row>
    <row r="371" spans="7:11" x14ac:dyDescent="0.25">
      <c r="G371"/>
      <c r="H371"/>
      <c r="I371"/>
      <c r="J371"/>
      <c r="K371"/>
    </row>
    <row r="372" spans="7:11" x14ac:dyDescent="0.25">
      <c r="G372"/>
      <c r="H372"/>
      <c r="I372"/>
      <c r="J372"/>
      <c r="K372"/>
    </row>
    <row r="373" spans="7:11" x14ac:dyDescent="0.25">
      <c r="G373"/>
      <c r="H373"/>
      <c r="I373"/>
      <c r="J373"/>
      <c r="K373"/>
    </row>
    <row r="374" spans="7:11" x14ac:dyDescent="0.25">
      <c r="G374"/>
      <c r="H374"/>
      <c r="I374"/>
      <c r="J374"/>
      <c r="K374"/>
    </row>
    <row r="375" spans="7:11" x14ac:dyDescent="0.25">
      <c r="G375"/>
      <c r="H375"/>
      <c r="I375"/>
      <c r="J375"/>
      <c r="K375"/>
    </row>
    <row r="376" spans="7:11" x14ac:dyDescent="0.25">
      <c r="G376"/>
      <c r="H376"/>
      <c r="I376"/>
      <c r="J376"/>
      <c r="K376"/>
    </row>
    <row r="377" spans="7:11" x14ac:dyDescent="0.25">
      <c r="G377"/>
      <c r="H377"/>
      <c r="I377"/>
      <c r="J377"/>
      <c r="K377"/>
    </row>
    <row r="378" spans="7:11" x14ac:dyDescent="0.25">
      <c r="G378"/>
      <c r="H378"/>
      <c r="I378"/>
      <c r="J378"/>
      <c r="K378"/>
    </row>
    <row r="379" spans="7:11" x14ac:dyDescent="0.25">
      <c r="G379"/>
      <c r="H379"/>
      <c r="I379"/>
      <c r="J379"/>
      <c r="K379"/>
    </row>
    <row r="380" spans="7:11" x14ac:dyDescent="0.25">
      <c r="G380"/>
      <c r="H380"/>
      <c r="I380"/>
      <c r="J380"/>
      <c r="K380"/>
    </row>
    <row r="381" spans="7:11" x14ac:dyDescent="0.25">
      <c r="G381"/>
      <c r="H381"/>
      <c r="I381"/>
      <c r="J381"/>
      <c r="K381"/>
    </row>
    <row r="382" spans="7:11" x14ac:dyDescent="0.25">
      <c r="G382"/>
      <c r="H382"/>
      <c r="I382"/>
      <c r="J382"/>
      <c r="K382"/>
    </row>
    <row r="383" spans="7:11" x14ac:dyDescent="0.25">
      <c r="G383"/>
      <c r="H383"/>
      <c r="I383"/>
      <c r="J383"/>
      <c r="K383"/>
    </row>
    <row r="384" spans="7:11" x14ac:dyDescent="0.25">
      <c r="G384"/>
      <c r="H384"/>
      <c r="I384"/>
      <c r="J384"/>
      <c r="K384"/>
    </row>
    <row r="385" spans="7:11" x14ac:dyDescent="0.25">
      <c r="G385"/>
      <c r="H385"/>
      <c r="I385"/>
      <c r="J385"/>
      <c r="K385"/>
    </row>
    <row r="386" spans="7:11" x14ac:dyDescent="0.25">
      <c r="G386"/>
      <c r="H386"/>
      <c r="I386"/>
      <c r="J386"/>
      <c r="K386"/>
    </row>
    <row r="387" spans="7:11" x14ac:dyDescent="0.25">
      <c r="G387"/>
      <c r="H387"/>
      <c r="I387"/>
      <c r="J387"/>
      <c r="K387"/>
    </row>
    <row r="388" spans="7:11" x14ac:dyDescent="0.25">
      <c r="G388"/>
      <c r="H388"/>
      <c r="I388"/>
      <c r="J388"/>
      <c r="K388"/>
    </row>
    <row r="389" spans="7:11" x14ac:dyDescent="0.25">
      <c r="G389"/>
      <c r="H389"/>
      <c r="I389"/>
      <c r="J389"/>
      <c r="K389"/>
    </row>
    <row r="390" spans="7:11" x14ac:dyDescent="0.25">
      <c r="G390"/>
      <c r="H390"/>
      <c r="I390"/>
      <c r="J390"/>
      <c r="K390"/>
    </row>
    <row r="391" spans="7:11" x14ac:dyDescent="0.25">
      <c r="G391"/>
      <c r="H391"/>
      <c r="I391"/>
      <c r="J391"/>
      <c r="K391"/>
    </row>
    <row r="392" spans="7:11" x14ac:dyDescent="0.25">
      <c r="G392"/>
      <c r="H392"/>
      <c r="I392"/>
      <c r="J392"/>
      <c r="K392"/>
    </row>
    <row r="393" spans="7:11" x14ac:dyDescent="0.25">
      <c r="G393"/>
      <c r="H393"/>
      <c r="I393"/>
      <c r="J393"/>
      <c r="K393"/>
    </row>
    <row r="394" spans="7:11" x14ac:dyDescent="0.25">
      <c r="G394"/>
      <c r="H394"/>
      <c r="I394"/>
      <c r="J394"/>
      <c r="K394"/>
    </row>
    <row r="395" spans="7:11" x14ac:dyDescent="0.25">
      <c r="G395"/>
      <c r="H395"/>
      <c r="I395"/>
      <c r="J395"/>
      <c r="K395"/>
    </row>
    <row r="396" spans="7:11" x14ac:dyDescent="0.25">
      <c r="G396"/>
      <c r="H396"/>
      <c r="I396"/>
      <c r="J396"/>
      <c r="K396"/>
    </row>
    <row r="397" spans="7:11" x14ac:dyDescent="0.25">
      <c r="G397"/>
      <c r="H397"/>
      <c r="I397"/>
      <c r="J397"/>
    </row>
    <row r="398" spans="7:11" x14ac:dyDescent="0.25">
      <c r="G398"/>
      <c r="H398"/>
      <c r="I398"/>
      <c r="J398"/>
    </row>
    <row r="399" spans="7:11" x14ac:dyDescent="0.25">
      <c r="G399"/>
      <c r="H399"/>
      <c r="I399"/>
      <c r="J399"/>
    </row>
    <row r="400" spans="7:11" x14ac:dyDescent="0.25">
      <c r="G400"/>
      <c r="H400"/>
      <c r="I400"/>
      <c r="J400"/>
    </row>
    <row r="401" spans="7:10" x14ac:dyDescent="0.25">
      <c r="G401"/>
      <c r="H401"/>
      <c r="I401"/>
      <c r="J401"/>
    </row>
    <row r="402" spans="7:10" x14ac:dyDescent="0.25">
      <c r="G402"/>
      <c r="H402"/>
      <c r="I402"/>
      <c r="J402"/>
    </row>
    <row r="403" spans="7:10" x14ac:dyDescent="0.25">
      <c r="G403"/>
      <c r="H403"/>
      <c r="I403"/>
      <c r="J403"/>
    </row>
    <row r="404" spans="7:10" x14ac:dyDescent="0.25">
      <c r="G404"/>
      <c r="H404"/>
      <c r="I404"/>
      <c r="J404"/>
    </row>
    <row r="405" spans="7:10" x14ac:dyDescent="0.25">
      <c r="G405"/>
      <c r="H405"/>
      <c r="I405"/>
      <c r="J405"/>
    </row>
    <row r="406" spans="7:10" x14ac:dyDescent="0.25">
      <c r="G406"/>
      <c r="H406"/>
      <c r="I406"/>
      <c r="J406"/>
    </row>
    <row r="407" spans="7:10" x14ac:dyDescent="0.25">
      <c r="G407"/>
      <c r="H407"/>
      <c r="I407"/>
      <c r="J407"/>
    </row>
    <row r="408" spans="7:10" x14ac:dyDescent="0.25">
      <c r="G408"/>
      <c r="H408"/>
      <c r="I408"/>
      <c r="J408"/>
    </row>
    <row r="409" spans="7:10" x14ac:dyDescent="0.25">
      <c r="G409"/>
      <c r="H409"/>
      <c r="I409"/>
      <c r="J409"/>
    </row>
    <row r="410" spans="7:10" x14ac:dyDescent="0.25">
      <c r="G410"/>
      <c r="H410"/>
      <c r="I410"/>
      <c r="J410"/>
    </row>
    <row r="411" spans="7:10" x14ac:dyDescent="0.25">
      <c r="G411"/>
      <c r="H411"/>
      <c r="I411"/>
      <c r="J411"/>
    </row>
    <row r="412" spans="7:10" x14ac:dyDescent="0.25">
      <c r="G412"/>
      <c r="H412"/>
      <c r="I412"/>
      <c r="J412"/>
    </row>
    <row r="413" spans="7:10" x14ac:dyDescent="0.25">
      <c r="G413"/>
      <c r="H413"/>
      <c r="I413"/>
      <c r="J413"/>
    </row>
    <row r="414" spans="7:10" x14ac:dyDescent="0.25">
      <c r="G414"/>
      <c r="H414"/>
      <c r="I414"/>
      <c r="J414"/>
    </row>
    <row r="415" spans="7:10" x14ac:dyDescent="0.25">
      <c r="G415"/>
      <c r="H415"/>
      <c r="I415"/>
      <c r="J415"/>
    </row>
    <row r="416" spans="7:10" x14ac:dyDescent="0.25">
      <c r="G416"/>
      <c r="H416"/>
      <c r="I416"/>
      <c r="J416"/>
    </row>
    <row r="417" spans="7:10" x14ac:dyDescent="0.25">
      <c r="G417"/>
      <c r="H417"/>
      <c r="I417"/>
      <c r="J417"/>
    </row>
    <row r="418" spans="7:10" x14ac:dyDescent="0.25">
      <c r="G418"/>
      <c r="H418"/>
      <c r="I418"/>
      <c r="J418"/>
    </row>
    <row r="419" spans="7:10" x14ac:dyDescent="0.25">
      <c r="G419"/>
      <c r="H419"/>
      <c r="I419"/>
      <c r="J419"/>
    </row>
    <row r="420" spans="7:10" x14ac:dyDescent="0.25">
      <c r="G420"/>
      <c r="H420"/>
      <c r="I420"/>
      <c r="J420"/>
    </row>
    <row r="421" spans="7:10" x14ac:dyDescent="0.25">
      <c r="G421"/>
      <c r="H421"/>
      <c r="I421"/>
      <c r="J421"/>
    </row>
    <row r="422" spans="7:10" x14ac:dyDescent="0.25">
      <c r="G422"/>
      <c r="H422"/>
      <c r="I422"/>
      <c r="J422"/>
    </row>
    <row r="423" spans="7:10" x14ac:dyDescent="0.25">
      <c r="G423"/>
      <c r="H423"/>
      <c r="I423"/>
      <c r="J423"/>
    </row>
    <row r="424" spans="7:10" x14ac:dyDescent="0.25">
      <c r="G424"/>
      <c r="H424"/>
      <c r="I424"/>
      <c r="J424"/>
    </row>
    <row r="425" spans="7:10" x14ac:dyDescent="0.25">
      <c r="G425"/>
      <c r="H425"/>
      <c r="I425"/>
      <c r="J425"/>
    </row>
    <row r="426" spans="7:10" x14ac:dyDescent="0.25">
      <c r="G426"/>
      <c r="H426"/>
      <c r="I426"/>
      <c r="J426"/>
    </row>
    <row r="427" spans="7:10" x14ac:dyDescent="0.25">
      <c r="G427"/>
      <c r="H427"/>
      <c r="I427"/>
      <c r="J427"/>
    </row>
    <row r="428" spans="7:10" x14ac:dyDescent="0.25">
      <c r="G428"/>
      <c r="H428"/>
      <c r="I428"/>
      <c r="J428"/>
    </row>
    <row r="429" spans="7:10" x14ac:dyDescent="0.25">
      <c r="G429"/>
      <c r="H429"/>
      <c r="I429"/>
      <c r="J429"/>
    </row>
    <row r="430" spans="7:10" x14ac:dyDescent="0.25">
      <c r="G430"/>
      <c r="H430"/>
      <c r="I430"/>
      <c r="J430"/>
    </row>
    <row r="431" spans="7:10" x14ac:dyDescent="0.25">
      <c r="G431"/>
      <c r="H431"/>
      <c r="I431"/>
      <c r="J431"/>
    </row>
    <row r="432" spans="7:10" x14ac:dyDescent="0.25">
      <c r="G432"/>
      <c r="H432"/>
      <c r="I432"/>
      <c r="J432"/>
    </row>
    <row r="433" spans="7:10" x14ac:dyDescent="0.25">
      <c r="G433"/>
      <c r="H433"/>
      <c r="I433"/>
      <c r="J433"/>
    </row>
    <row r="434" spans="7:10" x14ac:dyDescent="0.25">
      <c r="G434"/>
      <c r="H434"/>
      <c r="I434"/>
      <c r="J434"/>
    </row>
    <row r="435" spans="7:10" x14ac:dyDescent="0.25">
      <c r="G435"/>
      <c r="H435"/>
      <c r="I435"/>
      <c r="J435"/>
    </row>
    <row r="436" spans="7:10" x14ac:dyDescent="0.25">
      <c r="G436"/>
      <c r="H436"/>
      <c r="I436"/>
      <c r="J436"/>
    </row>
    <row r="437" spans="7:10" x14ac:dyDescent="0.25">
      <c r="G437"/>
      <c r="H437"/>
      <c r="I437"/>
      <c r="J437"/>
    </row>
    <row r="438" spans="7:10" x14ac:dyDescent="0.25">
      <c r="G438"/>
      <c r="H438"/>
      <c r="I438"/>
      <c r="J438"/>
    </row>
    <row r="439" spans="7:10" x14ac:dyDescent="0.25">
      <c r="G439"/>
      <c r="H439"/>
      <c r="I439"/>
      <c r="J439"/>
    </row>
    <row r="440" spans="7:10" x14ac:dyDescent="0.25">
      <c r="G440"/>
      <c r="H440"/>
      <c r="I440"/>
      <c r="J440"/>
    </row>
    <row r="441" spans="7:10" x14ac:dyDescent="0.25">
      <c r="G441"/>
      <c r="H441"/>
      <c r="I441"/>
      <c r="J441"/>
    </row>
    <row r="442" spans="7:10" x14ac:dyDescent="0.25">
      <c r="G442"/>
      <c r="H442"/>
      <c r="I442"/>
      <c r="J442"/>
    </row>
    <row r="443" spans="7:10" x14ac:dyDescent="0.25">
      <c r="G443"/>
      <c r="H443"/>
      <c r="I443"/>
      <c r="J443"/>
    </row>
    <row r="444" spans="7:10" x14ac:dyDescent="0.25">
      <c r="G444"/>
      <c r="H444"/>
      <c r="I444"/>
      <c r="J444"/>
    </row>
    <row r="445" spans="7:10" x14ac:dyDescent="0.25">
      <c r="G445"/>
      <c r="H445"/>
      <c r="I445"/>
      <c r="J445"/>
    </row>
    <row r="446" spans="7:10" x14ac:dyDescent="0.25">
      <c r="G446"/>
      <c r="H446"/>
      <c r="I446"/>
      <c r="J446"/>
    </row>
    <row r="447" spans="7:10" x14ac:dyDescent="0.25">
      <c r="G447"/>
      <c r="H447"/>
      <c r="I447"/>
      <c r="J447"/>
    </row>
    <row r="448" spans="7:10" x14ac:dyDescent="0.25">
      <c r="G448"/>
      <c r="H448"/>
      <c r="I448"/>
      <c r="J448"/>
    </row>
    <row r="449" spans="7:10" x14ac:dyDescent="0.25">
      <c r="G449"/>
      <c r="H449"/>
      <c r="I449"/>
      <c r="J449"/>
    </row>
    <row r="450" spans="7:10" x14ac:dyDescent="0.25">
      <c r="G450"/>
      <c r="H450"/>
      <c r="I450"/>
      <c r="J450"/>
    </row>
    <row r="451" spans="7:10" x14ac:dyDescent="0.25">
      <c r="G451"/>
      <c r="H451"/>
      <c r="I451"/>
      <c r="J451"/>
    </row>
    <row r="452" spans="7:10" x14ac:dyDescent="0.25">
      <c r="G452"/>
      <c r="H452"/>
      <c r="I452"/>
      <c r="J452"/>
    </row>
    <row r="453" spans="7:10" x14ac:dyDescent="0.25">
      <c r="G453"/>
      <c r="H453"/>
      <c r="I453"/>
      <c r="J453"/>
    </row>
    <row r="454" spans="7:10" x14ac:dyDescent="0.25">
      <c r="G454"/>
      <c r="H454"/>
      <c r="I454"/>
      <c r="J454"/>
    </row>
    <row r="455" spans="7:10" x14ac:dyDescent="0.25">
      <c r="G455"/>
      <c r="H455"/>
      <c r="I455"/>
      <c r="J455"/>
    </row>
    <row r="456" spans="7:10" x14ac:dyDescent="0.25">
      <c r="G456"/>
      <c r="H456"/>
      <c r="I456"/>
      <c r="J456"/>
    </row>
    <row r="457" spans="7:10" x14ac:dyDescent="0.25">
      <c r="G457"/>
      <c r="H457"/>
      <c r="I457"/>
      <c r="J457"/>
    </row>
    <row r="458" spans="7:10" x14ac:dyDescent="0.25">
      <c r="G458"/>
      <c r="H458"/>
      <c r="I458"/>
      <c r="J458"/>
    </row>
    <row r="459" spans="7:10" x14ac:dyDescent="0.25">
      <c r="G459"/>
      <c r="H459"/>
      <c r="I459"/>
      <c r="J459"/>
    </row>
    <row r="460" spans="7:10" x14ac:dyDescent="0.25">
      <c r="G460"/>
      <c r="H460"/>
      <c r="I460"/>
      <c r="J460"/>
    </row>
    <row r="461" spans="7:10" x14ac:dyDescent="0.25">
      <c r="G461"/>
      <c r="H461"/>
      <c r="I461"/>
      <c r="J461"/>
    </row>
    <row r="462" spans="7:10" x14ac:dyDescent="0.25">
      <c r="G462"/>
      <c r="H462"/>
      <c r="I462"/>
      <c r="J462"/>
    </row>
    <row r="463" spans="7:10" x14ac:dyDescent="0.25">
      <c r="G463"/>
      <c r="H463"/>
      <c r="I463"/>
      <c r="J463"/>
    </row>
    <row r="464" spans="7:10" x14ac:dyDescent="0.25">
      <c r="G464"/>
      <c r="H464"/>
      <c r="I464"/>
      <c r="J464"/>
    </row>
    <row r="465" spans="7:10" x14ac:dyDescent="0.25">
      <c r="G465"/>
      <c r="H465"/>
      <c r="I465"/>
      <c r="J465"/>
    </row>
    <row r="466" spans="7:10" x14ac:dyDescent="0.25">
      <c r="G466"/>
      <c r="H466"/>
      <c r="I466"/>
      <c r="J466"/>
    </row>
    <row r="467" spans="7:10" x14ac:dyDescent="0.25">
      <c r="G467"/>
      <c r="H467"/>
      <c r="I467"/>
      <c r="J467"/>
    </row>
    <row r="468" spans="7:10" x14ac:dyDescent="0.25">
      <c r="G468"/>
      <c r="H468"/>
      <c r="I468"/>
      <c r="J468"/>
    </row>
    <row r="469" spans="7:10" x14ac:dyDescent="0.25">
      <c r="G469"/>
      <c r="H469"/>
      <c r="I469"/>
      <c r="J469"/>
    </row>
    <row r="470" spans="7:10" x14ac:dyDescent="0.25">
      <c r="G470"/>
      <c r="H470"/>
      <c r="I470"/>
      <c r="J470"/>
    </row>
    <row r="471" spans="7:10" x14ac:dyDescent="0.25">
      <c r="G471"/>
      <c r="H471"/>
      <c r="I471"/>
      <c r="J471"/>
    </row>
    <row r="472" spans="7:10" x14ac:dyDescent="0.25">
      <c r="G472"/>
      <c r="H472"/>
      <c r="I472"/>
      <c r="J472"/>
    </row>
    <row r="473" spans="7:10" x14ac:dyDescent="0.25">
      <c r="G473"/>
      <c r="H473"/>
      <c r="I473"/>
      <c r="J473"/>
    </row>
    <row r="474" spans="7:10" x14ac:dyDescent="0.25">
      <c r="G474"/>
      <c r="H474"/>
      <c r="I474"/>
      <c r="J474"/>
    </row>
    <row r="475" spans="7:10" x14ac:dyDescent="0.25">
      <c r="G475"/>
      <c r="H475"/>
      <c r="I475"/>
      <c r="J475"/>
    </row>
    <row r="476" spans="7:10" x14ac:dyDescent="0.25">
      <c r="G476"/>
      <c r="H476"/>
      <c r="I476"/>
      <c r="J476"/>
    </row>
    <row r="477" spans="7:10" x14ac:dyDescent="0.25">
      <c r="G477"/>
      <c r="H477"/>
      <c r="I477"/>
      <c r="J477"/>
    </row>
    <row r="478" spans="7:10" x14ac:dyDescent="0.25">
      <c r="G478"/>
      <c r="H478"/>
      <c r="I478"/>
      <c r="J478"/>
    </row>
    <row r="479" spans="7:10" x14ac:dyDescent="0.25">
      <c r="G479"/>
      <c r="H479"/>
      <c r="I479"/>
      <c r="J479"/>
    </row>
    <row r="480" spans="7:10" x14ac:dyDescent="0.25">
      <c r="G480"/>
      <c r="H480"/>
      <c r="I480"/>
      <c r="J480"/>
    </row>
    <row r="481" spans="7:10" x14ac:dyDescent="0.25">
      <c r="G481"/>
      <c r="H481"/>
      <c r="I481"/>
      <c r="J481"/>
    </row>
    <row r="482" spans="7:10" x14ac:dyDescent="0.25">
      <c r="G482"/>
      <c r="H482"/>
      <c r="I482"/>
      <c r="J482"/>
    </row>
    <row r="483" spans="7:10" x14ac:dyDescent="0.25">
      <c r="G483"/>
      <c r="H483"/>
      <c r="I483"/>
      <c r="J483"/>
    </row>
    <row r="484" spans="7:10" x14ac:dyDescent="0.25">
      <c r="G484"/>
      <c r="H484"/>
      <c r="I484"/>
      <c r="J484"/>
    </row>
    <row r="485" spans="7:10" x14ac:dyDescent="0.25">
      <c r="G485"/>
      <c r="H485"/>
      <c r="I485"/>
      <c r="J485"/>
    </row>
    <row r="486" spans="7:10" x14ac:dyDescent="0.25">
      <c r="G486"/>
      <c r="H486"/>
      <c r="I486"/>
      <c r="J486"/>
    </row>
    <row r="487" spans="7:10" x14ac:dyDescent="0.25">
      <c r="G487"/>
      <c r="H487"/>
      <c r="I487"/>
      <c r="J487"/>
    </row>
    <row r="488" spans="7:10" x14ac:dyDescent="0.25">
      <c r="G488"/>
      <c r="H488"/>
      <c r="I488"/>
      <c r="J488"/>
    </row>
    <row r="489" spans="7:10" x14ac:dyDescent="0.25">
      <c r="G489"/>
      <c r="H489"/>
      <c r="I489"/>
      <c r="J489"/>
    </row>
    <row r="490" spans="7:10" x14ac:dyDescent="0.25">
      <c r="G490"/>
      <c r="H490"/>
      <c r="I490"/>
      <c r="J490"/>
    </row>
    <row r="491" spans="7:10" x14ac:dyDescent="0.25">
      <c r="G491"/>
      <c r="H491"/>
      <c r="I491"/>
      <c r="J491"/>
    </row>
    <row r="492" spans="7:10" x14ac:dyDescent="0.25">
      <c r="G492"/>
      <c r="H492"/>
      <c r="I492"/>
      <c r="J492"/>
    </row>
    <row r="493" spans="7:10" x14ac:dyDescent="0.25">
      <c r="G493"/>
      <c r="H493"/>
      <c r="I493"/>
      <c r="J493"/>
    </row>
    <row r="494" spans="7:10" x14ac:dyDescent="0.25">
      <c r="G494"/>
      <c r="H494"/>
      <c r="I494"/>
      <c r="J494"/>
    </row>
    <row r="495" spans="7:10" x14ac:dyDescent="0.25">
      <c r="G495"/>
      <c r="H495"/>
      <c r="I495"/>
      <c r="J495"/>
    </row>
    <row r="496" spans="7:10" x14ac:dyDescent="0.25">
      <c r="G496"/>
      <c r="H496"/>
      <c r="I496"/>
      <c r="J496"/>
    </row>
    <row r="497" spans="7:10" x14ac:dyDescent="0.25">
      <c r="G497"/>
      <c r="H497"/>
      <c r="I497"/>
      <c r="J497"/>
    </row>
    <row r="498" spans="7:10" x14ac:dyDescent="0.25">
      <c r="G498"/>
      <c r="H498"/>
      <c r="I498"/>
      <c r="J498"/>
    </row>
    <row r="499" spans="7:10" x14ac:dyDescent="0.25">
      <c r="G499"/>
      <c r="H499"/>
      <c r="I499"/>
      <c r="J499"/>
    </row>
    <row r="500" spans="7:10" x14ac:dyDescent="0.25">
      <c r="G500"/>
      <c r="H500"/>
      <c r="I500"/>
      <c r="J500"/>
    </row>
    <row r="501" spans="7:10" x14ac:dyDescent="0.25">
      <c r="G501"/>
      <c r="H501"/>
      <c r="I501"/>
      <c r="J501"/>
    </row>
    <row r="502" spans="7:10" x14ac:dyDescent="0.25">
      <c r="G502"/>
      <c r="H502"/>
      <c r="I502"/>
      <c r="J502"/>
    </row>
    <row r="503" spans="7:10" x14ac:dyDescent="0.25">
      <c r="G503"/>
      <c r="H503"/>
      <c r="I503"/>
      <c r="J503"/>
    </row>
    <row r="504" spans="7:10" x14ac:dyDescent="0.25">
      <c r="G504"/>
      <c r="H504"/>
      <c r="I504"/>
      <c r="J504"/>
    </row>
    <row r="505" spans="7:10" x14ac:dyDescent="0.25">
      <c r="G505"/>
      <c r="H505"/>
      <c r="I505"/>
      <c r="J505"/>
    </row>
    <row r="506" spans="7:10" x14ac:dyDescent="0.25">
      <c r="G506"/>
      <c r="H506"/>
      <c r="I506"/>
      <c r="J506"/>
    </row>
    <row r="507" spans="7:10" x14ac:dyDescent="0.25">
      <c r="G507"/>
      <c r="H507"/>
      <c r="I507"/>
      <c r="J507"/>
    </row>
    <row r="508" spans="7:10" x14ac:dyDescent="0.25">
      <c r="G508"/>
      <c r="H508"/>
      <c r="I508"/>
      <c r="J508"/>
    </row>
    <row r="509" spans="7:10" x14ac:dyDescent="0.25">
      <c r="G509"/>
      <c r="H509"/>
      <c r="I509"/>
      <c r="J509"/>
    </row>
    <row r="510" spans="7:10" x14ac:dyDescent="0.25">
      <c r="G510"/>
      <c r="H510"/>
      <c r="I510"/>
      <c r="J510"/>
    </row>
    <row r="511" spans="7:10" x14ac:dyDescent="0.25">
      <c r="G511"/>
      <c r="H511"/>
      <c r="I511"/>
      <c r="J511"/>
    </row>
    <row r="512" spans="7:10" x14ac:dyDescent="0.25">
      <c r="G512"/>
      <c r="H512"/>
      <c r="I512"/>
      <c r="J512"/>
    </row>
    <row r="513" spans="7:10" x14ac:dyDescent="0.25">
      <c r="G513"/>
      <c r="H513"/>
      <c r="I513"/>
      <c r="J513"/>
    </row>
    <row r="514" spans="7:10" x14ac:dyDescent="0.25">
      <c r="G514"/>
      <c r="H514"/>
      <c r="I514"/>
      <c r="J514"/>
    </row>
    <row r="515" spans="7:10" x14ac:dyDescent="0.25">
      <c r="G515"/>
      <c r="H515"/>
      <c r="I515"/>
      <c r="J515"/>
    </row>
    <row r="516" spans="7:10" x14ac:dyDescent="0.25">
      <c r="G516"/>
      <c r="H516"/>
      <c r="I516"/>
      <c r="J516"/>
    </row>
    <row r="517" spans="7:10" x14ac:dyDescent="0.25">
      <c r="G517"/>
      <c r="H517"/>
      <c r="I517"/>
      <c r="J517"/>
    </row>
    <row r="518" spans="7:10" x14ac:dyDescent="0.25">
      <c r="G518"/>
      <c r="H518"/>
      <c r="I518"/>
      <c r="J518"/>
    </row>
    <row r="519" spans="7:10" x14ac:dyDescent="0.25">
      <c r="G519"/>
      <c r="H519"/>
      <c r="I519"/>
      <c r="J519"/>
    </row>
    <row r="520" spans="7:10" x14ac:dyDescent="0.25">
      <c r="G520"/>
      <c r="H520"/>
      <c r="I520"/>
      <c r="J520"/>
    </row>
    <row r="521" spans="7:10" x14ac:dyDescent="0.25">
      <c r="G521"/>
      <c r="H521"/>
      <c r="I521"/>
      <c r="J521"/>
    </row>
    <row r="522" spans="7:10" x14ac:dyDescent="0.25">
      <c r="G522"/>
      <c r="H522"/>
      <c r="I522"/>
      <c r="J522"/>
    </row>
    <row r="523" spans="7:10" x14ac:dyDescent="0.25">
      <c r="G523"/>
      <c r="H523"/>
      <c r="I523"/>
      <c r="J523"/>
    </row>
    <row r="524" spans="7:10" x14ac:dyDescent="0.25">
      <c r="G524"/>
      <c r="H524"/>
      <c r="I524"/>
      <c r="J524"/>
    </row>
    <row r="525" spans="7:10" x14ac:dyDescent="0.25">
      <c r="G525"/>
      <c r="H525"/>
      <c r="I525"/>
      <c r="J525"/>
    </row>
    <row r="526" spans="7:10" x14ac:dyDescent="0.25">
      <c r="G526"/>
      <c r="H526"/>
      <c r="I526"/>
      <c r="J526"/>
    </row>
    <row r="527" spans="7:10" x14ac:dyDescent="0.25">
      <c r="G527"/>
      <c r="H527"/>
      <c r="I527"/>
      <c r="J527"/>
    </row>
    <row r="528" spans="7:10" x14ac:dyDescent="0.25">
      <c r="G528"/>
      <c r="H528"/>
      <c r="I528"/>
      <c r="J528"/>
    </row>
    <row r="529" spans="7:10" x14ac:dyDescent="0.25">
      <c r="G529"/>
      <c r="H529"/>
      <c r="I529"/>
      <c r="J529"/>
    </row>
    <row r="530" spans="7:10" x14ac:dyDescent="0.25">
      <c r="G530"/>
      <c r="H530"/>
      <c r="I530"/>
      <c r="J530"/>
    </row>
    <row r="531" spans="7:10" x14ac:dyDescent="0.25">
      <c r="G531"/>
      <c r="H531"/>
      <c r="I531"/>
      <c r="J531"/>
    </row>
    <row r="532" spans="7:10" x14ac:dyDescent="0.25">
      <c r="G532"/>
      <c r="H532"/>
      <c r="I532"/>
      <c r="J532"/>
    </row>
    <row r="533" spans="7:10" x14ac:dyDescent="0.25">
      <c r="G533"/>
      <c r="H533"/>
      <c r="I533"/>
      <c r="J533"/>
    </row>
    <row r="534" spans="7:10" x14ac:dyDescent="0.25">
      <c r="G534"/>
      <c r="H534"/>
      <c r="I534"/>
      <c r="J534"/>
    </row>
    <row r="535" spans="7:10" x14ac:dyDescent="0.25">
      <c r="G535"/>
      <c r="H535"/>
      <c r="I535"/>
      <c r="J535"/>
    </row>
    <row r="536" spans="7:10" x14ac:dyDescent="0.25">
      <c r="G536"/>
      <c r="H536"/>
      <c r="I536"/>
      <c r="J536"/>
    </row>
    <row r="537" spans="7:10" x14ac:dyDescent="0.25">
      <c r="G537"/>
      <c r="H537"/>
      <c r="I537"/>
      <c r="J537"/>
    </row>
    <row r="538" spans="7:10" x14ac:dyDescent="0.25">
      <c r="G538"/>
      <c r="H538"/>
      <c r="I538"/>
      <c r="J538"/>
    </row>
    <row r="539" spans="7:10" x14ac:dyDescent="0.25">
      <c r="G539"/>
      <c r="H539"/>
      <c r="I539"/>
      <c r="J539"/>
    </row>
    <row r="540" spans="7:10" x14ac:dyDescent="0.25">
      <c r="G540"/>
      <c r="H540"/>
      <c r="I540"/>
      <c r="J540"/>
    </row>
    <row r="541" spans="7:10" x14ac:dyDescent="0.25">
      <c r="G541"/>
      <c r="H541"/>
      <c r="I541"/>
      <c r="J541"/>
    </row>
    <row r="542" spans="7:10" x14ac:dyDescent="0.25">
      <c r="G542"/>
      <c r="H542"/>
      <c r="I542"/>
      <c r="J542"/>
    </row>
    <row r="543" spans="7:10" x14ac:dyDescent="0.25">
      <c r="G543"/>
      <c r="H543"/>
      <c r="I543"/>
      <c r="J543"/>
    </row>
    <row r="544" spans="7:10" x14ac:dyDescent="0.25">
      <c r="G544"/>
      <c r="H544"/>
      <c r="I544"/>
      <c r="J544"/>
    </row>
    <row r="545" spans="7:10" x14ac:dyDescent="0.25">
      <c r="G545"/>
      <c r="H545"/>
      <c r="I545"/>
      <c r="J545"/>
    </row>
    <row r="546" spans="7:10" x14ac:dyDescent="0.25">
      <c r="G546"/>
      <c r="H546"/>
      <c r="I546"/>
      <c r="J546"/>
    </row>
    <row r="547" spans="7:10" x14ac:dyDescent="0.25">
      <c r="G547"/>
      <c r="H547"/>
      <c r="I547"/>
      <c r="J547"/>
    </row>
    <row r="548" spans="7:10" x14ac:dyDescent="0.25">
      <c r="G548"/>
      <c r="H548"/>
      <c r="I548"/>
      <c r="J548"/>
    </row>
    <row r="549" spans="7:10" x14ac:dyDescent="0.25">
      <c r="G549"/>
      <c r="H549"/>
      <c r="I549"/>
      <c r="J549"/>
    </row>
    <row r="550" spans="7:10" x14ac:dyDescent="0.25">
      <c r="G550"/>
      <c r="H550"/>
      <c r="I550"/>
      <c r="J550"/>
    </row>
    <row r="551" spans="7:10" x14ac:dyDescent="0.25">
      <c r="G551"/>
      <c r="H551"/>
      <c r="I551"/>
      <c r="J551"/>
    </row>
    <row r="552" spans="7:10" x14ac:dyDescent="0.25">
      <c r="G552"/>
      <c r="H552"/>
      <c r="I552"/>
      <c r="J552"/>
    </row>
    <row r="553" spans="7:10" x14ac:dyDescent="0.25">
      <c r="G553"/>
      <c r="H553"/>
      <c r="I553"/>
      <c r="J553"/>
    </row>
    <row r="554" spans="7:10" x14ac:dyDescent="0.25">
      <c r="G554"/>
      <c r="H554"/>
      <c r="I554"/>
      <c r="J554"/>
    </row>
    <row r="555" spans="7:10" x14ac:dyDescent="0.25">
      <c r="G555"/>
      <c r="H555"/>
      <c r="I555"/>
      <c r="J555"/>
    </row>
    <row r="556" spans="7:10" x14ac:dyDescent="0.25">
      <c r="G556"/>
      <c r="H556"/>
      <c r="I556"/>
      <c r="J556"/>
    </row>
    <row r="557" spans="7:10" x14ac:dyDescent="0.25">
      <c r="G557"/>
      <c r="H557"/>
      <c r="I557"/>
      <c r="J557"/>
    </row>
    <row r="558" spans="7:10" x14ac:dyDescent="0.25">
      <c r="G558"/>
      <c r="H558"/>
      <c r="I558"/>
      <c r="J558"/>
    </row>
    <row r="559" spans="7:10" x14ac:dyDescent="0.25">
      <c r="G559"/>
      <c r="H559"/>
      <c r="I559"/>
      <c r="J559"/>
    </row>
    <row r="560" spans="7:10" x14ac:dyDescent="0.25">
      <c r="G560"/>
      <c r="H560"/>
      <c r="I560"/>
      <c r="J560"/>
    </row>
    <row r="561" spans="7:10" x14ac:dyDescent="0.25">
      <c r="G561"/>
      <c r="H561"/>
      <c r="I561"/>
      <c r="J561"/>
    </row>
    <row r="562" spans="7:10" x14ac:dyDescent="0.25">
      <c r="G562"/>
      <c r="H562"/>
      <c r="I562"/>
      <c r="J562"/>
    </row>
    <row r="563" spans="7:10" x14ac:dyDescent="0.25">
      <c r="G563"/>
      <c r="H563"/>
      <c r="I563"/>
      <c r="J563"/>
    </row>
    <row r="564" spans="7:10" x14ac:dyDescent="0.25">
      <c r="G564"/>
      <c r="H564"/>
      <c r="I564"/>
      <c r="J564"/>
    </row>
    <row r="565" spans="7:10" x14ac:dyDescent="0.25">
      <c r="G565"/>
      <c r="H565"/>
      <c r="I565"/>
      <c r="J565"/>
    </row>
    <row r="566" spans="7:10" x14ac:dyDescent="0.25">
      <c r="G566"/>
      <c r="H566"/>
      <c r="I566"/>
      <c r="J566"/>
    </row>
    <row r="567" spans="7:10" x14ac:dyDescent="0.25">
      <c r="G567"/>
      <c r="H567"/>
      <c r="I567"/>
      <c r="J567"/>
    </row>
    <row r="568" spans="7:10" x14ac:dyDescent="0.25">
      <c r="G568"/>
      <c r="H568"/>
      <c r="I568"/>
      <c r="J568"/>
    </row>
    <row r="569" spans="7:10" x14ac:dyDescent="0.25">
      <c r="G569"/>
      <c r="H569"/>
      <c r="I569"/>
      <c r="J569"/>
    </row>
    <row r="570" spans="7:10" x14ac:dyDescent="0.25">
      <c r="G570"/>
      <c r="H570"/>
      <c r="I570"/>
      <c r="J570"/>
    </row>
    <row r="571" spans="7:10" x14ac:dyDescent="0.25">
      <c r="G571"/>
      <c r="H571"/>
      <c r="I571"/>
      <c r="J571"/>
    </row>
    <row r="572" spans="7:10" x14ac:dyDescent="0.25">
      <c r="G572"/>
      <c r="H572"/>
      <c r="I572"/>
      <c r="J572"/>
    </row>
    <row r="573" spans="7:10" x14ac:dyDescent="0.25">
      <c r="G573"/>
      <c r="H573"/>
      <c r="I573"/>
      <c r="J573"/>
    </row>
    <row r="574" spans="7:10" x14ac:dyDescent="0.25">
      <c r="G574"/>
      <c r="H574"/>
      <c r="I574"/>
      <c r="J574"/>
    </row>
    <row r="575" spans="7:10" x14ac:dyDescent="0.25">
      <c r="G575"/>
      <c r="H575"/>
      <c r="I575"/>
      <c r="J575"/>
    </row>
    <row r="576" spans="7:10" x14ac:dyDescent="0.25">
      <c r="G576"/>
      <c r="H576"/>
      <c r="I576"/>
      <c r="J576"/>
    </row>
    <row r="577" spans="7:10" x14ac:dyDescent="0.25">
      <c r="G577"/>
      <c r="H577"/>
      <c r="I577"/>
      <c r="J577"/>
    </row>
    <row r="578" spans="7:10" x14ac:dyDescent="0.25">
      <c r="G578"/>
      <c r="H578"/>
      <c r="I578"/>
      <c r="J578"/>
    </row>
    <row r="579" spans="7:10" x14ac:dyDescent="0.25">
      <c r="G579"/>
      <c r="H579"/>
      <c r="I579"/>
      <c r="J579"/>
    </row>
    <row r="580" spans="7:10" x14ac:dyDescent="0.25">
      <c r="G580"/>
      <c r="H580"/>
      <c r="I580"/>
      <c r="J580"/>
    </row>
    <row r="581" spans="7:10" x14ac:dyDescent="0.25">
      <c r="G581"/>
      <c r="H581"/>
      <c r="I581"/>
      <c r="J581"/>
    </row>
    <row r="582" spans="7:10" x14ac:dyDescent="0.25">
      <c r="G582"/>
      <c r="H582"/>
      <c r="I582"/>
      <c r="J582"/>
    </row>
    <row r="583" spans="7:10" x14ac:dyDescent="0.25">
      <c r="G583"/>
      <c r="H583"/>
      <c r="I583"/>
      <c r="J583"/>
    </row>
    <row r="584" spans="7:10" x14ac:dyDescent="0.25">
      <c r="G584"/>
      <c r="H584"/>
      <c r="I584"/>
      <c r="J584"/>
    </row>
    <row r="585" spans="7:10" x14ac:dyDescent="0.25">
      <c r="G585"/>
      <c r="H585"/>
      <c r="I585"/>
      <c r="J585"/>
    </row>
    <row r="586" spans="7:10" x14ac:dyDescent="0.25">
      <c r="G586"/>
      <c r="H586"/>
      <c r="I586"/>
      <c r="J586"/>
    </row>
    <row r="587" spans="7:10" x14ac:dyDescent="0.25">
      <c r="G587"/>
      <c r="H587"/>
      <c r="I587"/>
      <c r="J587"/>
    </row>
    <row r="588" spans="7:10" x14ac:dyDescent="0.25">
      <c r="G588"/>
      <c r="H588"/>
      <c r="I588"/>
      <c r="J588"/>
    </row>
    <row r="589" spans="7:10" x14ac:dyDescent="0.25">
      <c r="G589"/>
      <c r="H589"/>
      <c r="I589"/>
      <c r="J589"/>
    </row>
    <row r="590" spans="7:10" x14ac:dyDescent="0.25">
      <c r="G590"/>
      <c r="H590"/>
      <c r="I590"/>
      <c r="J590"/>
    </row>
    <row r="591" spans="7:10" x14ac:dyDescent="0.25">
      <c r="G591"/>
      <c r="H591"/>
      <c r="I591"/>
      <c r="J591"/>
    </row>
    <row r="592" spans="7:10" x14ac:dyDescent="0.25">
      <c r="G592"/>
      <c r="H592"/>
      <c r="I592"/>
      <c r="J592"/>
    </row>
    <row r="593" spans="7:10" x14ac:dyDescent="0.25">
      <c r="G593"/>
      <c r="H593"/>
      <c r="I593"/>
      <c r="J593"/>
    </row>
    <row r="594" spans="7:10" x14ac:dyDescent="0.25">
      <c r="G594"/>
      <c r="H594"/>
      <c r="I594"/>
      <c r="J594"/>
    </row>
    <row r="595" spans="7:10" x14ac:dyDescent="0.25">
      <c r="G595"/>
      <c r="H595"/>
      <c r="I595"/>
      <c r="J595"/>
    </row>
    <row r="596" spans="7:10" x14ac:dyDescent="0.25">
      <c r="G596"/>
      <c r="H596"/>
      <c r="I596"/>
      <c r="J596"/>
    </row>
    <row r="597" spans="7:10" x14ac:dyDescent="0.25">
      <c r="G597"/>
      <c r="H597"/>
      <c r="I597"/>
      <c r="J597"/>
    </row>
    <row r="598" spans="7:10" x14ac:dyDescent="0.25">
      <c r="G598"/>
      <c r="H598"/>
      <c r="I598"/>
      <c r="J598"/>
    </row>
    <row r="599" spans="7:10" x14ac:dyDescent="0.25">
      <c r="G599"/>
      <c r="H599"/>
      <c r="I599"/>
      <c r="J599"/>
    </row>
    <row r="600" spans="7:10" x14ac:dyDescent="0.25">
      <c r="G600"/>
      <c r="H600"/>
      <c r="I600"/>
      <c r="J600"/>
    </row>
    <row r="601" spans="7:10" x14ac:dyDescent="0.25">
      <c r="G601"/>
      <c r="H601"/>
      <c r="I601"/>
      <c r="J601"/>
    </row>
    <row r="602" spans="7:10" x14ac:dyDescent="0.25">
      <c r="G602"/>
      <c r="H602"/>
      <c r="I602"/>
      <c r="J602"/>
    </row>
    <row r="603" spans="7:10" x14ac:dyDescent="0.25">
      <c r="G603"/>
      <c r="H603"/>
      <c r="I603"/>
      <c r="J603"/>
    </row>
    <row r="604" spans="7:10" x14ac:dyDescent="0.25">
      <c r="G604"/>
      <c r="H604"/>
      <c r="I604"/>
      <c r="J604"/>
    </row>
    <row r="605" spans="7:10" x14ac:dyDescent="0.25">
      <c r="G605"/>
      <c r="H605"/>
      <c r="I605"/>
      <c r="J605"/>
    </row>
    <row r="606" spans="7:10" x14ac:dyDescent="0.25">
      <c r="G606"/>
      <c r="H606"/>
      <c r="I606"/>
      <c r="J606"/>
    </row>
    <row r="607" spans="7:10" x14ac:dyDescent="0.25">
      <c r="G607"/>
      <c r="H607"/>
      <c r="I607"/>
      <c r="J607"/>
    </row>
    <row r="608" spans="7:10" x14ac:dyDescent="0.25">
      <c r="G608"/>
      <c r="H608"/>
      <c r="I608"/>
      <c r="J608"/>
    </row>
    <row r="609" spans="7:10" x14ac:dyDescent="0.25">
      <c r="G609"/>
      <c r="H609"/>
      <c r="I609"/>
      <c r="J609"/>
    </row>
    <row r="610" spans="7:10" x14ac:dyDescent="0.25">
      <c r="G610"/>
      <c r="H610"/>
      <c r="I610"/>
      <c r="J610"/>
    </row>
    <row r="611" spans="7:10" x14ac:dyDescent="0.25">
      <c r="G611"/>
      <c r="H611"/>
      <c r="I611"/>
      <c r="J611"/>
    </row>
    <row r="612" spans="7:10" x14ac:dyDescent="0.25">
      <c r="G612"/>
      <c r="H612"/>
      <c r="I612"/>
      <c r="J612"/>
    </row>
    <row r="613" spans="7:10" x14ac:dyDescent="0.25">
      <c r="G613"/>
      <c r="H613"/>
      <c r="I613"/>
      <c r="J613"/>
    </row>
    <row r="614" spans="7:10" x14ac:dyDescent="0.25">
      <c r="G614"/>
      <c r="H614"/>
      <c r="I614"/>
      <c r="J614"/>
    </row>
    <row r="615" spans="7:10" x14ac:dyDescent="0.25">
      <c r="G615"/>
      <c r="H615"/>
      <c r="I615"/>
      <c r="J615"/>
    </row>
    <row r="616" spans="7:10" x14ac:dyDescent="0.25">
      <c r="G616"/>
      <c r="H616"/>
      <c r="I616"/>
      <c r="J616"/>
    </row>
    <row r="617" spans="7:10" x14ac:dyDescent="0.25">
      <c r="G617"/>
      <c r="H617"/>
      <c r="I617"/>
      <c r="J617"/>
    </row>
    <row r="618" spans="7:10" x14ac:dyDescent="0.25">
      <c r="G618"/>
      <c r="H618"/>
      <c r="I618"/>
      <c r="J618"/>
    </row>
    <row r="619" spans="7:10" x14ac:dyDescent="0.25">
      <c r="G619"/>
      <c r="H619"/>
      <c r="I619"/>
      <c r="J619"/>
    </row>
    <row r="620" spans="7:10" x14ac:dyDescent="0.25">
      <c r="G620"/>
      <c r="H620"/>
      <c r="I620"/>
      <c r="J620"/>
    </row>
    <row r="621" spans="7:10" x14ac:dyDescent="0.25">
      <c r="G621"/>
      <c r="H621"/>
      <c r="I621"/>
      <c r="J621"/>
    </row>
    <row r="622" spans="7:10" x14ac:dyDescent="0.25">
      <c r="G622"/>
      <c r="H622"/>
      <c r="I622"/>
      <c r="J622"/>
    </row>
    <row r="623" spans="7:10" x14ac:dyDescent="0.25">
      <c r="G623"/>
      <c r="H623"/>
      <c r="I623"/>
      <c r="J623"/>
    </row>
    <row r="624" spans="7:10" x14ac:dyDescent="0.25">
      <c r="G624"/>
      <c r="H624"/>
      <c r="I624"/>
      <c r="J624"/>
    </row>
    <row r="625" spans="7:10" x14ac:dyDescent="0.25">
      <c r="G625"/>
      <c r="H625"/>
      <c r="I625"/>
      <c r="J625"/>
    </row>
    <row r="626" spans="7:10" x14ac:dyDescent="0.25">
      <c r="G626"/>
      <c r="H626"/>
      <c r="I626"/>
      <c r="J626"/>
    </row>
    <row r="627" spans="7:10" x14ac:dyDescent="0.25">
      <c r="G627"/>
      <c r="H627"/>
      <c r="I627"/>
      <c r="J627"/>
    </row>
    <row r="628" spans="7:10" x14ac:dyDescent="0.25">
      <c r="G628"/>
      <c r="H628"/>
      <c r="I628"/>
      <c r="J628"/>
    </row>
    <row r="629" spans="7:10" x14ac:dyDescent="0.25">
      <c r="G629"/>
      <c r="H629"/>
      <c r="I629"/>
      <c r="J629"/>
    </row>
    <row r="630" spans="7:10" x14ac:dyDescent="0.25">
      <c r="G630"/>
      <c r="H630"/>
      <c r="I630"/>
      <c r="J630"/>
    </row>
    <row r="631" spans="7:10" x14ac:dyDescent="0.25">
      <c r="G631"/>
      <c r="H631"/>
      <c r="I631"/>
      <c r="J631"/>
    </row>
    <row r="632" spans="7:10" x14ac:dyDescent="0.25">
      <c r="G632"/>
      <c r="H632"/>
      <c r="I632"/>
      <c r="J632"/>
    </row>
    <row r="633" spans="7:10" x14ac:dyDescent="0.25">
      <c r="G633"/>
      <c r="H633"/>
      <c r="I633"/>
      <c r="J633"/>
    </row>
    <row r="634" spans="7:10" x14ac:dyDescent="0.25">
      <c r="G634"/>
      <c r="H634"/>
      <c r="I634"/>
      <c r="J634"/>
    </row>
    <row r="635" spans="7:10" x14ac:dyDescent="0.25">
      <c r="G635"/>
      <c r="H635"/>
      <c r="I635"/>
      <c r="J635"/>
    </row>
    <row r="636" spans="7:10" x14ac:dyDescent="0.25">
      <c r="G636"/>
      <c r="H636"/>
      <c r="I636"/>
      <c r="J636"/>
    </row>
    <row r="637" spans="7:10" x14ac:dyDescent="0.25">
      <c r="G637"/>
      <c r="H637"/>
      <c r="I637"/>
      <c r="J637"/>
    </row>
    <row r="638" spans="7:10" x14ac:dyDescent="0.25">
      <c r="G638"/>
      <c r="H638"/>
      <c r="I638"/>
      <c r="J638"/>
    </row>
    <row r="639" spans="7:10" x14ac:dyDescent="0.25">
      <c r="G639"/>
      <c r="H639"/>
      <c r="I639"/>
      <c r="J639"/>
    </row>
    <row r="640" spans="7:10" x14ac:dyDescent="0.25">
      <c r="G640"/>
      <c r="H640"/>
      <c r="I640"/>
      <c r="J640"/>
    </row>
    <row r="641" spans="7:10" x14ac:dyDescent="0.25">
      <c r="G641"/>
      <c r="H641"/>
      <c r="I641"/>
      <c r="J641"/>
    </row>
    <row r="642" spans="7:10" x14ac:dyDescent="0.25">
      <c r="G642"/>
      <c r="H642"/>
      <c r="I642"/>
      <c r="J642"/>
    </row>
    <row r="643" spans="7:10" x14ac:dyDescent="0.25">
      <c r="G643"/>
      <c r="H643"/>
      <c r="I643"/>
      <c r="J643"/>
    </row>
    <row r="644" spans="7:10" x14ac:dyDescent="0.25">
      <c r="G644"/>
      <c r="H644"/>
      <c r="I644"/>
      <c r="J644"/>
    </row>
    <row r="645" spans="7:10" x14ac:dyDescent="0.25">
      <c r="G645"/>
      <c r="H645"/>
      <c r="I645"/>
      <c r="J645"/>
    </row>
    <row r="646" spans="7:10" x14ac:dyDescent="0.25">
      <c r="G646"/>
      <c r="H646"/>
      <c r="I646"/>
      <c r="J646"/>
    </row>
    <row r="647" spans="7:10" x14ac:dyDescent="0.25">
      <c r="G647"/>
      <c r="H647"/>
      <c r="I647"/>
      <c r="J647"/>
    </row>
    <row r="648" spans="7:10" x14ac:dyDescent="0.25">
      <c r="G648"/>
      <c r="H648"/>
      <c r="I648"/>
      <c r="J648"/>
    </row>
    <row r="649" spans="7:10" x14ac:dyDescent="0.25">
      <c r="G649"/>
      <c r="H649"/>
      <c r="I649"/>
      <c r="J649"/>
    </row>
    <row r="650" spans="7:10" x14ac:dyDescent="0.25">
      <c r="G650"/>
      <c r="H650"/>
      <c r="I650"/>
      <c r="J650"/>
    </row>
    <row r="651" spans="7:10" x14ac:dyDescent="0.25">
      <c r="G651"/>
      <c r="H651"/>
      <c r="I651"/>
      <c r="J651"/>
    </row>
    <row r="652" spans="7:10" x14ac:dyDescent="0.25">
      <c r="G652"/>
      <c r="H652"/>
      <c r="I652"/>
      <c r="J652"/>
    </row>
    <row r="653" spans="7:10" x14ac:dyDescent="0.25">
      <c r="G653"/>
      <c r="H653"/>
      <c r="I653"/>
      <c r="J653"/>
    </row>
    <row r="654" spans="7:10" x14ac:dyDescent="0.25">
      <c r="G654"/>
      <c r="H654"/>
      <c r="I654"/>
      <c r="J654"/>
    </row>
    <row r="655" spans="7:10" x14ac:dyDescent="0.25">
      <c r="G655"/>
      <c r="H655"/>
      <c r="I655"/>
      <c r="J655"/>
    </row>
    <row r="656" spans="7:10" x14ac:dyDescent="0.25">
      <c r="G656"/>
      <c r="H656"/>
      <c r="I656"/>
      <c r="J656"/>
    </row>
    <row r="657" spans="7:10" x14ac:dyDescent="0.25">
      <c r="G657"/>
      <c r="H657"/>
      <c r="I657"/>
      <c r="J657"/>
    </row>
    <row r="658" spans="7:10" x14ac:dyDescent="0.25">
      <c r="G658"/>
      <c r="H658"/>
      <c r="I658"/>
      <c r="J658"/>
    </row>
    <row r="659" spans="7:10" x14ac:dyDescent="0.25">
      <c r="G659"/>
      <c r="H659"/>
      <c r="I659"/>
      <c r="J659"/>
    </row>
    <row r="660" spans="7:10" x14ac:dyDescent="0.25">
      <c r="G660"/>
      <c r="H660"/>
      <c r="I660"/>
      <c r="J660"/>
    </row>
    <row r="661" spans="7:10" x14ac:dyDescent="0.25">
      <c r="G661"/>
      <c r="H661"/>
      <c r="I661"/>
      <c r="J661"/>
    </row>
    <row r="662" spans="7:10" x14ac:dyDescent="0.25">
      <c r="G662"/>
      <c r="H662"/>
      <c r="I662"/>
      <c r="J662"/>
    </row>
    <row r="663" spans="7:10" x14ac:dyDescent="0.25">
      <c r="G663"/>
      <c r="H663"/>
      <c r="I663"/>
      <c r="J663"/>
    </row>
    <row r="664" spans="7:10" x14ac:dyDescent="0.25">
      <c r="G664"/>
      <c r="H664"/>
      <c r="I664"/>
      <c r="J664"/>
    </row>
    <row r="665" spans="7:10" x14ac:dyDescent="0.25">
      <c r="G665"/>
      <c r="H665"/>
      <c r="I665"/>
      <c r="J665"/>
    </row>
    <row r="666" spans="7:10" x14ac:dyDescent="0.25">
      <c r="G666"/>
      <c r="H666"/>
      <c r="I666"/>
      <c r="J666"/>
    </row>
    <row r="667" spans="7:10" x14ac:dyDescent="0.25">
      <c r="G667"/>
      <c r="H667"/>
      <c r="I667"/>
      <c r="J667"/>
    </row>
    <row r="668" spans="7:10" x14ac:dyDescent="0.25">
      <c r="G668"/>
      <c r="H668"/>
      <c r="I668"/>
      <c r="J668"/>
    </row>
    <row r="669" spans="7:10" x14ac:dyDescent="0.25">
      <c r="G669"/>
      <c r="H669"/>
      <c r="I669"/>
      <c r="J669"/>
    </row>
    <row r="670" spans="7:10" x14ac:dyDescent="0.25">
      <c r="G670"/>
      <c r="H670"/>
      <c r="I670"/>
      <c r="J670"/>
    </row>
    <row r="671" spans="7:10" x14ac:dyDescent="0.25">
      <c r="G671"/>
      <c r="H671"/>
      <c r="I671"/>
      <c r="J671"/>
    </row>
    <row r="672" spans="7:10" x14ac:dyDescent="0.25">
      <c r="G672"/>
      <c r="H672"/>
      <c r="I672"/>
      <c r="J672"/>
    </row>
    <row r="673" spans="7:10" x14ac:dyDescent="0.25">
      <c r="G673"/>
      <c r="H673"/>
      <c r="I673"/>
      <c r="J673"/>
    </row>
    <row r="674" spans="7:10" x14ac:dyDescent="0.25">
      <c r="G674"/>
      <c r="H674"/>
      <c r="I674"/>
      <c r="J674"/>
    </row>
    <row r="675" spans="7:10" x14ac:dyDescent="0.25">
      <c r="G675"/>
      <c r="H675"/>
      <c r="I675"/>
      <c r="J675"/>
    </row>
    <row r="676" spans="7:10" x14ac:dyDescent="0.25">
      <c r="G676"/>
      <c r="H676"/>
      <c r="I676"/>
      <c r="J676"/>
    </row>
    <row r="677" spans="7:10" x14ac:dyDescent="0.25">
      <c r="G677"/>
      <c r="H677"/>
      <c r="I677"/>
      <c r="J677"/>
    </row>
    <row r="678" spans="7:10" x14ac:dyDescent="0.25">
      <c r="G678"/>
      <c r="H678"/>
      <c r="I678"/>
      <c r="J678"/>
    </row>
    <row r="679" spans="7:10" x14ac:dyDescent="0.25">
      <c r="G679"/>
      <c r="H679"/>
      <c r="I679"/>
      <c r="J679"/>
    </row>
    <row r="680" spans="7:10" x14ac:dyDescent="0.25">
      <c r="G680"/>
      <c r="H680"/>
      <c r="I680"/>
      <c r="J680"/>
    </row>
    <row r="681" spans="7:10" x14ac:dyDescent="0.25">
      <c r="G681"/>
      <c r="H681"/>
      <c r="I681"/>
      <c r="J681"/>
    </row>
    <row r="682" spans="7:10" x14ac:dyDescent="0.25">
      <c r="G682"/>
      <c r="H682"/>
      <c r="I682"/>
      <c r="J682"/>
    </row>
    <row r="683" spans="7:10" x14ac:dyDescent="0.25">
      <c r="G683"/>
      <c r="H683"/>
      <c r="I683"/>
      <c r="J683"/>
    </row>
    <row r="684" spans="7:10" x14ac:dyDescent="0.25">
      <c r="G684"/>
      <c r="H684"/>
      <c r="I684"/>
      <c r="J684"/>
    </row>
    <row r="685" spans="7:10" x14ac:dyDescent="0.25">
      <c r="G685"/>
      <c r="H685"/>
      <c r="I685"/>
      <c r="J685"/>
    </row>
    <row r="686" spans="7:10" x14ac:dyDescent="0.25">
      <c r="G686"/>
      <c r="H686"/>
      <c r="I686"/>
      <c r="J686"/>
    </row>
    <row r="687" spans="7:10" x14ac:dyDescent="0.25">
      <c r="G687"/>
      <c r="H687"/>
      <c r="I687"/>
      <c r="J687"/>
    </row>
    <row r="688" spans="7:10" x14ac:dyDescent="0.25">
      <c r="G688"/>
      <c r="H688"/>
      <c r="I688"/>
      <c r="J688"/>
    </row>
    <row r="689" spans="7:10" x14ac:dyDescent="0.25">
      <c r="G689"/>
      <c r="H689"/>
      <c r="I689"/>
      <c r="J689"/>
    </row>
    <row r="690" spans="7:10" x14ac:dyDescent="0.25">
      <c r="G690"/>
      <c r="H690"/>
      <c r="I690"/>
      <c r="J690"/>
    </row>
    <row r="691" spans="7:10" x14ac:dyDescent="0.25">
      <c r="G691"/>
      <c r="H691"/>
      <c r="I691"/>
      <c r="J691"/>
    </row>
    <row r="692" spans="7:10" x14ac:dyDescent="0.25">
      <c r="G692"/>
      <c r="H692"/>
      <c r="I692"/>
      <c r="J692"/>
    </row>
    <row r="693" spans="7:10" x14ac:dyDescent="0.25">
      <c r="G693"/>
      <c r="H693"/>
      <c r="I693"/>
      <c r="J693"/>
    </row>
    <row r="694" spans="7:10" x14ac:dyDescent="0.25">
      <c r="G694"/>
      <c r="H694"/>
      <c r="I694"/>
      <c r="J694"/>
    </row>
    <row r="695" spans="7:10" x14ac:dyDescent="0.25">
      <c r="G695"/>
      <c r="H695"/>
      <c r="I695"/>
      <c r="J695"/>
    </row>
    <row r="696" spans="7:10" x14ac:dyDescent="0.25">
      <c r="G696"/>
      <c r="H696"/>
      <c r="I696"/>
      <c r="J696"/>
    </row>
    <row r="697" spans="7:10" x14ac:dyDescent="0.25">
      <c r="G697"/>
      <c r="H697"/>
      <c r="I697"/>
      <c r="J697"/>
    </row>
    <row r="698" spans="7:10" x14ac:dyDescent="0.25">
      <c r="G698"/>
      <c r="H698"/>
      <c r="I698"/>
      <c r="J698"/>
    </row>
    <row r="699" spans="7:10" x14ac:dyDescent="0.25">
      <c r="G699"/>
      <c r="H699"/>
      <c r="I699"/>
      <c r="J699"/>
    </row>
    <row r="700" spans="7:10" x14ac:dyDescent="0.25">
      <c r="G700"/>
      <c r="H700"/>
      <c r="I700"/>
      <c r="J700"/>
    </row>
    <row r="701" spans="7:10" x14ac:dyDescent="0.25">
      <c r="G701"/>
      <c r="H701"/>
      <c r="I701"/>
      <c r="J701"/>
    </row>
    <row r="702" spans="7:10" x14ac:dyDescent="0.25">
      <c r="G702"/>
      <c r="H702"/>
      <c r="I702"/>
      <c r="J702"/>
    </row>
    <row r="703" spans="7:10" x14ac:dyDescent="0.25">
      <c r="G703"/>
      <c r="H703"/>
      <c r="I703"/>
      <c r="J703"/>
    </row>
    <row r="704" spans="7:10" x14ac:dyDescent="0.25">
      <c r="G704"/>
      <c r="H704"/>
      <c r="I704"/>
      <c r="J704"/>
    </row>
    <row r="705" spans="7:10" x14ac:dyDescent="0.25">
      <c r="G705"/>
      <c r="H705"/>
      <c r="I705"/>
      <c r="J705"/>
    </row>
    <row r="706" spans="7:10" x14ac:dyDescent="0.25">
      <c r="G706"/>
      <c r="H706"/>
      <c r="I706"/>
      <c r="J706"/>
    </row>
    <row r="707" spans="7:10" x14ac:dyDescent="0.25">
      <c r="G707"/>
      <c r="H707"/>
      <c r="I707"/>
      <c r="J707"/>
    </row>
    <row r="708" spans="7:10" x14ac:dyDescent="0.25">
      <c r="G708"/>
      <c r="H708"/>
      <c r="I708"/>
      <c r="J708"/>
    </row>
    <row r="709" spans="7:10" x14ac:dyDescent="0.25">
      <c r="G709"/>
      <c r="H709"/>
      <c r="I709"/>
      <c r="J709"/>
    </row>
    <row r="710" spans="7:10" x14ac:dyDescent="0.25">
      <c r="G710"/>
      <c r="H710"/>
      <c r="I710"/>
      <c r="J710"/>
    </row>
    <row r="711" spans="7:10" x14ac:dyDescent="0.25">
      <c r="G711"/>
      <c r="H711"/>
      <c r="I711"/>
      <c r="J711"/>
    </row>
    <row r="712" spans="7:10" x14ac:dyDescent="0.25">
      <c r="G712"/>
      <c r="H712"/>
      <c r="I712"/>
      <c r="J712"/>
    </row>
    <row r="713" spans="7:10" x14ac:dyDescent="0.25">
      <c r="G713"/>
      <c r="H713"/>
      <c r="I713"/>
      <c r="J713"/>
    </row>
    <row r="714" spans="7:10" x14ac:dyDescent="0.25">
      <c r="G714"/>
      <c r="H714"/>
      <c r="I714"/>
      <c r="J714"/>
    </row>
    <row r="715" spans="7:10" x14ac:dyDescent="0.25">
      <c r="G715"/>
      <c r="H715"/>
      <c r="I715"/>
      <c r="J715"/>
    </row>
    <row r="716" spans="7:10" x14ac:dyDescent="0.25">
      <c r="G716"/>
      <c r="H716"/>
      <c r="I716"/>
      <c r="J716"/>
    </row>
    <row r="717" spans="7:10" x14ac:dyDescent="0.25">
      <c r="G717"/>
      <c r="H717"/>
      <c r="I717"/>
      <c r="J717"/>
    </row>
    <row r="718" spans="7:10" x14ac:dyDescent="0.25">
      <c r="G718"/>
      <c r="H718"/>
      <c r="I718"/>
      <c r="J718"/>
    </row>
    <row r="719" spans="7:10" x14ac:dyDescent="0.25">
      <c r="G719"/>
      <c r="H719"/>
      <c r="I719"/>
      <c r="J719"/>
    </row>
    <row r="720" spans="7:10" x14ac:dyDescent="0.25">
      <c r="G720"/>
      <c r="H720"/>
      <c r="I720"/>
      <c r="J720"/>
    </row>
    <row r="721" spans="7:10" x14ac:dyDescent="0.25">
      <c r="G721"/>
      <c r="H721"/>
      <c r="I721"/>
      <c r="J721"/>
    </row>
    <row r="722" spans="7:10" x14ac:dyDescent="0.25">
      <c r="G722"/>
      <c r="H722"/>
      <c r="I722"/>
      <c r="J722"/>
    </row>
    <row r="723" spans="7:10" x14ac:dyDescent="0.25">
      <c r="G723"/>
      <c r="H723"/>
      <c r="I723"/>
      <c r="J723"/>
    </row>
    <row r="724" spans="7:10" x14ac:dyDescent="0.25">
      <c r="G724"/>
      <c r="H724"/>
      <c r="I724"/>
      <c r="J724"/>
    </row>
    <row r="725" spans="7:10" x14ac:dyDescent="0.25">
      <c r="G725"/>
      <c r="H725"/>
      <c r="I725"/>
      <c r="J725"/>
    </row>
    <row r="726" spans="7:10" x14ac:dyDescent="0.25">
      <c r="G726"/>
      <c r="H726"/>
      <c r="I726"/>
      <c r="J726"/>
    </row>
    <row r="727" spans="7:10" x14ac:dyDescent="0.25">
      <c r="G727"/>
      <c r="H727"/>
      <c r="I727"/>
      <c r="J727"/>
    </row>
    <row r="728" spans="7:10" x14ac:dyDescent="0.25">
      <c r="G728"/>
      <c r="H728"/>
      <c r="I728"/>
      <c r="J728"/>
    </row>
    <row r="729" spans="7:10" x14ac:dyDescent="0.25">
      <c r="G729"/>
      <c r="H729"/>
      <c r="I729"/>
      <c r="J729"/>
    </row>
    <row r="730" spans="7:10" x14ac:dyDescent="0.25">
      <c r="G730"/>
      <c r="H730"/>
      <c r="I730"/>
      <c r="J730"/>
    </row>
    <row r="731" spans="7:10" x14ac:dyDescent="0.25">
      <c r="G731"/>
      <c r="H731"/>
      <c r="I731"/>
      <c r="J731"/>
    </row>
    <row r="732" spans="7:10" x14ac:dyDescent="0.25">
      <c r="G732"/>
      <c r="H732"/>
      <c r="I732"/>
      <c r="J732"/>
    </row>
    <row r="733" spans="7:10" x14ac:dyDescent="0.25">
      <c r="G733"/>
      <c r="H733"/>
      <c r="I733"/>
      <c r="J733"/>
    </row>
    <row r="734" spans="7:10" x14ac:dyDescent="0.25">
      <c r="G734"/>
      <c r="H734"/>
      <c r="I734"/>
      <c r="J734"/>
    </row>
    <row r="735" spans="7:10" x14ac:dyDescent="0.25">
      <c r="G735"/>
      <c r="H735"/>
      <c r="I735"/>
      <c r="J735"/>
    </row>
    <row r="736" spans="7:10" x14ac:dyDescent="0.25">
      <c r="G736"/>
      <c r="H736"/>
      <c r="I736"/>
      <c r="J736"/>
    </row>
    <row r="737" spans="7:10" x14ac:dyDescent="0.25">
      <c r="G737"/>
      <c r="H737"/>
      <c r="I737"/>
      <c r="J737"/>
    </row>
    <row r="738" spans="7:10" x14ac:dyDescent="0.25">
      <c r="G738"/>
      <c r="H738"/>
      <c r="I738"/>
      <c r="J738"/>
    </row>
    <row r="739" spans="7:10" x14ac:dyDescent="0.25">
      <c r="G739"/>
      <c r="H739"/>
      <c r="I739"/>
      <c r="J739"/>
    </row>
    <row r="740" spans="7:10" x14ac:dyDescent="0.25">
      <c r="G740"/>
      <c r="H740"/>
      <c r="I740"/>
      <c r="J740"/>
    </row>
    <row r="741" spans="7:10" x14ac:dyDescent="0.25">
      <c r="G741"/>
      <c r="H741"/>
      <c r="I741"/>
      <c r="J741"/>
    </row>
    <row r="742" spans="7:10" x14ac:dyDescent="0.25">
      <c r="G742"/>
      <c r="H742"/>
      <c r="I742"/>
      <c r="J742"/>
    </row>
    <row r="743" spans="7:10" x14ac:dyDescent="0.25">
      <c r="G743"/>
      <c r="H743"/>
      <c r="I743"/>
      <c r="J743"/>
    </row>
    <row r="744" spans="7:10" x14ac:dyDescent="0.25">
      <c r="G744"/>
      <c r="H744"/>
      <c r="I744"/>
      <c r="J744"/>
    </row>
    <row r="745" spans="7:10" x14ac:dyDescent="0.25">
      <c r="G745"/>
      <c r="H745"/>
      <c r="I745"/>
      <c r="J745"/>
    </row>
    <row r="746" spans="7:10" x14ac:dyDescent="0.25">
      <c r="G746"/>
      <c r="H746"/>
      <c r="I746"/>
      <c r="J746"/>
    </row>
    <row r="747" spans="7:10" x14ac:dyDescent="0.25">
      <c r="G747"/>
      <c r="H747"/>
      <c r="I747"/>
      <c r="J747"/>
    </row>
    <row r="748" spans="7:10" x14ac:dyDescent="0.25">
      <c r="G748"/>
      <c r="H748"/>
      <c r="I748"/>
      <c r="J748"/>
    </row>
    <row r="749" spans="7:10" x14ac:dyDescent="0.25">
      <c r="G749"/>
      <c r="H749"/>
      <c r="I749"/>
      <c r="J749"/>
    </row>
    <row r="750" spans="7:10" x14ac:dyDescent="0.25">
      <c r="G750"/>
      <c r="H750"/>
      <c r="I750"/>
      <c r="J750"/>
    </row>
    <row r="751" spans="7:10" x14ac:dyDescent="0.25">
      <c r="G751"/>
      <c r="H751"/>
      <c r="I751"/>
      <c r="J751"/>
    </row>
    <row r="752" spans="7:10" x14ac:dyDescent="0.25">
      <c r="G752"/>
      <c r="H752"/>
      <c r="I752"/>
      <c r="J752"/>
    </row>
    <row r="753" spans="7:10" x14ac:dyDescent="0.25">
      <c r="G753"/>
      <c r="H753"/>
      <c r="I753"/>
      <c r="J753"/>
    </row>
    <row r="754" spans="7:10" x14ac:dyDescent="0.25">
      <c r="G754"/>
      <c r="H754"/>
      <c r="I754"/>
      <c r="J754"/>
    </row>
    <row r="755" spans="7:10" x14ac:dyDescent="0.25">
      <c r="G755"/>
      <c r="H755"/>
      <c r="I755"/>
      <c r="J755"/>
    </row>
    <row r="756" spans="7:10" x14ac:dyDescent="0.25">
      <c r="G756"/>
      <c r="H756"/>
      <c r="I756"/>
      <c r="J756"/>
    </row>
    <row r="757" spans="7:10" x14ac:dyDescent="0.25">
      <c r="G757"/>
      <c r="H757"/>
      <c r="I757"/>
      <c r="J757"/>
    </row>
    <row r="758" spans="7:10" x14ac:dyDescent="0.25">
      <c r="G758"/>
      <c r="H758"/>
      <c r="I758"/>
      <c r="J758"/>
    </row>
    <row r="759" spans="7:10" x14ac:dyDescent="0.25">
      <c r="G759"/>
      <c r="H759"/>
      <c r="I759"/>
      <c r="J759"/>
    </row>
    <row r="760" spans="7:10" x14ac:dyDescent="0.25">
      <c r="G760"/>
      <c r="H760"/>
      <c r="I760"/>
      <c r="J760"/>
    </row>
    <row r="761" spans="7:10" x14ac:dyDescent="0.25">
      <c r="G761"/>
      <c r="H761"/>
      <c r="I761"/>
      <c r="J761"/>
    </row>
    <row r="762" spans="7:10" x14ac:dyDescent="0.25">
      <c r="G762"/>
      <c r="H762"/>
      <c r="I762"/>
      <c r="J762"/>
    </row>
    <row r="763" spans="7:10" x14ac:dyDescent="0.25">
      <c r="G763"/>
      <c r="H763"/>
      <c r="I763"/>
      <c r="J763"/>
    </row>
    <row r="764" spans="7:10" x14ac:dyDescent="0.25">
      <c r="G764"/>
      <c r="H764"/>
      <c r="I764"/>
      <c r="J764"/>
    </row>
    <row r="765" spans="7:10" x14ac:dyDescent="0.25">
      <c r="G765"/>
      <c r="H765"/>
      <c r="I765"/>
      <c r="J765"/>
    </row>
    <row r="766" spans="7:10" x14ac:dyDescent="0.25">
      <c r="G766"/>
      <c r="H766"/>
      <c r="I766"/>
      <c r="J766"/>
    </row>
    <row r="767" spans="7:10" x14ac:dyDescent="0.25">
      <c r="G767"/>
      <c r="H767"/>
      <c r="I767"/>
      <c r="J767"/>
    </row>
    <row r="768" spans="7:10" x14ac:dyDescent="0.25">
      <c r="G768"/>
      <c r="H768"/>
      <c r="I768"/>
      <c r="J768"/>
    </row>
    <row r="769" spans="7:10" x14ac:dyDescent="0.25">
      <c r="G769"/>
      <c r="H769"/>
      <c r="I769"/>
      <c r="J769"/>
    </row>
    <row r="770" spans="7:10" x14ac:dyDescent="0.25">
      <c r="G770"/>
      <c r="H770"/>
      <c r="I770"/>
      <c r="J770"/>
    </row>
    <row r="771" spans="7:10" x14ac:dyDescent="0.25">
      <c r="G771"/>
      <c r="H771"/>
      <c r="I771"/>
      <c r="J771"/>
    </row>
    <row r="772" spans="7:10" x14ac:dyDescent="0.25">
      <c r="G772"/>
      <c r="H772"/>
      <c r="I772"/>
      <c r="J772"/>
    </row>
    <row r="773" spans="7:10" x14ac:dyDescent="0.25">
      <c r="G773"/>
      <c r="H773"/>
      <c r="I773"/>
      <c r="J773"/>
    </row>
    <row r="774" spans="7:10" x14ac:dyDescent="0.25">
      <c r="G774"/>
      <c r="H774"/>
      <c r="I774"/>
      <c r="J774"/>
    </row>
    <row r="775" spans="7:10" x14ac:dyDescent="0.25">
      <c r="G775"/>
      <c r="H775"/>
      <c r="I775"/>
      <c r="J775"/>
    </row>
    <row r="776" spans="7:10" x14ac:dyDescent="0.25">
      <c r="G776"/>
      <c r="H776"/>
      <c r="I776"/>
      <c r="J776"/>
    </row>
    <row r="777" spans="7:10" x14ac:dyDescent="0.25">
      <c r="G777"/>
      <c r="H777"/>
      <c r="I777"/>
      <c r="J777"/>
    </row>
    <row r="778" spans="7:10" x14ac:dyDescent="0.25">
      <c r="G778"/>
      <c r="H778"/>
      <c r="I778"/>
      <c r="J778"/>
    </row>
    <row r="779" spans="7:10" x14ac:dyDescent="0.25">
      <c r="G779"/>
      <c r="H779"/>
      <c r="I779"/>
      <c r="J779"/>
    </row>
    <row r="780" spans="7:10" x14ac:dyDescent="0.25">
      <c r="G780"/>
      <c r="H780"/>
      <c r="I780"/>
      <c r="J780"/>
    </row>
    <row r="781" spans="7:10" x14ac:dyDescent="0.25">
      <c r="G781"/>
      <c r="H781"/>
      <c r="I781"/>
      <c r="J781"/>
    </row>
    <row r="782" spans="7:10" x14ac:dyDescent="0.25">
      <c r="G782"/>
      <c r="H782"/>
      <c r="I782"/>
      <c r="J782"/>
    </row>
    <row r="783" spans="7:10" x14ac:dyDescent="0.25">
      <c r="G783"/>
      <c r="H783"/>
      <c r="I783"/>
      <c r="J783"/>
    </row>
    <row r="784" spans="7:10" x14ac:dyDescent="0.25">
      <c r="G784"/>
      <c r="H784"/>
      <c r="I784"/>
      <c r="J784"/>
    </row>
    <row r="785" spans="7:10" x14ac:dyDescent="0.25">
      <c r="G785"/>
      <c r="H785"/>
      <c r="I785"/>
      <c r="J785"/>
    </row>
    <row r="786" spans="7:10" x14ac:dyDescent="0.25">
      <c r="G786"/>
      <c r="H786"/>
      <c r="I786"/>
      <c r="J786"/>
    </row>
    <row r="787" spans="7:10" x14ac:dyDescent="0.25">
      <c r="G787"/>
      <c r="H787"/>
      <c r="I787"/>
      <c r="J787"/>
    </row>
    <row r="788" spans="7:10" x14ac:dyDescent="0.25">
      <c r="G788"/>
      <c r="H788"/>
      <c r="I788"/>
      <c r="J788"/>
    </row>
    <row r="789" spans="7:10" x14ac:dyDescent="0.25">
      <c r="G789"/>
      <c r="H789"/>
      <c r="I789"/>
      <c r="J789"/>
    </row>
    <row r="790" spans="7:10" x14ac:dyDescent="0.25">
      <c r="G790"/>
      <c r="H790"/>
      <c r="I790"/>
      <c r="J790"/>
    </row>
    <row r="791" spans="7:10" x14ac:dyDescent="0.25">
      <c r="G791"/>
      <c r="H791"/>
      <c r="I791"/>
      <c r="J791"/>
    </row>
    <row r="792" spans="7:10" x14ac:dyDescent="0.25">
      <c r="G792"/>
      <c r="H792"/>
      <c r="I792"/>
      <c r="J792"/>
    </row>
    <row r="793" spans="7:10" x14ac:dyDescent="0.25">
      <c r="G793"/>
      <c r="H793"/>
      <c r="I793"/>
      <c r="J793"/>
    </row>
    <row r="794" spans="7:10" x14ac:dyDescent="0.25">
      <c r="G794"/>
      <c r="H794"/>
      <c r="I794"/>
      <c r="J794"/>
    </row>
    <row r="795" spans="7:10" x14ac:dyDescent="0.25">
      <c r="G795"/>
      <c r="H795"/>
      <c r="I795"/>
      <c r="J795"/>
    </row>
    <row r="796" spans="7:10" x14ac:dyDescent="0.25">
      <c r="G796"/>
      <c r="H796"/>
      <c r="I796"/>
      <c r="J796"/>
    </row>
    <row r="797" spans="7:10" x14ac:dyDescent="0.25">
      <c r="G797"/>
      <c r="H797"/>
      <c r="I797"/>
      <c r="J797"/>
    </row>
    <row r="798" spans="7:10" x14ac:dyDescent="0.25">
      <c r="G798"/>
      <c r="H798"/>
      <c r="I798"/>
      <c r="J798"/>
    </row>
    <row r="799" spans="7:10" x14ac:dyDescent="0.25">
      <c r="G799"/>
      <c r="H799"/>
      <c r="I799"/>
      <c r="J799"/>
    </row>
    <row r="800" spans="7:10" x14ac:dyDescent="0.25">
      <c r="G800"/>
      <c r="H800"/>
      <c r="I800"/>
      <c r="J800"/>
    </row>
    <row r="801" spans="7:10" x14ac:dyDescent="0.25">
      <c r="G801"/>
      <c r="H801"/>
      <c r="I801"/>
      <c r="J801"/>
    </row>
    <row r="802" spans="7:10" x14ac:dyDescent="0.25">
      <c r="G802"/>
      <c r="H802"/>
      <c r="I802"/>
      <c r="J802"/>
    </row>
    <row r="803" spans="7:10" x14ac:dyDescent="0.25">
      <c r="G803"/>
      <c r="H803"/>
      <c r="I803"/>
      <c r="J803"/>
    </row>
    <row r="804" spans="7:10" x14ac:dyDescent="0.25">
      <c r="G804"/>
      <c r="H804"/>
      <c r="I804"/>
      <c r="J804"/>
    </row>
    <row r="805" spans="7:10" x14ac:dyDescent="0.25">
      <c r="G805"/>
      <c r="H805"/>
      <c r="I805"/>
      <c r="J805"/>
    </row>
    <row r="806" spans="7:10" x14ac:dyDescent="0.25">
      <c r="G806"/>
      <c r="H806"/>
      <c r="I806"/>
      <c r="J806"/>
    </row>
    <row r="807" spans="7:10" x14ac:dyDescent="0.25">
      <c r="G807"/>
      <c r="H807"/>
      <c r="I807"/>
      <c r="J807"/>
    </row>
    <row r="808" spans="7:10" x14ac:dyDescent="0.25">
      <c r="G808"/>
      <c r="H808"/>
      <c r="I808"/>
      <c r="J808"/>
    </row>
    <row r="809" spans="7:10" x14ac:dyDescent="0.25">
      <c r="G809"/>
      <c r="H809"/>
      <c r="I809"/>
      <c r="J809"/>
    </row>
    <row r="810" spans="7:10" x14ac:dyDescent="0.25">
      <c r="G810"/>
      <c r="H810"/>
      <c r="I810"/>
      <c r="J810"/>
    </row>
    <row r="811" spans="7:10" x14ac:dyDescent="0.25">
      <c r="G811"/>
      <c r="H811"/>
      <c r="I811"/>
      <c r="J811"/>
    </row>
    <row r="812" spans="7:10" x14ac:dyDescent="0.25">
      <c r="G812"/>
      <c r="H812"/>
      <c r="I812"/>
      <c r="J812"/>
    </row>
    <row r="813" spans="7:10" x14ac:dyDescent="0.25">
      <c r="G813"/>
      <c r="H813"/>
      <c r="I813"/>
      <c r="J813"/>
    </row>
    <row r="814" spans="7:10" x14ac:dyDescent="0.25">
      <c r="G814"/>
      <c r="H814"/>
      <c r="I814"/>
      <c r="J814"/>
    </row>
    <row r="815" spans="7:10" x14ac:dyDescent="0.25">
      <c r="G815"/>
      <c r="H815"/>
      <c r="I815"/>
      <c r="J815"/>
    </row>
    <row r="816" spans="7:10" x14ac:dyDescent="0.25">
      <c r="G816"/>
      <c r="H816"/>
      <c r="I816"/>
      <c r="J816"/>
    </row>
    <row r="817" spans="7:10" x14ac:dyDescent="0.25">
      <c r="G817"/>
      <c r="H817"/>
      <c r="I817"/>
      <c r="J817"/>
    </row>
    <row r="818" spans="7:10" x14ac:dyDescent="0.25">
      <c r="G818"/>
      <c r="H818"/>
      <c r="I818"/>
      <c r="J818"/>
    </row>
    <row r="819" spans="7:10" x14ac:dyDescent="0.25">
      <c r="G819"/>
      <c r="H819"/>
      <c r="I819"/>
      <c r="J819"/>
    </row>
    <row r="820" spans="7:10" x14ac:dyDescent="0.25">
      <c r="G820"/>
      <c r="H820"/>
      <c r="I820"/>
      <c r="J820"/>
    </row>
    <row r="821" spans="7:10" x14ac:dyDescent="0.25">
      <c r="G821"/>
      <c r="H821"/>
      <c r="I821"/>
      <c r="J821"/>
    </row>
    <row r="822" spans="7:10" x14ac:dyDescent="0.25">
      <c r="G822"/>
      <c r="H822"/>
      <c r="I822"/>
      <c r="J822"/>
    </row>
    <row r="823" spans="7:10" x14ac:dyDescent="0.25">
      <c r="G823"/>
      <c r="H823"/>
      <c r="I823"/>
      <c r="J823"/>
    </row>
    <row r="824" spans="7:10" x14ac:dyDescent="0.25">
      <c r="G824"/>
      <c r="H824"/>
      <c r="I824"/>
      <c r="J824"/>
    </row>
    <row r="825" spans="7:10" x14ac:dyDescent="0.25">
      <c r="G825"/>
      <c r="H825"/>
      <c r="I825"/>
      <c r="J825"/>
    </row>
    <row r="826" spans="7:10" x14ac:dyDescent="0.25">
      <c r="G826"/>
      <c r="H826"/>
      <c r="I826"/>
      <c r="J826"/>
    </row>
    <row r="827" spans="7:10" x14ac:dyDescent="0.25">
      <c r="G827"/>
      <c r="H827"/>
      <c r="I827"/>
      <c r="J827"/>
    </row>
    <row r="828" spans="7:10" x14ac:dyDescent="0.25">
      <c r="G828"/>
      <c r="H828"/>
      <c r="I828"/>
      <c r="J828"/>
    </row>
    <row r="829" spans="7:10" x14ac:dyDescent="0.25">
      <c r="G829"/>
      <c r="H829"/>
      <c r="I829"/>
      <c r="J829"/>
    </row>
    <row r="830" spans="7:10" x14ac:dyDescent="0.25">
      <c r="G830"/>
      <c r="H830"/>
      <c r="I830"/>
      <c r="J830"/>
    </row>
    <row r="831" spans="7:10" x14ac:dyDescent="0.25">
      <c r="G831"/>
      <c r="H831"/>
      <c r="I831"/>
      <c r="J831"/>
    </row>
    <row r="832" spans="7:10" x14ac:dyDescent="0.25">
      <c r="G832"/>
      <c r="H832"/>
      <c r="I832"/>
      <c r="J832"/>
    </row>
    <row r="833" spans="7:10" x14ac:dyDescent="0.25">
      <c r="G833"/>
      <c r="H833"/>
      <c r="I833"/>
      <c r="J833"/>
    </row>
    <row r="834" spans="7:10" x14ac:dyDescent="0.25">
      <c r="G834"/>
      <c r="H834"/>
      <c r="I834"/>
      <c r="J834"/>
    </row>
    <row r="835" spans="7:10" x14ac:dyDescent="0.25">
      <c r="G835"/>
      <c r="H835"/>
      <c r="I835"/>
      <c r="J835"/>
    </row>
    <row r="836" spans="7:10" x14ac:dyDescent="0.25">
      <c r="G836"/>
      <c r="H836"/>
      <c r="I836"/>
      <c r="J836"/>
    </row>
    <row r="837" spans="7:10" x14ac:dyDescent="0.25">
      <c r="G837"/>
      <c r="H837"/>
      <c r="I837"/>
      <c r="J837"/>
    </row>
    <row r="838" spans="7:10" x14ac:dyDescent="0.25">
      <c r="G838"/>
      <c r="H838"/>
      <c r="I838"/>
      <c r="J838"/>
    </row>
    <row r="839" spans="7:10" x14ac:dyDescent="0.25">
      <c r="G839"/>
      <c r="H839"/>
      <c r="I839"/>
      <c r="J839"/>
    </row>
    <row r="840" spans="7:10" x14ac:dyDescent="0.25">
      <c r="G840"/>
      <c r="H840"/>
      <c r="I840"/>
      <c r="J840"/>
    </row>
    <row r="841" spans="7:10" x14ac:dyDescent="0.25">
      <c r="G841"/>
      <c r="H841"/>
      <c r="I841"/>
      <c r="J841"/>
    </row>
    <row r="842" spans="7:10" x14ac:dyDescent="0.25">
      <c r="G842"/>
      <c r="H842"/>
      <c r="I842"/>
      <c r="J842"/>
    </row>
    <row r="843" spans="7:10" x14ac:dyDescent="0.25">
      <c r="G843"/>
      <c r="H843"/>
      <c r="I843"/>
      <c r="J843"/>
    </row>
    <row r="844" spans="7:10" x14ac:dyDescent="0.25">
      <c r="G844"/>
      <c r="H844"/>
      <c r="I844"/>
      <c r="J844"/>
    </row>
    <row r="845" spans="7:10" x14ac:dyDescent="0.25">
      <c r="G845"/>
      <c r="H845"/>
      <c r="I845"/>
      <c r="J845"/>
    </row>
    <row r="846" spans="7:10" x14ac:dyDescent="0.25">
      <c r="G846"/>
      <c r="H846"/>
      <c r="I846"/>
      <c r="J846"/>
    </row>
    <row r="847" spans="7:10" x14ac:dyDescent="0.25">
      <c r="G847"/>
      <c r="H847"/>
      <c r="I847"/>
      <c r="J847"/>
    </row>
    <row r="848" spans="7:10" x14ac:dyDescent="0.25">
      <c r="G848"/>
      <c r="H848"/>
      <c r="I848"/>
      <c r="J848"/>
    </row>
    <row r="849" spans="7:10" x14ac:dyDescent="0.25">
      <c r="G849"/>
      <c r="H849"/>
      <c r="I849"/>
      <c r="J849"/>
    </row>
    <row r="850" spans="7:10" x14ac:dyDescent="0.25">
      <c r="G850"/>
      <c r="H850"/>
      <c r="I850"/>
      <c r="J850"/>
    </row>
    <row r="851" spans="7:10" x14ac:dyDescent="0.25">
      <c r="G851"/>
      <c r="H851"/>
      <c r="I851"/>
      <c r="J851"/>
    </row>
    <row r="852" spans="7:10" x14ac:dyDescent="0.25">
      <c r="G852"/>
      <c r="H852"/>
      <c r="I852"/>
      <c r="J852"/>
    </row>
    <row r="853" spans="7:10" x14ac:dyDescent="0.25">
      <c r="G853"/>
      <c r="H853"/>
      <c r="I853"/>
      <c r="J853"/>
    </row>
    <row r="854" spans="7:10" x14ac:dyDescent="0.25">
      <c r="G854"/>
      <c r="H854"/>
      <c r="I854"/>
      <c r="J854"/>
    </row>
    <row r="855" spans="7:10" x14ac:dyDescent="0.25">
      <c r="G855"/>
      <c r="H855"/>
      <c r="I855"/>
      <c r="J855"/>
    </row>
    <row r="856" spans="7:10" x14ac:dyDescent="0.25">
      <c r="G856"/>
      <c r="H856"/>
      <c r="I856"/>
      <c r="J856"/>
    </row>
    <row r="857" spans="7:10" x14ac:dyDescent="0.25">
      <c r="G857"/>
      <c r="H857"/>
      <c r="I857"/>
      <c r="J857"/>
    </row>
    <row r="858" spans="7:10" x14ac:dyDescent="0.25">
      <c r="G858"/>
      <c r="H858"/>
      <c r="I858"/>
      <c r="J858"/>
    </row>
    <row r="859" spans="7:10" x14ac:dyDescent="0.25">
      <c r="G859"/>
      <c r="H859"/>
      <c r="I859"/>
      <c r="J859"/>
    </row>
    <row r="860" spans="7:10" x14ac:dyDescent="0.25">
      <c r="G860"/>
      <c r="H860"/>
      <c r="I860"/>
      <c r="J860"/>
    </row>
    <row r="861" spans="7:10" x14ac:dyDescent="0.25">
      <c r="G861"/>
      <c r="H861"/>
      <c r="I861"/>
      <c r="J861"/>
    </row>
    <row r="862" spans="7:10" x14ac:dyDescent="0.25">
      <c r="G862"/>
      <c r="H862"/>
      <c r="I862"/>
      <c r="J862"/>
    </row>
    <row r="863" spans="7:10" x14ac:dyDescent="0.25">
      <c r="G863"/>
      <c r="H863"/>
      <c r="I863"/>
      <c r="J863"/>
    </row>
    <row r="864" spans="7:10" x14ac:dyDescent="0.25">
      <c r="G864"/>
      <c r="H864"/>
      <c r="I864"/>
      <c r="J864"/>
    </row>
    <row r="865" spans="7:10" x14ac:dyDescent="0.25">
      <c r="G865"/>
      <c r="H865"/>
      <c r="I865"/>
      <c r="J865"/>
    </row>
    <row r="866" spans="7:10" x14ac:dyDescent="0.25">
      <c r="G866"/>
      <c r="H866"/>
      <c r="I866"/>
      <c r="J866"/>
    </row>
    <row r="867" spans="7:10" x14ac:dyDescent="0.25">
      <c r="G867"/>
      <c r="H867"/>
      <c r="I867"/>
      <c r="J867"/>
    </row>
    <row r="868" spans="7:10" x14ac:dyDescent="0.25">
      <c r="G868"/>
      <c r="H868"/>
      <c r="I868"/>
      <c r="J868"/>
    </row>
    <row r="869" spans="7:10" x14ac:dyDescent="0.25">
      <c r="G869"/>
      <c r="H869"/>
      <c r="I869"/>
      <c r="J869"/>
    </row>
    <row r="870" spans="7:10" x14ac:dyDescent="0.25">
      <c r="G870"/>
      <c r="H870"/>
      <c r="I870"/>
      <c r="J870"/>
    </row>
    <row r="871" spans="7:10" x14ac:dyDescent="0.25">
      <c r="G871"/>
      <c r="H871"/>
      <c r="I871"/>
      <c r="J871"/>
    </row>
    <row r="872" spans="7:10" x14ac:dyDescent="0.25">
      <c r="G872"/>
      <c r="H872"/>
      <c r="I872"/>
      <c r="J872"/>
    </row>
    <row r="873" spans="7:10" x14ac:dyDescent="0.25">
      <c r="G873"/>
      <c r="H873"/>
      <c r="I873"/>
      <c r="J873"/>
    </row>
    <row r="874" spans="7:10" x14ac:dyDescent="0.25">
      <c r="G874"/>
      <c r="H874"/>
      <c r="I874"/>
      <c r="J874"/>
    </row>
    <row r="875" spans="7:10" x14ac:dyDescent="0.25">
      <c r="G875"/>
      <c r="H875"/>
      <c r="I875"/>
      <c r="J875"/>
    </row>
    <row r="876" spans="7:10" x14ac:dyDescent="0.25">
      <c r="G876"/>
      <c r="H876"/>
      <c r="I876"/>
      <c r="J876"/>
    </row>
    <row r="877" spans="7:10" x14ac:dyDescent="0.25">
      <c r="G877"/>
      <c r="H877"/>
      <c r="I877"/>
      <c r="J877"/>
    </row>
    <row r="878" spans="7:10" x14ac:dyDescent="0.25">
      <c r="G878"/>
      <c r="H878"/>
      <c r="I878"/>
      <c r="J878"/>
    </row>
    <row r="879" spans="7:10" x14ac:dyDescent="0.25">
      <c r="G879"/>
      <c r="H879"/>
      <c r="I879"/>
      <c r="J879"/>
    </row>
    <row r="880" spans="7:10" x14ac:dyDescent="0.25">
      <c r="G880"/>
      <c r="H880"/>
      <c r="I880"/>
      <c r="J880"/>
    </row>
    <row r="881" spans="7:10" x14ac:dyDescent="0.25">
      <c r="G881"/>
      <c r="H881"/>
      <c r="I881"/>
      <c r="J881"/>
    </row>
    <row r="882" spans="7:10" x14ac:dyDescent="0.25">
      <c r="G882"/>
      <c r="H882"/>
      <c r="I882"/>
      <c r="J882"/>
    </row>
    <row r="883" spans="7:10" x14ac:dyDescent="0.25">
      <c r="G883"/>
      <c r="H883"/>
      <c r="I883"/>
      <c r="J883"/>
    </row>
    <row r="884" spans="7:10" x14ac:dyDescent="0.25">
      <c r="G884"/>
      <c r="H884"/>
      <c r="I884"/>
      <c r="J884"/>
    </row>
    <row r="885" spans="7:10" x14ac:dyDescent="0.25">
      <c r="G885"/>
      <c r="H885"/>
      <c r="I885"/>
      <c r="J885"/>
    </row>
    <row r="886" spans="7:10" x14ac:dyDescent="0.25">
      <c r="G886"/>
      <c r="H886"/>
      <c r="I886"/>
      <c r="J886"/>
    </row>
    <row r="887" spans="7:10" x14ac:dyDescent="0.25">
      <c r="G887"/>
      <c r="H887"/>
      <c r="I887"/>
      <c r="J887"/>
    </row>
    <row r="888" spans="7:10" x14ac:dyDescent="0.25">
      <c r="G888"/>
      <c r="H888"/>
      <c r="I888"/>
      <c r="J888"/>
    </row>
    <row r="889" spans="7:10" x14ac:dyDescent="0.25">
      <c r="G889"/>
      <c r="H889"/>
      <c r="I889"/>
      <c r="J889"/>
    </row>
    <row r="890" spans="7:10" x14ac:dyDescent="0.25">
      <c r="G890"/>
      <c r="H890"/>
      <c r="I890"/>
      <c r="J890"/>
    </row>
    <row r="891" spans="7:10" x14ac:dyDescent="0.25">
      <c r="G891"/>
      <c r="H891"/>
      <c r="I891"/>
      <c r="J891"/>
    </row>
    <row r="892" spans="7:10" x14ac:dyDescent="0.25">
      <c r="G892"/>
      <c r="H892"/>
      <c r="I892"/>
      <c r="J892"/>
    </row>
    <row r="893" spans="7:10" x14ac:dyDescent="0.25">
      <c r="G893"/>
      <c r="H893"/>
      <c r="I893"/>
      <c r="J893"/>
    </row>
    <row r="894" spans="7:10" x14ac:dyDescent="0.25">
      <c r="G894"/>
      <c r="H894"/>
      <c r="I894"/>
      <c r="J894"/>
    </row>
    <row r="895" spans="7:10" x14ac:dyDescent="0.25">
      <c r="G895"/>
      <c r="H895"/>
      <c r="I895"/>
      <c r="J895"/>
    </row>
    <row r="896" spans="7:10" x14ac:dyDescent="0.25">
      <c r="G896"/>
      <c r="H896"/>
      <c r="I896"/>
      <c r="J896"/>
    </row>
    <row r="897" spans="7:10" x14ac:dyDescent="0.25">
      <c r="G897"/>
      <c r="H897"/>
      <c r="I897"/>
      <c r="J897"/>
    </row>
    <row r="898" spans="7:10" x14ac:dyDescent="0.25">
      <c r="G898"/>
      <c r="H898"/>
      <c r="I898"/>
      <c r="J898"/>
    </row>
    <row r="899" spans="7:10" x14ac:dyDescent="0.25">
      <c r="G899"/>
      <c r="H899"/>
      <c r="I899"/>
      <c r="J899"/>
    </row>
    <row r="900" spans="7:10" x14ac:dyDescent="0.25">
      <c r="G900"/>
      <c r="H900"/>
      <c r="I900"/>
      <c r="J900"/>
    </row>
    <row r="901" spans="7:10" x14ac:dyDescent="0.25">
      <c r="G901"/>
      <c r="H901"/>
      <c r="I901"/>
      <c r="J901"/>
    </row>
    <row r="902" spans="7:10" x14ac:dyDescent="0.25">
      <c r="G902"/>
      <c r="H902"/>
      <c r="I902"/>
      <c r="J902"/>
    </row>
    <row r="903" spans="7:10" x14ac:dyDescent="0.25">
      <c r="G903"/>
      <c r="H903"/>
      <c r="I903"/>
      <c r="J903"/>
    </row>
    <row r="904" spans="7:10" x14ac:dyDescent="0.25">
      <c r="G904"/>
      <c r="H904"/>
      <c r="I904"/>
      <c r="J904"/>
    </row>
    <row r="905" spans="7:10" x14ac:dyDescent="0.25">
      <c r="G905"/>
      <c r="H905"/>
      <c r="I905"/>
      <c r="J905"/>
    </row>
    <row r="906" spans="7:10" x14ac:dyDescent="0.25">
      <c r="G906"/>
      <c r="H906"/>
      <c r="I906"/>
      <c r="J906"/>
    </row>
    <row r="907" spans="7:10" x14ac:dyDescent="0.25">
      <c r="G907"/>
      <c r="H907"/>
      <c r="I907"/>
      <c r="J907"/>
    </row>
    <row r="908" spans="7:10" x14ac:dyDescent="0.25">
      <c r="G908"/>
      <c r="H908"/>
      <c r="I908"/>
      <c r="J908"/>
    </row>
    <row r="909" spans="7:10" x14ac:dyDescent="0.25">
      <c r="G909"/>
      <c r="H909"/>
      <c r="I909"/>
      <c r="J909"/>
    </row>
    <row r="910" spans="7:10" x14ac:dyDescent="0.25">
      <c r="G910"/>
      <c r="H910"/>
      <c r="I910"/>
      <c r="J910"/>
    </row>
    <row r="911" spans="7:10" x14ac:dyDescent="0.25">
      <c r="G911"/>
      <c r="H911"/>
      <c r="I911"/>
      <c r="J911"/>
    </row>
    <row r="912" spans="7:10" x14ac:dyDescent="0.25">
      <c r="G912"/>
      <c r="H912"/>
      <c r="I912"/>
      <c r="J912"/>
    </row>
    <row r="913" spans="7:10" x14ac:dyDescent="0.25">
      <c r="G913"/>
      <c r="H913"/>
      <c r="I913"/>
      <c r="J913"/>
    </row>
    <row r="914" spans="7:10" x14ac:dyDescent="0.25">
      <c r="G914"/>
      <c r="H914"/>
      <c r="I914"/>
      <c r="J914"/>
    </row>
    <row r="915" spans="7:10" x14ac:dyDescent="0.25">
      <c r="G915"/>
      <c r="H915"/>
      <c r="I915"/>
      <c r="J915"/>
    </row>
    <row r="916" spans="7:10" x14ac:dyDescent="0.25">
      <c r="G916"/>
      <c r="H916"/>
      <c r="I916"/>
      <c r="J916"/>
    </row>
    <row r="917" spans="7:10" x14ac:dyDescent="0.25">
      <c r="G917"/>
      <c r="H917"/>
      <c r="I917"/>
      <c r="J917"/>
    </row>
    <row r="918" spans="7:10" x14ac:dyDescent="0.25">
      <c r="G918"/>
      <c r="H918"/>
      <c r="I918"/>
      <c r="J918"/>
    </row>
    <row r="919" spans="7:10" x14ac:dyDescent="0.25">
      <c r="G919"/>
      <c r="H919"/>
      <c r="I919"/>
      <c r="J919"/>
    </row>
    <row r="920" spans="7:10" x14ac:dyDescent="0.25">
      <c r="G920"/>
      <c r="H920"/>
      <c r="I920"/>
      <c r="J920"/>
    </row>
    <row r="921" spans="7:10" x14ac:dyDescent="0.25">
      <c r="G921"/>
      <c r="H921"/>
      <c r="I921"/>
      <c r="J921"/>
    </row>
    <row r="922" spans="7:10" x14ac:dyDescent="0.25">
      <c r="G922"/>
      <c r="H922"/>
      <c r="I922"/>
      <c r="J922"/>
    </row>
    <row r="923" spans="7:10" x14ac:dyDescent="0.25">
      <c r="G923"/>
      <c r="H923"/>
      <c r="I923"/>
      <c r="J923"/>
    </row>
    <row r="924" spans="7:10" x14ac:dyDescent="0.25">
      <c r="G924"/>
      <c r="H924"/>
      <c r="I924"/>
      <c r="J924"/>
    </row>
    <row r="925" spans="7:10" x14ac:dyDescent="0.25">
      <c r="G925"/>
      <c r="H925"/>
      <c r="I925"/>
      <c r="J925"/>
    </row>
    <row r="926" spans="7:10" x14ac:dyDescent="0.25">
      <c r="G926"/>
      <c r="H926"/>
      <c r="I926"/>
      <c r="J926"/>
    </row>
    <row r="927" spans="7:10" x14ac:dyDescent="0.25">
      <c r="G927"/>
      <c r="H927"/>
      <c r="I927"/>
      <c r="J927"/>
    </row>
    <row r="928" spans="7:10" x14ac:dyDescent="0.25">
      <c r="G928"/>
      <c r="H928"/>
      <c r="I928"/>
      <c r="J928"/>
    </row>
    <row r="929" spans="7:10" x14ac:dyDescent="0.25">
      <c r="G929"/>
      <c r="H929"/>
      <c r="I929"/>
      <c r="J929"/>
    </row>
    <row r="930" spans="7:10" x14ac:dyDescent="0.25">
      <c r="G930"/>
      <c r="H930"/>
      <c r="I930"/>
      <c r="J930"/>
    </row>
    <row r="931" spans="7:10" x14ac:dyDescent="0.25">
      <c r="G931"/>
      <c r="H931"/>
      <c r="I931"/>
      <c r="J931"/>
    </row>
    <row r="932" spans="7:10" x14ac:dyDescent="0.25">
      <c r="G932"/>
      <c r="H932"/>
      <c r="I932"/>
      <c r="J932"/>
    </row>
    <row r="933" spans="7:10" x14ac:dyDescent="0.25">
      <c r="G933"/>
      <c r="H933"/>
      <c r="I933"/>
      <c r="J933"/>
    </row>
    <row r="934" spans="7:10" x14ac:dyDescent="0.25">
      <c r="G934"/>
      <c r="H934"/>
      <c r="I934"/>
      <c r="J934"/>
    </row>
    <row r="935" spans="7:10" x14ac:dyDescent="0.25">
      <c r="G935"/>
      <c r="H935"/>
      <c r="I935"/>
      <c r="J935"/>
    </row>
    <row r="936" spans="7:10" x14ac:dyDescent="0.25">
      <c r="G936"/>
      <c r="H936"/>
      <c r="I936"/>
      <c r="J936"/>
    </row>
    <row r="937" spans="7:10" x14ac:dyDescent="0.25">
      <c r="G937"/>
      <c r="H937"/>
      <c r="I937"/>
      <c r="J937"/>
    </row>
    <row r="938" spans="7:10" x14ac:dyDescent="0.25">
      <c r="G938"/>
      <c r="H938"/>
      <c r="I938"/>
      <c r="J938"/>
    </row>
    <row r="939" spans="7:10" x14ac:dyDescent="0.25">
      <c r="G939"/>
      <c r="H939"/>
      <c r="I939"/>
      <c r="J939"/>
    </row>
    <row r="940" spans="7:10" x14ac:dyDescent="0.25">
      <c r="G940"/>
      <c r="H940"/>
      <c r="I940"/>
      <c r="J940"/>
    </row>
    <row r="941" spans="7:10" x14ac:dyDescent="0.25">
      <c r="G941"/>
      <c r="H941"/>
      <c r="I941"/>
      <c r="J941"/>
    </row>
    <row r="942" spans="7:10" x14ac:dyDescent="0.25">
      <c r="G942"/>
      <c r="H942"/>
      <c r="I942"/>
      <c r="J942"/>
    </row>
    <row r="943" spans="7:10" x14ac:dyDescent="0.25">
      <c r="G943"/>
      <c r="H943"/>
      <c r="I943"/>
      <c r="J943"/>
    </row>
    <row r="944" spans="7:10" x14ac:dyDescent="0.25">
      <c r="G944"/>
      <c r="H944"/>
      <c r="I944"/>
      <c r="J944"/>
    </row>
    <row r="945" spans="7:10" x14ac:dyDescent="0.25">
      <c r="G945"/>
      <c r="H945"/>
      <c r="I945"/>
      <c r="J945"/>
    </row>
    <row r="946" spans="7:10" x14ac:dyDescent="0.25">
      <c r="G946"/>
      <c r="H946"/>
      <c r="I946"/>
      <c r="J946"/>
    </row>
    <row r="947" spans="7:10" x14ac:dyDescent="0.25">
      <c r="G947"/>
      <c r="H947"/>
      <c r="I947"/>
      <c r="J947"/>
    </row>
    <row r="948" spans="7:10" x14ac:dyDescent="0.25">
      <c r="G948"/>
      <c r="H948"/>
      <c r="I948"/>
      <c r="J948"/>
    </row>
    <row r="949" spans="7:10" x14ac:dyDescent="0.25">
      <c r="G949"/>
      <c r="H949"/>
      <c r="I949"/>
      <c r="J949"/>
    </row>
    <row r="950" spans="7:10" x14ac:dyDescent="0.25">
      <c r="G950"/>
      <c r="H950"/>
      <c r="I950"/>
      <c r="J950"/>
    </row>
    <row r="951" spans="7:10" x14ac:dyDescent="0.25">
      <c r="G951"/>
      <c r="H951"/>
      <c r="I951"/>
      <c r="J951"/>
    </row>
    <row r="952" spans="7:10" x14ac:dyDescent="0.25">
      <c r="G952"/>
      <c r="H952"/>
      <c r="I952"/>
      <c r="J952"/>
    </row>
    <row r="953" spans="7:10" x14ac:dyDescent="0.25">
      <c r="G953"/>
      <c r="H953"/>
      <c r="I953"/>
      <c r="J953"/>
    </row>
    <row r="954" spans="7:10" x14ac:dyDescent="0.25">
      <c r="G954"/>
      <c r="H954"/>
      <c r="I954"/>
      <c r="J954"/>
    </row>
    <row r="955" spans="7:10" x14ac:dyDescent="0.25">
      <c r="G955"/>
      <c r="H955"/>
      <c r="I955"/>
      <c r="J955"/>
    </row>
    <row r="956" spans="7:10" x14ac:dyDescent="0.25">
      <c r="G956"/>
      <c r="H956"/>
      <c r="I956"/>
      <c r="J956"/>
    </row>
    <row r="957" spans="7:10" x14ac:dyDescent="0.25">
      <c r="G957"/>
      <c r="H957"/>
      <c r="I957"/>
      <c r="J957"/>
    </row>
    <row r="958" spans="7:10" x14ac:dyDescent="0.25">
      <c r="G958"/>
      <c r="H958"/>
      <c r="I958"/>
      <c r="J958"/>
    </row>
    <row r="959" spans="7:10" x14ac:dyDescent="0.25">
      <c r="G959"/>
      <c r="H959"/>
      <c r="I959"/>
      <c r="J959"/>
    </row>
    <row r="960" spans="7:10" x14ac:dyDescent="0.25">
      <c r="G960"/>
      <c r="H960"/>
      <c r="I960"/>
      <c r="J960"/>
    </row>
    <row r="961" spans="7:10" x14ac:dyDescent="0.25">
      <c r="G961"/>
      <c r="H961"/>
      <c r="I961"/>
      <c r="J961"/>
    </row>
    <row r="962" spans="7:10" x14ac:dyDescent="0.25">
      <c r="G962"/>
      <c r="H962"/>
      <c r="I962"/>
      <c r="J962"/>
    </row>
    <row r="963" spans="7:10" x14ac:dyDescent="0.25">
      <c r="G963"/>
      <c r="H963"/>
      <c r="I963"/>
      <c r="J963"/>
    </row>
    <row r="964" spans="7:10" x14ac:dyDescent="0.25">
      <c r="G964"/>
      <c r="H964"/>
      <c r="I964"/>
      <c r="J964"/>
    </row>
    <row r="965" spans="7:10" x14ac:dyDescent="0.25">
      <c r="G965"/>
      <c r="H965"/>
      <c r="I965"/>
      <c r="J965"/>
    </row>
    <row r="966" spans="7:10" x14ac:dyDescent="0.25">
      <c r="G966"/>
      <c r="H966"/>
      <c r="I966"/>
      <c r="J966"/>
    </row>
    <row r="967" spans="7:10" x14ac:dyDescent="0.25">
      <c r="G967"/>
      <c r="H967"/>
      <c r="I967"/>
      <c r="J967"/>
    </row>
    <row r="968" spans="7:10" x14ac:dyDescent="0.25">
      <c r="G968"/>
      <c r="H968"/>
      <c r="I968"/>
      <c r="J968"/>
    </row>
    <row r="969" spans="7:10" x14ac:dyDescent="0.25">
      <c r="G969"/>
      <c r="H969"/>
      <c r="I969"/>
      <c r="J969"/>
    </row>
    <row r="970" spans="7:10" x14ac:dyDescent="0.25">
      <c r="G970"/>
      <c r="H970"/>
      <c r="I970"/>
      <c r="J970"/>
    </row>
    <row r="971" spans="7:10" x14ac:dyDescent="0.25">
      <c r="G971"/>
      <c r="H971"/>
      <c r="I971"/>
      <c r="J971"/>
    </row>
    <row r="972" spans="7:10" x14ac:dyDescent="0.25">
      <c r="G972"/>
      <c r="H972"/>
      <c r="I972"/>
      <c r="J972"/>
    </row>
    <row r="973" spans="7:10" x14ac:dyDescent="0.25">
      <c r="G973"/>
      <c r="H973"/>
      <c r="I973"/>
      <c r="J973"/>
    </row>
    <row r="974" spans="7:10" x14ac:dyDescent="0.25">
      <c r="G974"/>
      <c r="H974"/>
      <c r="I974"/>
      <c r="J974"/>
    </row>
    <row r="975" spans="7:10" x14ac:dyDescent="0.25">
      <c r="G975"/>
      <c r="H975"/>
      <c r="I975"/>
      <c r="J975"/>
    </row>
    <row r="976" spans="7:10" x14ac:dyDescent="0.25">
      <c r="G976"/>
      <c r="H976"/>
      <c r="I976"/>
      <c r="J976"/>
    </row>
    <row r="977" spans="7:10" x14ac:dyDescent="0.25">
      <c r="G977"/>
      <c r="H977"/>
      <c r="I977"/>
      <c r="J977"/>
    </row>
    <row r="978" spans="7:10" x14ac:dyDescent="0.25">
      <c r="G978"/>
      <c r="H978"/>
      <c r="I978"/>
      <c r="J978"/>
    </row>
    <row r="979" spans="7:10" x14ac:dyDescent="0.25">
      <c r="G979"/>
      <c r="H979"/>
      <c r="I979"/>
      <c r="J979"/>
    </row>
    <row r="980" spans="7:10" x14ac:dyDescent="0.25">
      <c r="G980"/>
      <c r="H980"/>
      <c r="I980"/>
      <c r="J980"/>
    </row>
    <row r="981" spans="7:10" x14ac:dyDescent="0.25">
      <c r="G981"/>
      <c r="H981"/>
      <c r="I981"/>
      <c r="J981"/>
    </row>
    <row r="982" spans="7:10" x14ac:dyDescent="0.25">
      <c r="G982"/>
      <c r="H982"/>
      <c r="I982"/>
      <c r="J982"/>
    </row>
    <row r="983" spans="7:10" x14ac:dyDescent="0.25">
      <c r="G983"/>
      <c r="H983"/>
      <c r="I983"/>
      <c r="J983"/>
    </row>
    <row r="984" spans="7:10" x14ac:dyDescent="0.25">
      <c r="G984"/>
      <c r="H984"/>
      <c r="I984"/>
      <c r="J984"/>
    </row>
    <row r="985" spans="7:10" x14ac:dyDescent="0.25">
      <c r="G985"/>
      <c r="H985"/>
      <c r="I985"/>
      <c r="J985"/>
    </row>
    <row r="986" spans="7:10" x14ac:dyDescent="0.25">
      <c r="G986"/>
      <c r="H986"/>
      <c r="I986"/>
      <c r="J986"/>
    </row>
    <row r="987" spans="7:10" x14ac:dyDescent="0.25">
      <c r="G987"/>
      <c r="H987"/>
      <c r="I987"/>
      <c r="J987"/>
    </row>
    <row r="988" spans="7:10" x14ac:dyDescent="0.25">
      <c r="G988"/>
      <c r="H988"/>
      <c r="I988"/>
      <c r="J988"/>
    </row>
    <row r="989" spans="7:10" x14ac:dyDescent="0.25">
      <c r="G989"/>
      <c r="H989"/>
      <c r="I989"/>
      <c r="J989"/>
    </row>
    <row r="990" spans="7:10" x14ac:dyDescent="0.25">
      <c r="G990"/>
      <c r="H990"/>
      <c r="I990"/>
      <c r="J990"/>
    </row>
    <row r="991" spans="7:10" x14ac:dyDescent="0.25">
      <c r="G991"/>
      <c r="H991"/>
      <c r="I991"/>
      <c r="J991"/>
    </row>
    <row r="992" spans="7:10" x14ac:dyDescent="0.25">
      <c r="G992"/>
      <c r="H992"/>
      <c r="I992"/>
      <c r="J992"/>
    </row>
    <row r="993" spans="7:10" x14ac:dyDescent="0.25">
      <c r="G993"/>
      <c r="H993"/>
      <c r="I993"/>
      <c r="J993"/>
    </row>
    <row r="994" spans="7:10" x14ac:dyDescent="0.25">
      <c r="G994"/>
      <c r="H994"/>
      <c r="I994"/>
      <c r="J994"/>
    </row>
    <row r="995" spans="7:10" x14ac:dyDescent="0.25">
      <c r="G995"/>
      <c r="H995"/>
      <c r="I995"/>
      <c r="J995"/>
    </row>
    <row r="996" spans="7:10" x14ac:dyDescent="0.25">
      <c r="G996"/>
      <c r="H996"/>
      <c r="I996"/>
      <c r="J996"/>
    </row>
    <row r="997" spans="7:10" x14ac:dyDescent="0.25">
      <c r="G997"/>
      <c r="H997"/>
      <c r="I997"/>
      <c r="J997"/>
    </row>
    <row r="998" spans="7:10" x14ac:dyDescent="0.25">
      <c r="G998"/>
      <c r="H998"/>
      <c r="I998"/>
      <c r="J998"/>
    </row>
    <row r="999" spans="7:10" x14ac:dyDescent="0.25">
      <c r="G999"/>
      <c r="H999"/>
      <c r="I999"/>
      <c r="J999"/>
    </row>
    <row r="1000" spans="7:10" x14ac:dyDescent="0.25">
      <c r="G1000"/>
      <c r="H1000"/>
      <c r="I1000"/>
      <c r="J1000"/>
    </row>
    <row r="1001" spans="7:10" x14ac:dyDescent="0.25">
      <c r="G1001"/>
      <c r="H1001"/>
      <c r="I1001"/>
      <c r="J1001"/>
    </row>
    <row r="1002" spans="7:10" x14ac:dyDescent="0.25">
      <c r="G1002"/>
      <c r="H1002"/>
      <c r="I1002"/>
      <c r="J1002"/>
    </row>
    <row r="1003" spans="7:10" x14ac:dyDescent="0.25">
      <c r="G1003"/>
      <c r="H1003"/>
      <c r="I1003"/>
      <c r="J1003"/>
    </row>
    <row r="1004" spans="7:10" x14ac:dyDescent="0.25">
      <c r="G1004"/>
      <c r="H1004"/>
      <c r="I1004"/>
      <c r="J1004"/>
    </row>
    <row r="1005" spans="7:10" x14ac:dyDescent="0.25">
      <c r="G1005"/>
      <c r="H1005"/>
      <c r="I1005"/>
      <c r="J1005"/>
    </row>
    <row r="1006" spans="7:10" x14ac:dyDescent="0.25">
      <c r="G1006"/>
      <c r="H1006"/>
      <c r="I1006"/>
      <c r="J1006"/>
    </row>
    <row r="1007" spans="7:10" x14ac:dyDescent="0.25">
      <c r="G1007"/>
      <c r="H1007"/>
      <c r="I1007"/>
      <c r="J1007"/>
    </row>
    <row r="1008" spans="7:10" x14ac:dyDescent="0.25">
      <c r="G1008"/>
      <c r="H1008"/>
      <c r="I1008"/>
      <c r="J1008"/>
    </row>
    <row r="1009" spans="7:10" x14ac:dyDescent="0.25">
      <c r="G1009"/>
      <c r="H1009"/>
      <c r="I1009"/>
      <c r="J1009"/>
    </row>
    <row r="1010" spans="7:10" x14ac:dyDescent="0.25">
      <c r="G1010"/>
      <c r="H1010"/>
      <c r="I1010"/>
      <c r="J1010"/>
    </row>
    <row r="1011" spans="7:10" x14ac:dyDescent="0.25">
      <c r="G1011"/>
      <c r="H1011"/>
      <c r="I1011"/>
      <c r="J1011"/>
    </row>
    <row r="1012" spans="7:10" x14ac:dyDescent="0.25">
      <c r="G1012"/>
      <c r="H1012"/>
      <c r="I1012"/>
      <c r="J1012"/>
    </row>
    <row r="1013" spans="7:10" x14ac:dyDescent="0.25">
      <c r="G1013"/>
      <c r="H1013"/>
      <c r="I1013"/>
    </row>
    <row r="1014" spans="7:10" x14ac:dyDescent="0.25">
      <c r="G1014"/>
      <c r="H1014"/>
      <c r="I1014"/>
    </row>
    <row r="1015" spans="7:10" x14ac:dyDescent="0.25">
      <c r="G1015"/>
      <c r="H1015"/>
      <c r="I1015"/>
    </row>
    <row r="1016" spans="7:10" x14ac:dyDescent="0.25">
      <c r="G1016"/>
      <c r="H1016"/>
      <c r="I1016"/>
    </row>
    <row r="1017" spans="7:10" x14ac:dyDescent="0.25">
      <c r="G1017"/>
      <c r="H1017"/>
      <c r="I1017"/>
    </row>
    <row r="1018" spans="7:10" x14ac:dyDescent="0.25">
      <c r="G1018"/>
      <c r="H1018"/>
      <c r="I1018"/>
    </row>
    <row r="1019" spans="7:10" x14ac:dyDescent="0.25">
      <c r="G1019"/>
      <c r="H1019"/>
      <c r="I1019"/>
    </row>
    <row r="1020" spans="7:10" x14ac:dyDescent="0.25">
      <c r="G1020"/>
      <c r="H1020"/>
      <c r="I1020"/>
    </row>
    <row r="1021" spans="7:10" x14ac:dyDescent="0.25">
      <c r="G1021"/>
      <c r="H1021"/>
      <c r="I1021"/>
    </row>
    <row r="1022" spans="7:10" x14ac:dyDescent="0.25">
      <c r="G1022"/>
      <c r="H1022"/>
      <c r="I1022"/>
    </row>
    <row r="1023" spans="7:10" x14ac:dyDescent="0.25">
      <c r="G1023"/>
      <c r="H1023"/>
      <c r="I1023"/>
    </row>
    <row r="1024" spans="7:10" x14ac:dyDescent="0.25">
      <c r="G1024"/>
      <c r="H1024"/>
      <c r="I1024"/>
    </row>
    <row r="1025" spans="7:9" x14ac:dyDescent="0.25">
      <c r="G1025"/>
      <c r="H1025"/>
      <c r="I1025"/>
    </row>
    <row r="1026" spans="7:9" x14ac:dyDescent="0.25">
      <c r="G1026"/>
      <c r="H1026"/>
      <c r="I1026"/>
    </row>
    <row r="1027" spans="7:9" x14ac:dyDescent="0.25">
      <c r="G1027"/>
      <c r="H1027"/>
      <c r="I1027"/>
    </row>
    <row r="1028" spans="7:9" x14ac:dyDescent="0.25">
      <c r="G1028"/>
      <c r="H1028"/>
      <c r="I1028"/>
    </row>
    <row r="1029" spans="7:9" x14ac:dyDescent="0.25">
      <c r="G1029"/>
      <c r="H1029"/>
      <c r="I1029"/>
    </row>
    <row r="1030" spans="7:9" x14ac:dyDescent="0.25">
      <c r="G1030"/>
      <c r="H1030"/>
      <c r="I1030"/>
    </row>
    <row r="1031" spans="7:9" x14ac:dyDescent="0.25">
      <c r="G1031"/>
      <c r="H1031"/>
      <c r="I1031"/>
    </row>
    <row r="1032" spans="7:9" x14ac:dyDescent="0.25">
      <c r="G1032"/>
      <c r="H1032"/>
      <c r="I1032"/>
    </row>
    <row r="1033" spans="7:9" x14ac:dyDescent="0.25">
      <c r="G1033"/>
      <c r="H1033"/>
      <c r="I1033"/>
    </row>
    <row r="1034" spans="7:9" x14ac:dyDescent="0.25">
      <c r="G1034"/>
      <c r="H1034"/>
      <c r="I1034"/>
    </row>
    <row r="1035" spans="7:9" x14ac:dyDescent="0.25">
      <c r="G1035"/>
      <c r="H1035"/>
      <c r="I1035"/>
    </row>
    <row r="1036" spans="7:9" x14ac:dyDescent="0.25">
      <c r="G1036"/>
      <c r="H1036"/>
      <c r="I1036"/>
    </row>
    <row r="1037" spans="7:9" x14ac:dyDescent="0.25">
      <c r="G1037"/>
      <c r="H1037"/>
      <c r="I1037"/>
    </row>
    <row r="1038" spans="7:9" x14ac:dyDescent="0.25">
      <c r="G1038"/>
      <c r="H1038"/>
      <c r="I1038"/>
    </row>
    <row r="1039" spans="7:9" x14ac:dyDescent="0.25">
      <c r="G1039"/>
      <c r="H1039"/>
      <c r="I1039"/>
    </row>
    <row r="1040" spans="7:9" x14ac:dyDescent="0.25">
      <c r="G1040"/>
      <c r="H1040"/>
      <c r="I1040"/>
    </row>
    <row r="1041" spans="7:9" x14ac:dyDescent="0.25">
      <c r="G1041"/>
      <c r="H1041"/>
      <c r="I1041"/>
    </row>
    <row r="1042" spans="7:9" x14ac:dyDescent="0.25">
      <c r="G1042"/>
      <c r="H1042"/>
      <c r="I1042"/>
    </row>
    <row r="1043" spans="7:9" x14ac:dyDescent="0.25">
      <c r="G1043"/>
      <c r="H1043"/>
      <c r="I1043"/>
    </row>
    <row r="1044" spans="7:9" x14ac:dyDescent="0.25">
      <c r="G1044"/>
      <c r="H1044"/>
      <c r="I1044"/>
    </row>
    <row r="1045" spans="7:9" x14ac:dyDescent="0.25">
      <c r="G1045"/>
      <c r="H1045"/>
      <c r="I1045"/>
    </row>
    <row r="1046" spans="7:9" x14ac:dyDescent="0.25">
      <c r="G1046"/>
      <c r="H1046"/>
      <c r="I1046"/>
    </row>
    <row r="1047" spans="7:9" x14ac:dyDescent="0.25">
      <c r="G1047"/>
      <c r="H1047"/>
      <c r="I1047"/>
    </row>
    <row r="1048" spans="7:9" x14ac:dyDescent="0.25">
      <c r="G1048"/>
      <c r="H1048"/>
      <c r="I1048"/>
    </row>
    <row r="1049" spans="7:9" x14ac:dyDescent="0.25">
      <c r="G1049"/>
      <c r="H1049"/>
      <c r="I1049"/>
    </row>
    <row r="1050" spans="7:9" x14ac:dyDescent="0.25">
      <c r="G1050"/>
      <c r="H1050"/>
      <c r="I1050"/>
    </row>
    <row r="1051" spans="7:9" x14ac:dyDescent="0.25">
      <c r="G1051"/>
      <c r="H1051"/>
      <c r="I1051"/>
    </row>
    <row r="1052" spans="7:9" x14ac:dyDescent="0.25">
      <c r="G1052"/>
      <c r="H1052"/>
      <c r="I1052"/>
    </row>
    <row r="1053" spans="7:9" x14ac:dyDescent="0.25">
      <c r="G1053"/>
      <c r="H1053"/>
      <c r="I1053"/>
    </row>
    <row r="1054" spans="7:9" x14ac:dyDescent="0.25">
      <c r="G1054"/>
      <c r="H1054"/>
      <c r="I1054"/>
    </row>
    <row r="1055" spans="7:9" x14ac:dyDescent="0.25">
      <c r="G1055"/>
      <c r="H1055"/>
      <c r="I1055"/>
    </row>
    <row r="1056" spans="7:9" x14ac:dyDescent="0.25">
      <c r="G1056"/>
      <c r="H1056"/>
      <c r="I1056"/>
    </row>
    <row r="1057" spans="7:9" x14ac:dyDescent="0.25">
      <c r="G1057"/>
      <c r="H1057"/>
      <c r="I1057"/>
    </row>
    <row r="1058" spans="7:9" x14ac:dyDescent="0.25">
      <c r="G1058"/>
      <c r="H1058"/>
      <c r="I1058"/>
    </row>
    <row r="1059" spans="7:9" x14ac:dyDescent="0.25">
      <c r="G1059"/>
      <c r="H1059"/>
      <c r="I1059"/>
    </row>
    <row r="1060" spans="7:9" x14ac:dyDescent="0.25">
      <c r="G1060"/>
      <c r="H1060"/>
      <c r="I1060"/>
    </row>
    <row r="1061" spans="7:9" x14ac:dyDescent="0.25">
      <c r="G1061"/>
      <c r="H1061"/>
      <c r="I1061"/>
    </row>
    <row r="1062" spans="7:9" x14ac:dyDescent="0.25">
      <c r="G1062"/>
      <c r="H1062"/>
      <c r="I1062"/>
    </row>
    <row r="1063" spans="7:9" x14ac:dyDescent="0.25">
      <c r="G1063"/>
      <c r="H1063"/>
      <c r="I1063"/>
    </row>
    <row r="1064" spans="7:9" x14ac:dyDescent="0.25">
      <c r="G1064"/>
      <c r="H1064"/>
      <c r="I1064"/>
    </row>
    <row r="1065" spans="7:9" x14ac:dyDescent="0.25">
      <c r="G1065"/>
      <c r="H1065"/>
      <c r="I1065"/>
    </row>
    <row r="1066" spans="7:9" x14ac:dyDescent="0.25">
      <c r="G1066"/>
      <c r="H1066"/>
      <c r="I1066"/>
    </row>
    <row r="1067" spans="7:9" x14ac:dyDescent="0.25">
      <c r="G1067"/>
      <c r="H1067"/>
      <c r="I1067"/>
    </row>
    <row r="1068" spans="7:9" x14ac:dyDescent="0.25">
      <c r="G1068"/>
      <c r="H1068"/>
      <c r="I1068"/>
    </row>
    <row r="1069" spans="7:9" x14ac:dyDescent="0.25">
      <c r="G1069"/>
      <c r="H1069"/>
      <c r="I1069"/>
    </row>
    <row r="1070" spans="7:9" x14ac:dyDescent="0.25">
      <c r="G1070"/>
      <c r="H1070"/>
      <c r="I1070"/>
    </row>
    <row r="1071" spans="7:9" x14ac:dyDescent="0.25">
      <c r="G1071"/>
      <c r="H1071"/>
      <c r="I1071"/>
    </row>
    <row r="1072" spans="7:9" x14ac:dyDescent="0.25">
      <c r="G1072"/>
      <c r="H1072"/>
      <c r="I1072"/>
    </row>
    <row r="1073" spans="7:9" x14ac:dyDescent="0.25">
      <c r="G1073"/>
      <c r="H1073"/>
      <c r="I1073"/>
    </row>
    <row r="1074" spans="7:9" x14ac:dyDescent="0.25">
      <c r="G1074"/>
      <c r="H1074"/>
      <c r="I1074"/>
    </row>
    <row r="1075" spans="7:9" x14ac:dyDescent="0.25">
      <c r="G1075"/>
      <c r="H1075"/>
      <c r="I1075"/>
    </row>
    <row r="1076" spans="7:9" x14ac:dyDescent="0.25">
      <c r="G1076"/>
      <c r="H1076"/>
      <c r="I1076"/>
    </row>
    <row r="1077" spans="7:9" x14ac:dyDescent="0.25">
      <c r="G1077"/>
      <c r="H1077"/>
      <c r="I1077"/>
    </row>
    <row r="1078" spans="7:9" x14ac:dyDescent="0.25">
      <c r="G1078"/>
      <c r="H1078"/>
      <c r="I1078"/>
    </row>
    <row r="1079" spans="7:9" x14ac:dyDescent="0.25">
      <c r="G1079"/>
      <c r="H1079"/>
      <c r="I1079"/>
    </row>
    <row r="1080" spans="7:9" x14ac:dyDescent="0.25">
      <c r="G1080"/>
      <c r="H1080"/>
      <c r="I1080"/>
    </row>
    <row r="1081" spans="7:9" x14ac:dyDescent="0.25">
      <c r="G1081"/>
      <c r="H1081"/>
      <c r="I1081"/>
    </row>
    <row r="1082" spans="7:9" x14ac:dyDescent="0.25">
      <c r="G1082"/>
      <c r="H1082"/>
      <c r="I1082"/>
    </row>
    <row r="1083" spans="7:9" x14ac:dyDescent="0.25">
      <c r="G1083"/>
      <c r="H1083"/>
      <c r="I1083"/>
    </row>
    <row r="1084" spans="7:9" x14ac:dyDescent="0.25">
      <c r="G1084"/>
      <c r="H1084"/>
      <c r="I1084"/>
    </row>
    <row r="1085" spans="7:9" x14ac:dyDescent="0.25">
      <c r="G1085"/>
      <c r="H1085"/>
      <c r="I1085"/>
    </row>
    <row r="1086" spans="7:9" x14ac:dyDescent="0.25">
      <c r="G1086"/>
      <c r="H1086"/>
      <c r="I1086"/>
    </row>
    <row r="1087" spans="7:9" x14ac:dyDescent="0.25">
      <c r="G1087"/>
      <c r="H1087"/>
      <c r="I1087"/>
    </row>
    <row r="1088" spans="7:9" x14ac:dyDescent="0.25">
      <c r="G1088"/>
      <c r="H1088"/>
      <c r="I1088"/>
    </row>
    <row r="1089" spans="7:9" x14ac:dyDescent="0.25">
      <c r="G1089"/>
      <c r="H1089"/>
      <c r="I1089"/>
    </row>
    <row r="1090" spans="7:9" x14ac:dyDescent="0.25">
      <c r="G1090"/>
      <c r="H1090"/>
      <c r="I1090"/>
    </row>
    <row r="1091" spans="7:9" x14ac:dyDescent="0.25">
      <c r="G1091"/>
      <c r="H1091"/>
      <c r="I1091"/>
    </row>
    <row r="1092" spans="7:9" x14ac:dyDescent="0.25">
      <c r="G1092"/>
      <c r="H1092"/>
      <c r="I1092"/>
    </row>
    <row r="1093" spans="7:9" x14ac:dyDescent="0.25">
      <c r="G1093"/>
      <c r="H1093"/>
      <c r="I1093"/>
    </row>
    <row r="1094" spans="7:9" x14ac:dyDescent="0.25">
      <c r="G1094"/>
      <c r="H1094"/>
      <c r="I1094"/>
    </row>
    <row r="1095" spans="7:9" x14ac:dyDescent="0.25">
      <c r="G1095"/>
      <c r="H1095"/>
      <c r="I1095"/>
    </row>
    <row r="1096" spans="7:9" x14ac:dyDescent="0.25">
      <c r="G1096"/>
      <c r="H1096"/>
      <c r="I1096"/>
    </row>
    <row r="1097" spans="7:9" x14ac:dyDescent="0.25">
      <c r="G1097"/>
      <c r="H1097"/>
      <c r="I1097"/>
    </row>
    <row r="1098" spans="7:9" x14ac:dyDescent="0.25">
      <c r="G1098"/>
      <c r="H1098"/>
      <c r="I1098"/>
    </row>
    <row r="1099" spans="7:9" x14ac:dyDescent="0.25">
      <c r="G1099"/>
      <c r="H1099"/>
      <c r="I1099"/>
    </row>
    <row r="1100" spans="7:9" x14ac:dyDescent="0.25">
      <c r="G1100"/>
      <c r="H1100"/>
      <c r="I1100"/>
    </row>
    <row r="1101" spans="7:9" x14ac:dyDescent="0.25">
      <c r="G1101"/>
      <c r="H1101"/>
      <c r="I1101"/>
    </row>
    <row r="1102" spans="7:9" x14ac:dyDescent="0.25">
      <c r="G1102"/>
      <c r="H1102"/>
      <c r="I1102"/>
    </row>
    <row r="1103" spans="7:9" x14ac:dyDescent="0.25">
      <c r="G1103"/>
      <c r="H1103"/>
      <c r="I1103"/>
    </row>
    <row r="1104" spans="7:9" x14ac:dyDescent="0.25">
      <c r="G1104"/>
      <c r="H1104"/>
      <c r="I1104"/>
    </row>
    <row r="1105" spans="7:9" x14ac:dyDescent="0.25">
      <c r="G1105"/>
      <c r="H1105"/>
      <c r="I1105"/>
    </row>
    <row r="1106" spans="7:9" x14ac:dyDescent="0.25">
      <c r="G1106"/>
      <c r="H1106"/>
      <c r="I1106"/>
    </row>
    <row r="1107" spans="7:9" x14ac:dyDescent="0.25">
      <c r="G1107"/>
      <c r="H1107"/>
      <c r="I1107"/>
    </row>
    <row r="1108" spans="7:9" x14ac:dyDescent="0.25">
      <c r="G1108"/>
      <c r="H1108"/>
      <c r="I1108"/>
    </row>
    <row r="1109" spans="7:9" x14ac:dyDescent="0.25">
      <c r="G1109"/>
      <c r="H1109"/>
      <c r="I1109"/>
    </row>
    <row r="1110" spans="7:9" x14ac:dyDescent="0.25">
      <c r="G1110"/>
      <c r="H1110"/>
      <c r="I1110"/>
    </row>
    <row r="1111" spans="7:9" x14ac:dyDescent="0.25">
      <c r="G1111"/>
      <c r="H1111"/>
      <c r="I1111"/>
    </row>
    <row r="1112" spans="7:9" x14ac:dyDescent="0.25">
      <c r="G1112"/>
      <c r="H1112"/>
      <c r="I1112"/>
    </row>
    <row r="1113" spans="7:9" x14ac:dyDescent="0.25">
      <c r="G1113"/>
      <c r="H1113"/>
      <c r="I1113"/>
    </row>
    <row r="1114" spans="7:9" x14ac:dyDescent="0.25">
      <c r="G1114"/>
      <c r="H1114"/>
      <c r="I1114"/>
    </row>
    <row r="1115" spans="7:9" x14ac:dyDescent="0.25">
      <c r="G1115"/>
      <c r="H1115"/>
      <c r="I1115"/>
    </row>
    <row r="1116" spans="7:9" x14ac:dyDescent="0.25">
      <c r="G1116"/>
      <c r="H1116"/>
      <c r="I1116"/>
    </row>
    <row r="1117" spans="7:9" x14ac:dyDescent="0.25">
      <c r="G1117"/>
      <c r="H1117"/>
      <c r="I1117"/>
    </row>
    <row r="1118" spans="7:9" x14ac:dyDescent="0.25">
      <c r="G1118"/>
      <c r="H1118"/>
      <c r="I1118"/>
    </row>
    <row r="1119" spans="7:9" x14ac:dyDescent="0.25">
      <c r="G1119"/>
      <c r="H1119"/>
      <c r="I1119"/>
    </row>
    <row r="1120" spans="7:9" x14ac:dyDescent="0.25">
      <c r="G1120"/>
      <c r="H1120"/>
      <c r="I1120"/>
    </row>
    <row r="1121" spans="7:9" x14ac:dyDescent="0.25">
      <c r="G1121"/>
      <c r="H1121"/>
      <c r="I1121"/>
    </row>
    <row r="1122" spans="7:9" x14ac:dyDescent="0.25">
      <c r="G1122"/>
      <c r="H1122"/>
      <c r="I1122"/>
    </row>
    <row r="1123" spans="7:9" x14ac:dyDescent="0.25">
      <c r="G1123"/>
      <c r="H1123"/>
      <c r="I1123"/>
    </row>
    <row r="1124" spans="7:9" x14ac:dyDescent="0.25">
      <c r="G1124"/>
      <c r="H1124"/>
      <c r="I1124"/>
    </row>
    <row r="1125" spans="7:9" x14ac:dyDescent="0.25">
      <c r="G1125"/>
      <c r="H1125"/>
      <c r="I1125"/>
    </row>
    <row r="1126" spans="7:9" x14ac:dyDescent="0.25">
      <c r="G1126"/>
      <c r="H1126"/>
      <c r="I1126"/>
    </row>
    <row r="1127" spans="7:9" x14ac:dyDescent="0.25">
      <c r="G1127"/>
      <c r="H1127"/>
      <c r="I1127"/>
    </row>
    <row r="1128" spans="7:9" x14ac:dyDescent="0.25">
      <c r="G1128"/>
      <c r="H1128"/>
      <c r="I1128"/>
    </row>
    <row r="1129" spans="7:9" x14ac:dyDescent="0.25">
      <c r="G1129"/>
      <c r="H1129"/>
      <c r="I1129"/>
    </row>
    <row r="1130" spans="7:9" x14ac:dyDescent="0.25">
      <c r="G1130"/>
      <c r="H1130"/>
      <c r="I1130"/>
    </row>
    <row r="1131" spans="7:9" x14ac:dyDescent="0.25">
      <c r="G1131"/>
      <c r="H1131"/>
      <c r="I1131"/>
    </row>
    <row r="1132" spans="7:9" x14ac:dyDescent="0.25">
      <c r="G1132"/>
      <c r="H1132"/>
      <c r="I1132"/>
    </row>
    <row r="1133" spans="7:9" x14ac:dyDescent="0.25">
      <c r="G1133"/>
      <c r="H1133"/>
      <c r="I1133"/>
    </row>
    <row r="1134" spans="7:9" x14ac:dyDescent="0.25">
      <c r="G1134"/>
      <c r="H1134"/>
      <c r="I1134"/>
    </row>
    <row r="1135" spans="7:9" x14ac:dyDescent="0.25">
      <c r="G1135"/>
      <c r="H1135"/>
      <c r="I1135"/>
    </row>
    <row r="1136" spans="7:9" x14ac:dyDescent="0.25">
      <c r="G1136"/>
      <c r="H1136"/>
      <c r="I1136"/>
    </row>
    <row r="1137" spans="7:9" x14ac:dyDescent="0.25">
      <c r="G1137"/>
      <c r="H1137"/>
      <c r="I1137"/>
    </row>
    <row r="1138" spans="7:9" x14ac:dyDescent="0.25">
      <c r="G1138"/>
      <c r="H1138"/>
      <c r="I1138"/>
    </row>
    <row r="1139" spans="7:9" x14ac:dyDescent="0.25">
      <c r="G1139"/>
      <c r="H1139"/>
      <c r="I1139"/>
    </row>
    <row r="1140" spans="7:9" x14ac:dyDescent="0.25">
      <c r="G1140"/>
      <c r="H1140"/>
      <c r="I1140"/>
    </row>
    <row r="1141" spans="7:9" x14ac:dyDescent="0.25">
      <c r="G1141"/>
      <c r="H1141"/>
      <c r="I1141"/>
    </row>
    <row r="1142" spans="7:9" x14ac:dyDescent="0.25">
      <c r="G1142"/>
      <c r="H1142"/>
      <c r="I1142"/>
    </row>
    <row r="1143" spans="7:9" x14ac:dyDescent="0.25">
      <c r="G1143"/>
      <c r="H1143"/>
      <c r="I1143"/>
    </row>
    <row r="1144" spans="7:9" x14ac:dyDescent="0.25">
      <c r="G1144"/>
      <c r="H1144"/>
      <c r="I1144"/>
    </row>
    <row r="1145" spans="7:9" x14ac:dyDescent="0.25">
      <c r="G1145"/>
      <c r="H1145"/>
      <c r="I1145"/>
    </row>
    <row r="1146" spans="7:9" x14ac:dyDescent="0.25">
      <c r="G1146"/>
      <c r="H1146"/>
      <c r="I1146"/>
    </row>
    <row r="1147" spans="7:9" x14ac:dyDescent="0.25">
      <c r="G1147"/>
      <c r="H1147"/>
      <c r="I1147"/>
    </row>
    <row r="1148" spans="7:9" x14ac:dyDescent="0.25">
      <c r="G1148"/>
      <c r="H1148"/>
      <c r="I1148"/>
    </row>
    <row r="1149" spans="7:9" x14ac:dyDescent="0.25">
      <c r="G1149"/>
      <c r="H1149"/>
      <c r="I1149"/>
    </row>
    <row r="1150" spans="7:9" x14ac:dyDescent="0.25">
      <c r="G1150"/>
      <c r="H1150"/>
      <c r="I1150"/>
    </row>
    <row r="1151" spans="7:9" x14ac:dyDescent="0.25">
      <c r="G1151"/>
      <c r="H1151"/>
      <c r="I1151"/>
    </row>
    <row r="1152" spans="7:9" x14ac:dyDescent="0.25">
      <c r="G1152"/>
      <c r="H1152"/>
      <c r="I1152"/>
    </row>
    <row r="1153" spans="7:9" x14ac:dyDescent="0.25">
      <c r="G1153"/>
      <c r="H1153"/>
      <c r="I1153"/>
    </row>
    <row r="1154" spans="7:9" x14ac:dyDescent="0.25">
      <c r="G1154"/>
      <c r="H1154"/>
      <c r="I1154"/>
    </row>
    <row r="1155" spans="7:9" x14ac:dyDescent="0.25">
      <c r="G1155"/>
      <c r="H1155"/>
      <c r="I1155"/>
    </row>
    <row r="1156" spans="7:9" x14ac:dyDescent="0.25">
      <c r="G1156"/>
      <c r="H1156"/>
      <c r="I1156"/>
    </row>
    <row r="1157" spans="7:9" x14ac:dyDescent="0.25">
      <c r="G1157"/>
      <c r="H1157"/>
      <c r="I1157"/>
    </row>
    <row r="1158" spans="7:9" x14ac:dyDescent="0.25">
      <c r="G1158"/>
      <c r="H1158"/>
      <c r="I1158"/>
    </row>
    <row r="1159" spans="7:9" x14ac:dyDescent="0.25">
      <c r="G1159"/>
      <c r="H1159"/>
      <c r="I1159"/>
    </row>
    <row r="1160" spans="7:9" x14ac:dyDescent="0.25">
      <c r="G1160"/>
      <c r="H1160"/>
      <c r="I1160"/>
    </row>
    <row r="1161" spans="7:9" x14ac:dyDescent="0.25">
      <c r="G1161"/>
      <c r="H1161"/>
      <c r="I1161"/>
    </row>
    <row r="1162" spans="7:9" x14ac:dyDescent="0.25">
      <c r="G1162"/>
      <c r="H1162"/>
      <c r="I1162"/>
    </row>
    <row r="1163" spans="7:9" x14ac:dyDescent="0.25">
      <c r="G1163"/>
      <c r="H1163"/>
      <c r="I1163"/>
    </row>
    <row r="1164" spans="7:9" x14ac:dyDescent="0.25">
      <c r="G1164"/>
      <c r="H1164"/>
      <c r="I1164"/>
    </row>
    <row r="1165" spans="7:9" x14ac:dyDescent="0.25">
      <c r="G1165"/>
      <c r="H1165"/>
      <c r="I1165"/>
    </row>
    <row r="1166" spans="7:9" x14ac:dyDescent="0.25">
      <c r="G1166"/>
      <c r="H1166"/>
      <c r="I1166"/>
    </row>
    <row r="1167" spans="7:9" x14ac:dyDescent="0.25">
      <c r="G1167"/>
      <c r="H1167"/>
      <c r="I1167"/>
    </row>
    <row r="1168" spans="7:9" x14ac:dyDescent="0.25">
      <c r="G1168"/>
      <c r="H1168"/>
      <c r="I1168"/>
    </row>
    <row r="1169" spans="7:9" x14ac:dyDescent="0.25">
      <c r="G1169"/>
      <c r="H1169"/>
      <c r="I1169"/>
    </row>
    <row r="1170" spans="7:9" x14ac:dyDescent="0.25">
      <c r="G1170"/>
      <c r="H1170"/>
      <c r="I1170"/>
    </row>
    <row r="1171" spans="7:9" x14ac:dyDescent="0.25">
      <c r="G1171"/>
      <c r="H1171"/>
      <c r="I1171"/>
    </row>
    <row r="1172" spans="7:9" x14ac:dyDescent="0.25">
      <c r="G1172"/>
      <c r="H1172"/>
      <c r="I1172"/>
    </row>
    <row r="1173" spans="7:9" x14ac:dyDescent="0.25">
      <c r="G1173"/>
      <c r="H1173"/>
      <c r="I1173"/>
    </row>
    <row r="1174" spans="7:9" x14ac:dyDescent="0.25">
      <c r="G1174"/>
      <c r="H1174"/>
      <c r="I1174"/>
    </row>
    <row r="1175" spans="7:9" x14ac:dyDescent="0.25">
      <c r="G1175"/>
      <c r="H1175"/>
      <c r="I1175"/>
    </row>
    <row r="1176" spans="7:9" x14ac:dyDescent="0.25">
      <c r="G1176"/>
      <c r="H1176"/>
      <c r="I1176"/>
    </row>
    <row r="1177" spans="7:9" x14ac:dyDescent="0.25">
      <c r="G1177"/>
      <c r="H1177"/>
      <c r="I1177"/>
    </row>
    <row r="1178" spans="7:9" x14ac:dyDescent="0.25">
      <c r="G1178"/>
      <c r="H1178"/>
      <c r="I1178"/>
    </row>
    <row r="1179" spans="7:9" x14ac:dyDescent="0.25">
      <c r="G1179"/>
      <c r="H1179"/>
      <c r="I1179"/>
    </row>
    <row r="1180" spans="7:9" x14ac:dyDescent="0.25">
      <c r="G1180"/>
      <c r="H1180"/>
      <c r="I1180"/>
    </row>
    <row r="1181" spans="7:9" x14ac:dyDescent="0.25">
      <c r="G1181"/>
      <c r="H1181"/>
      <c r="I1181"/>
    </row>
    <row r="1182" spans="7:9" x14ac:dyDescent="0.25">
      <c r="G1182"/>
      <c r="H1182"/>
      <c r="I1182"/>
    </row>
    <row r="1183" spans="7:9" x14ac:dyDescent="0.25">
      <c r="G1183"/>
      <c r="H1183"/>
      <c r="I1183"/>
    </row>
    <row r="1184" spans="7:9" x14ac:dyDescent="0.25">
      <c r="G1184"/>
      <c r="H1184"/>
      <c r="I1184"/>
    </row>
    <row r="1185" spans="7:9" x14ac:dyDescent="0.25">
      <c r="G1185"/>
      <c r="H1185"/>
      <c r="I1185"/>
    </row>
    <row r="1186" spans="7:9" x14ac:dyDescent="0.25">
      <c r="G1186"/>
      <c r="H1186"/>
      <c r="I1186"/>
    </row>
    <row r="1187" spans="7:9" x14ac:dyDescent="0.25">
      <c r="G1187"/>
      <c r="H1187"/>
      <c r="I1187"/>
    </row>
    <row r="1188" spans="7:9" x14ac:dyDescent="0.25">
      <c r="G1188"/>
      <c r="H1188"/>
      <c r="I1188"/>
    </row>
    <row r="1189" spans="7:9" x14ac:dyDescent="0.25">
      <c r="G1189"/>
      <c r="H1189"/>
      <c r="I1189"/>
    </row>
    <row r="1190" spans="7:9" x14ac:dyDescent="0.25">
      <c r="G1190"/>
      <c r="H1190"/>
      <c r="I1190"/>
    </row>
    <row r="1191" spans="7:9" x14ac:dyDescent="0.25">
      <c r="G1191"/>
      <c r="H1191"/>
      <c r="I1191"/>
    </row>
    <row r="1192" spans="7:9" x14ac:dyDescent="0.25">
      <c r="G1192"/>
      <c r="H1192"/>
      <c r="I1192"/>
    </row>
    <row r="1193" spans="7:9" x14ac:dyDescent="0.25">
      <c r="G1193"/>
      <c r="H1193"/>
      <c r="I1193"/>
    </row>
    <row r="1194" spans="7:9" x14ac:dyDescent="0.25">
      <c r="G1194"/>
      <c r="H1194"/>
      <c r="I1194"/>
    </row>
    <row r="1195" spans="7:9" x14ac:dyDescent="0.25">
      <c r="G1195"/>
      <c r="H1195"/>
      <c r="I1195"/>
    </row>
    <row r="1196" spans="7:9" x14ac:dyDescent="0.25">
      <c r="G1196"/>
      <c r="H1196"/>
      <c r="I1196"/>
    </row>
    <row r="1197" spans="7:9" x14ac:dyDescent="0.25">
      <c r="G1197"/>
      <c r="H1197"/>
      <c r="I1197"/>
    </row>
    <row r="1198" spans="7:9" x14ac:dyDescent="0.25">
      <c r="G1198"/>
      <c r="H1198"/>
      <c r="I1198"/>
    </row>
    <row r="1199" spans="7:9" x14ac:dyDescent="0.25">
      <c r="G1199"/>
      <c r="H1199"/>
      <c r="I1199"/>
    </row>
    <row r="1200" spans="7:9" x14ac:dyDescent="0.25">
      <c r="G1200"/>
      <c r="H1200"/>
      <c r="I1200"/>
    </row>
    <row r="1201" spans="7:9" x14ac:dyDescent="0.25">
      <c r="G1201"/>
      <c r="H1201"/>
      <c r="I1201"/>
    </row>
    <row r="1202" spans="7:9" x14ac:dyDescent="0.25">
      <c r="G1202"/>
      <c r="H1202"/>
      <c r="I1202"/>
    </row>
    <row r="1203" spans="7:9" x14ac:dyDescent="0.25">
      <c r="G1203"/>
      <c r="H1203"/>
      <c r="I1203"/>
    </row>
    <row r="1204" spans="7:9" x14ac:dyDescent="0.25">
      <c r="G1204"/>
      <c r="H1204"/>
      <c r="I1204"/>
    </row>
    <row r="1205" spans="7:9" x14ac:dyDescent="0.25">
      <c r="G1205"/>
      <c r="H1205"/>
      <c r="I1205"/>
    </row>
    <row r="1206" spans="7:9" x14ac:dyDescent="0.25">
      <c r="G1206"/>
      <c r="H1206"/>
      <c r="I1206"/>
    </row>
    <row r="1207" spans="7:9" x14ac:dyDescent="0.25">
      <c r="G1207"/>
      <c r="H1207"/>
      <c r="I1207"/>
    </row>
    <row r="1208" spans="7:9" x14ac:dyDescent="0.25">
      <c r="G1208"/>
      <c r="H1208"/>
      <c r="I1208"/>
    </row>
    <row r="1209" spans="7:9" x14ac:dyDescent="0.25">
      <c r="G1209"/>
      <c r="H1209"/>
      <c r="I1209"/>
    </row>
    <row r="1210" spans="7:9" x14ac:dyDescent="0.25">
      <c r="G1210"/>
      <c r="H1210"/>
      <c r="I1210"/>
    </row>
    <row r="1211" spans="7:9" x14ac:dyDescent="0.25">
      <c r="G1211"/>
      <c r="H1211"/>
      <c r="I1211"/>
    </row>
    <row r="1212" spans="7:9" x14ac:dyDescent="0.25">
      <c r="G1212"/>
      <c r="H1212"/>
      <c r="I1212"/>
    </row>
    <row r="1213" spans="7:9" x14ac:dyDescent="0.25">
      <c r="G1213"/>
      <c r="H1213"/>
      <c r="I1213"/>
    </row>
    <row r="1214" spans="7:9" x14ac:dyDescent="0.25">
      <c r="G1214"/>
      <c r="H1214"/>
      <c r="I1214"/>
    </row>
    <row r="1215" spans="7:9" x14ac:dyDescent="0.25">
      <c r="G1215"/>
      <c r="H1215"/>
      <c r="I1215"/>
    </row>
    <row r="1216" spans="7:9" x14ac:dyDescent="0.25">
      <c r="G1216"/>
      <c r="H1216"/>
      <c r="I1216"/>
    </row>
    <row r="1217" spans="7:9" x14ac:dyDescent="0.25">
      <c r="G1217"/>
      <c r="H1217"/>
      <c r="I1217"/>
    </row>
    <row r="1218" spans="7:9" x14ac:dyDescent="0.25">
      <c r="G1218"/>
      <c r="H1218"/>
      <c r="I1218"/>
    </row>
    <row r="1219" spans="7:9" x14ac:dyDescent="0.25">
      <c r="G1219"/>
      <c r="H1219"/>
      <c r="I1219"/>
    </row>
    <row r="1220" spans="7:9" x14ac:dyDescent="0.25">
      <c r="G1220"/>
      <c r="H1220"/>
      <c r="I1220"/>
    </row>
    <row r="1221" spans="7:9" x14ac:dyDescent="0.25">
      <c r="G1221"/>
      <c r="H1221"/>
      <c r="I1221"/>
    </row>
    <row r="1222" spans="7:9" x14ac:dyDescent="0.25">
      <c r="G1222"/>
      <c r="H1222"/>
      <c r="I1222"/>
    </row>
    <row r="1223" spans="7:9" x14ac:dyDescent="0.25">
      <c r="G1223"/>
      <c r="H1223"/>
      <c r="I1223"/>
    </row>
    <row r="1224" spans="7:9" x14ac:dyDescent="0.25">
      <c r="G1224"/>
      <c r="H1224"/>
      <c r="I1224"/>
    </row>
    <row r="1225" spans="7:9" x14ac:dyDescent="0.25">
      <c r="G1225"/>
      <c r="H1225"/>
      <c r="I1225"/>
    </row>
    <row r="1226" spans="7:9" x14ac:dyDescent="0.25">
      <c r="G1226"/>
      <c r="H1226"/>
      <c r="I1226"/>
    </row>
    <row r="1227" spans="7:9" x14ac:dyDescent="0.25">
      <c r="G1227"/>
      <c r="H1227"/>
      <c r="I1227"/>
    </row>
    <row r="1228" spans="7:9" x14ac:dyDescent="0.25">
      <c r="G1228"/>
      <c r="H1228"/>
      <c r="I1228"/>
    </row>
    <row r="1229" spans="7:9" x14ac:dyDescent="0.25">
      <c r="G1229"/>
      <c r="H1229"/>
      <c r="I1229"/>
    </row>
    <row r="1230" spans="7:9" x14ac:dyDescent="0.25">
      <c r="G1230"/>
      <c r="H1230"/>
      <c r="I1230"/>
    </row>
    <row r="1231" spans="7:9" x14ac:dyDescent="0.25">
      <c r="G1231"/>
      <c r="H1231"/>
      <c r="I1231"/>
    </row>
    <row r="1232" spans="7:9" x14ac:dyDescent="0.25">
      <c r="G1232"/>
      <c r="H1232"/>
      <c r="I1232"/>
    </row>
    <row r="1233" spans="7:9" x14ac:dyDescent="0.25">
      <c r="G1233"/>
      <c r="H1233"/>
      <c r="I1233"/>
    </row>
    <row r="1234" spans="7:9" x14ac:dyDescent="0.25">
      <c r="G1234"/>
      <c r="H1234"/>
      <c r="I1234"/>
    </row>
    <row r="1235" spans="7:9" x14ac:dyDescent="0.25">
      <c r="G1235"/>
      <c r="H1235"/>
      <c r="I1235"/>
    </row>
    <row r="1236" spans="7:9" x14ac:dyDescent="0.25">
      <c r="G1236"/>
      <c r="H1236"/>
      <c r="I1236"/>
    </row>
    <row r="1237" spans="7:9" x14ac:dyDescent="0.25">
      <c r="G1237"/>
      <c r="H1237"/>
      <c r="I1237"/>
    </row>
    <row r="1238" spans="7:9" x14ac:dyDescent="0.25">
      <c r="G1238"/>
      <c r="H1238"/>
      <c r="I1238"/>
    </row>
    <row r="1239" spans="7:9" x14ac:dyDescent="0.25">
      <c r="G1239"/>
      <c r="H1239"/>
      <c r="I1239"/>
    </row>
    <row r="1240" spans="7:9" x14ac:dyDescent="0.25">
      <c r="G1240"/>
      <c r="H1240"/>
      <c r="I1240"/>
    </row>
    <row r="1241" spans="7:9" x14ac:dyDescent="0.25">
      <c r="G1241"/>
      <c r="H1241"/>
      <c r="I1241"/>
    </row>
    <row r="1242" spans="7:9" x14ac:dyDescent="0.25">
      <c r="G1242"/>
      <c r="H1242"/>
      <c r="I1242"/>
    </row>
    <row r="1243" spans="7:9" x14ac:dyDescent="0.25">
      <c r="G1243"/>
      <c r="H1243"/>
      <c r="I1243"/>
    </row>
    <row r="1244" spans="7:9" x14ac:dyDescent="0.25">
      <c r="G1244"/>
      <c r="H1244"/>
      <c r="I1244"/>
    </row>
    <row r="1245" spans="7:9" x14ac:dyDescent="0.25">
      <c r="G1245"/>
      <c r="H1245"/>
      <c r="I1245"/>
    </row>
    <row r="1246" spans="7:9" x14ac:dyDescent="0.25">
      <c r="G1246"/>
      <c r="H1246"/>
      <c r="I1246"/>
    </row>
    <row r="1247" spans="7:9" x14ac:dyDescent="0.25">
      <c r="G1247"/>
      <c r="H1247"/>
      <c r="I1247"/>
    </row>
    <row r="1248" spans="7:9" x14ac:dyDescent="0.25">
      <c r="G1248"/>
      <c r="H1248"/>
      <c r="I1248"/>
    </row>
    <row r="1249" spans="7:9" x14ac:dyDescent="0.25">
      <c r="G1249"/>
      <c r="H1249"/>
      <c r="I1249"/>
    </row>
    <row r="1250" spans="7:9" x14ac:dyDescent="0.25">
      <c r="G1250"/>
      <c r="H1250"/>
      <c r="I1250"/>
    </row>
    <row r="1251" spans="7:9" x14ac:dyDescent="0.25">
      <c r="G1251"/>
      <c r="H1251"/>
      <c r="I1251"/>
    </row>
    <row r="1252" spans="7:9" x14ac:dyDescent="0.25">
      <c r="G1252"/>
      <c r="H1252"/>
      <c r="I1252"/>
    </row>
    <row r="1253" spans="7:9" x14ac:dyDescent="0.25">
      <c r="G1253"/>
      <c r="H1253"/>
      <c r="I1253"/>
    </row>
    <row r="1254" spans="7:9" x14ac:dyDescent="0.25">
      <c r="G1254"/>
      <c r="H1254"/>
      <c r="I1254"/>
    </row>
    <row r="1255" spans="7:9" x14ac:dyDescent="0.25">
      <c r="G1255"/>
      <c r="H1255"/>
      <c r="I1255"/>
    </row>
    <row r="1256" spans="7:9" x14ac:dyDescent="0.25">
      <c r="G1256"/>
      <c r="H1256"/>
      <c r="I1256"/>
    </row>
    <row r="1257" spans="7:9" x14ac:dyDescent="0.25">
      <c r="G1257"/>
      <c r="H1257"/>
      <c r="I1257"/>
    </row>
    <row r="1258" spans="7:9" x14ac:dyDescent="0.25">
      <c r="G1258"/>
      <c r="H1258"/>
      <c r="I1258"/>
    </row>
    <row r="1259" spans="7:9" x14ac:dyDescent="0.25">
      <c r="G1259"/>
      <c r="H1259"/>
      <c r="I1259"/>
    </row>
    <row r="1260" spans="7:9" x14ac:dyDescent="0.25">
      <c r="G1260"/>
      <c r="H1260"/>
      <c r="I1260"/>
    </row>
    <row r="1261" spans="7:9" x14ac:dyDescent="0.25">
      <c r="G1261"/>
      <c r="H1261"/>
      <c r="I1261"/>
    </row>
    <row r="1262" spans="7:9" x14ac:dyDescent="0.25">
      <c r="G1262"/>
      <c r="H1262"/>
      <c r="I1262"/>
    </row>
    <row r="1263" spans="7:9" x14ac:dyDescent="0.25">
      <c r="G1263"/>
      <c r="H1263"/>
      <c r="I1263"/>
    </row>
    <row r="1264" spans="7:9" x14ac:dyDescent="0.25">
      <c r="G1264"/>
      <c r="H1264"/>
      <c r="I1264"/>
    </row>
    <row r="1265" spans="7:9" x14ac:dyDescent="0.25">
      <c r="G1265"/>
      <c r="H1265"/>
      <c r="I1265"/>
    </row>
    <row r="1266" spans="7:9" x14ac:dyDescent="0.25">
      <c r="G1266"/>
      <c r="H1266"/>
      <c r="I1266"/>
    </row>
    <row r="1267" spans="7:9" x14ac:dyDescent="0.25">
      <c r="G1267"/>
      <c r="H1267"/>
      <c r="I1267"/>
    </row>
    <row r="1268" spans="7:9" x14ac:dyDescent="0.25">
      <c r="G1268"/>
      <c r="H1268"/>
      <c r="I1268"/>
    </row>
    <row r="1269" spans="7:9" x14ac:dyDescent="0.25">
      <c r="G1269"/>
      <c r="H1269"/>
      <c r="I1269"/>
    </row>
    <row r="1270" spans="7:9" x14ac:dyDescent="0.25">
      <c r="G1270"/>
      <c r="H1270"/>
      <c r="I1270"/>
    </row>
    <row r="1271" spans="7:9" x14ac:dyDescent="0.25">
      <c r="G1271"/>
      <c r="H1271"/>
      <c r="I1271"/>
    </row>
    <row r="1272" spans="7:9" x14ac:dyDescent="0.25">
      <c r="G1272"/>
      <c r="H1272"/>
      <c r="I1272"/>
    </row>
    <row r="1273" spans="7:9" x14ac:dyDescent="0.25">
      <c r="G1273"/>
      <c r="H1273"/>
      <c r="I1273"/>
    </row>
    <row r="1274" spans="7:9" x14ac:dyDescent="0.25">
      <c r="G1274"/>
      <c r="H1274"/>
      <c r="I1274"/>
    </row>
    <row r="1275" spans="7:9" x14ac:dyDescent="0.25">
      <c r="G1275"/>
      <c r="H1275"/>
      <c r="I1275"/>
    </row>
    <row r="1276" spans="7:9" x14ac:dyDescent="0.25">
      <c r="G1276"/>
      <c r="H1276"/>
      <c r="I1276"/>
    </row>
    <row r="1277" spans="7:9" x14ac:dyDescent="0.25">
      <c r="G1277"/>
      <c r="H1277"/>
      <c r="I1277"/>
    </row>
    <row r="1278" spans="7:9" x14ac:dyDescent="0.25">
      <c r="G1278"/>
      <c r="H1278"/>
      <c r="I1278"/>
    </row>
    <row r="1279" spans="7:9" x14ac:dyDescent="0.25">
      <c r="G1279"/>
      <c r="H1279"/>
      <c r="I1279"/>
    </row>
    <row r="1280" spans="7:9" x14ac:dyDescent="0.25">
      <c r="G1280"/>
      <c r="H1280"/>
      <c r="I1280"/>
    </row>
    <row r="1281" spans="7:9" x14ac:dyDescent="0.25">
      <c r="G1281"/>
      <c r="H1281"/>
      <c r="I1281"/>
    </row>
    <row r="1282" spans="7:9" x14ac:dyDescent="0.25">
      <c r="G1282"/>
      <c r="H1282"/>
      <c r="I1282"/>
    </row>
    <row r="1283" spans="7:9" x14ac:dyDescent="0.25">
      <c r="G1283"/>
      <c r="H1283"/>
      <c r="I1283"/>
    </row>
    <row r="1284" spans="7:9" x14ac:dyDescent="0.25">
      <c r="G1284"/>
      <c r="H1284"/>
      <c r="I1284"/>
    </row>
    <row r="1285" spans="7:9" x14ac:dyDescent="0.25">
      <c r="G1285"/>
      <c r="H1285"/>
      <c r="I1285"/>
    </row>
    <row r="1286" spans="7:9" x14ac:dyDescent="0.25">
      <c r="G1286"/>
      <c r="H1286"/>
      <c r="I1286"/>
    </row>
    <row r="1287" spans="7:9" x14ac:dyDescent="0.25">
      <c r="G1287"/>
      <c r="H1287"/>
      <c r="I1287"/>
    </row>
    <row r="1288" spans="7:9" x14ac:dyDescent="0.25">
      <c r="G1288"/>
      <c r="H1288"/>
      <c r="I1288"/>
    </row>
    <row r="1289" spans="7:9" x14ac:dyDescent="0.25">
      <c r="G1289"/>
      <c r="H1289"/>
      <c r="I1289"/>
    </row>
    <row r="1290" spans="7:9" x14ac:dyDescent="0.25">
      <c r="G1290"/>
      <c r="H1290"/>
      <c r="I1290"/>
    </row>
    <row r="1291" spans="7:9" x14ac:dyDescent="0.25">
      <c r="G1291"/>
      <c r="H1291"/>
      <c r="I1291"/>
    </row>
    <row r="1292" spans="7:9" x14ac:dyDescent="0.25">
      <c r="G1292"/>
      <c r="H1292"/>
      <c r="I1292"/>
    </row>
    <row r="1293" spans="7:9" x14ac:dyDescent="0.25">
      <c r="G1293"/>
      <c r="H1293"/>
      <c r="I1293"/>
    </row>
    <row r="1294" spans="7:9" x14ac:dyDescent="0.25">
      <c r="G1294"/>
      <c r="H1294"/>
      <c r="I1294"/>
    </row>
    <row r="1295" spans="7:9" x14ac:dyDescent="0.25">
      <c r="G1295"/>
      <c r="H1295"/>
      <c r="I1295"/>
    </row>
    <row r="1296" spans="7:9" x14ac:dyDescent="0.25">
      <c r="G1296"/>
      <c r="H1296"/>
      <c r="I1296"/>
    </row>
    <row r="1297" spans="7:9" x14ac:dyDescent="0.25">
      <c r="G1297"/>
      <c r="H1297"/>
      <c r="I1297"/>
    </row>
    <row r="1298" spans="7:9" x14ac:dyDescent="0.25">
      <c r="G1298"/>
      <c r="H1298"/>
      <c r="I1298"/>
    </row>
    <row r="1299" spans="7:9" x14ac:dyDescent="0.25">
      <c r="G1299"/>
      <c r="H1299"/>
      <c r="I1299"/>
    </row>
    <row r="1300" spans="7:9" x14ac:dyDescent="0.25">
      <c r="G1300"/>
      <c r="H1300"/>
      <c r="I1300"/>
    </row>
    <row r="1301" spans="7:9" x14ac:dyDescent="0.25">
      <c r="G1301"/>
      <c r="H1301"/>
      <c r="I1301"/>
    </row>
    <row r="1302" spans="7:9" x14ac:dyDescent="0.25">
      <c r="G1302"/>
      <c r="H1302"/>
      <c r="I1302"/>
    </row>
    <row r="1303" spans="7:9" x14ac:dyDescent="0.25">
      <c r="G1303"/>
      <c r="H1303"/>
      <c r="I1303"/>
    </row>
    <row r="1304" spans="7:9" x14ac:dyDescent="0.25">
      <c r="G1304"/>
      <c r="H1304"/>
      <c r="I1304"/>
    </row>
    <row r="1305" spans="7:9" x14ac:dyDescent="0.25">
      <c r="G1305"/>
      <c r="H1305"/>
      <c r="I1305"/>
    </row>
    <row r="1306" spans="7:9" x14ac:dyDescent="0.25">
      <c r="G1306"/>
      <c r="H1306"/>
      <c r="I1306"/>
    </row>
    <row r="1307" spans="7:9" x14ac:dyDescent="0.25">
      <c r="G1307"/>
      <c r="H1307"/>
      <c r="I1307"/>
    </row>
    <row r="1308" spans="7:9" x14ac:dyDescent="0.25">
      <c r="G1308"/>
      <c r="H1308"/>
      <c r="I1308"/>
    </row>
    <row r="1309" spans="7:9" x14ac:dyDescent="0.25">
      <c r="G1309"/>
      <c r="H1309"/>
      <c r="I1309"/>
    </row>
    <row r="1310" spans="7:9" x14ac:dyDescent="0.25">
      <c r="G1310"/>
      <c r="H1310"/>
      <c r="I1310"/>
    </row>
    <row r="1311" spans="7:9" x14ac:dyDescent="0.25">
      <c r="G1311"/>
      <c r="H1311"/>
      <c r="I1311"/>
    </row>
    <row r="1312" spans="7:9" x14ac:dyDescent="0.25">
      <c r="G1312"/>
      <c r="H1312"/>
      <c r="I1312"/>
    </row>
    <row r="1313" spans="7:9" x14ac:dyDescent="0.25">
      <c r="G1313"/>
      <c r="H1313"/>
      <c r="I1313"/>
    </row>
    <row r="1314" spans="7:9" x14ac:dyDescent="0.25">
      <c r="G1314"/>
      <c r="H1314"/>
      <c r="I1314"/>
    </row>
    <row r="1315" spans="7:9" x14ac:dyDescent="0.25">
      <c r="G1315"/>
      <c r="H1315"/>
      <c r="I1315"/>
    </row>
    <row r="1316" spans="7:9" x14ac:dyDescent="0.25">
      <c r="G1316"/>
      <c r="H1316"/>
      <c r="I1316"/>
    </row>
    <row r="1317" spans="7:9" x14ac:dyDescent="0.25">
      <c r="G1317"/>
      <c r="H1317"/>
      <c r="I1317"/>
    </row>
    <row r="1318" spans="7:9" x14ac:dyDescent="0.25">
      <c r="G1318"/>
      <c r="H1318"/>
      <c r="I1318"/>
    </row>
    <row r="1319" spans="7:9" x14ac:dyDescent="0.25">
      <c r="G1319"/>
      <c r="H1319"/>
      <c r="I1319"/>
    </row>
    <row r="1320" spans="7:9" x14ac:dyDescent="0.25">
      <c r="G1320"/>
      <c r="H1320"/>
      <c r="I1320"/>
    </row>
    <row r="1321" spans="7:9" x14ac:dyDescent="0.25">
      <c r="G1321"/>
      <c r="H1321"/>
      <c r="I1321"/>
    </row>
    <row r="1322" spans="7:9" x14ac:dyDescent="0.25">
      <c r="G1322"/>
      <c r="H1322"/>
      <c r="I1322"/>
    </row>
    <row r="1323" spans="7:9" x14ac:dyDescent="0.25">
      <c r="G1323"/>
      <c r="H1323"/>
      <c r="I1323"/>
    </row>
    <row r="1324" spans="7:9" x14ac:dyDescent="0.25">
      <c r="G1324"/>
      <c r="H1324"/>
      <c r="I1324"/>
    </row>
    <row r="1325" spans="7:9" x14ac:dyDescent="0.25">
      <c r="G1325"/>
      <c r="H1325"/>
      <c r="I1325"/>
    </row>
    <row r="1326" spans="7:9" x14ac:dyDescent="0.25">
      <c r="G1326"/>
      <c r="H1326"/>
      <c r="I1326"/>
    </row>
    <row r="1327" spans="7:9" x14ac:dyDescent="0.25">
      <c r="G1327"/>
      <c r="H1327"/>
      <c r="I1327"/>
    </row>
    <row r="1328" spans="7:9" x14ac:dyDescent="0.25">
      <c r="G1328"/>
      <c r="H1328"/>
      <c r="I1328"/>
    </row>
    <row r="1329" spans="7:9" x14ac:dyDescent="0.25">
      <c r="G1329"/>
      <c r="H1329"/>
      <c r="I1329"/>
    </row>
    <row r="1330" spans="7:9" x14ac:dyDescent="0.25">
      <c r="G1330"/>
      <c r="H1330"/>
      <c r="I1330"/>
    </row>
    <row r="1331" spans="7:9" x14ac:dyDescent="0.25">
      <c r="G1331"/>
      <c r="H1331"/>
      <c r="I1331"/>
    </row>
    <row r="1332" spans="7:9" x14ac:dyDescent="0.25">
      <c r="G1332"/>
      <c r="H1332"/>
      <c r="I1332"/>
    </row>
    <row r="1333" spans="7:9" x14ac:dyDescent="0.25">
      <c r="G1333"/>
      <c r="H1333"/>
      <c r="I1333"/>
    </row>
    <row r="1334" spans="7:9" x14ac:dyDescent="0.25">
      <c r="G1334"/>
      <c r="H1334"/>
      <c r="I1334"/>
    </row>
    <row r="1335" spans="7:9" x14ac:dyDescent="0.25">
      <c r="G1335"/>
      <c r="H1335"/>
      <c r="I1335"/>
    </row>
    <row r="1336" spans="7:9" x14ac:dyDescent="0.25">
      <c r="G1336"/>
      <c r="H1336"/>
      <c r="I1336"/>
    </row>
    <row r="1337" spans="7:9" x14ac:dyDescent="0.25">
      <c r="G1337"/>
      <c r="H1337"/>
      <c r="I1337"/>
    </row>
    <row r="1338" spans="7:9" x14ac:dyDescent="0.25">
      <c r="G1338"/>
      <c r="H1338"/>
      <c r="I1338"/>
    </row>
    <row r="1339" spans="7:9" x14ac:dyDescent="0.25">
      <c r="G1339"/>
      <c r="H1339"/>
      <c r="I1339"/>
    </row>
    <row r="1340" spans="7:9" x14ac:dyDescent="0.25">
      <c r="G1340"/>
      <c r="H1340"/>
      <c r="I1340"/>
    </row>
    <row r="1341" spans="7:9" x14ac:dyDescent="0.25">
      <c r="G1341"/>
      <c r="H1341"/>
      <c r="I1341"/>
    </row>
    <row r="1342" spans="7:9" x14ac:dyDescent="0.25">
      <c r="G1342"/>
      <c r="H1342"/>
      <c r="I1342"/>
    </row>
    <row r="1343" spans="7:9" x14ac:dyDescent="0.25">
      <c r="G1343"/>
      <c r="H1343"/>
      <c r="I1343"/>
    </row>
    <row r="1344" spans="7:9" x14ac:dyDescent="0.25">
      <c r="G1344"/>
      <c r="H1344"/>
      <c r="I1344"/>
    </row>
    <row r="1345" spans="7:9" x14ac:dyDescent="0.25">
      <c r="G1345"/>
      <c r="H1345"/>
      <c r="I1345"/>
    </row>
    <row r="1346" spans="7:9" x14ac:dyDescent="0.25">
      <c r="G1346"/>
      <c r="H1346"/>
      <c r="I1346"/>
    </row>
    <row r="1347" spans="7:9" x14ac:dyDescent="0.25">
      <c r="G1347"/>
      <c r="H1347"/>
      <c r="I1347"/>
    </row>
    <row r="1348" spans="7:9" x14ac:dyDescent="0.25">
      <c r="G1348"/>
      <c r="H1348"/>
      <c r="I1348"/>
    </row>
    <row r="1349" spans="7:9" x14ac:dyDescent="0.25">
      <c r="G1349"/>
      <c r="H1349"/>
      <c r="I1349"/>
    </row>
    <row r="1350" spans="7:9" x14ac:dyDescent="0.25">
      <c r="G1350"/>
      <c r="H1350"/>
      <c r="I1350"/>
    </row>
    <row r="1351" spans="7:9" x14ac:dyDescent="0.25">
      <c r="G1351"/>
      <c r="H1351"/>
      <c r="I1351"/>
    </row>
    <row r="1352" spans="7:9" x14ac:dyDescent="0.25">
      <c r="G1352"/>
      <c r="H1352"/>
      <c r="I1352"/>
    </row>
    <row r="1353" spans="7:9" x14ac:dyDescent="0.25">
      <c r="G1353"/>
      <c r="H1353"/>
      <c r="I1353"/>
    </row>
    <row r="1354" spans="7:9" x14ac:dyDescent="0.25">
      <c r="G1354"/>
      <c r="H1354"/>
      <c r="I1354"/>
    </row>
    <row r="1355" spans="7:9" x14ac:dyDescent="0.25">
      <c r="G1355"/>
      <c r="H1355"/>
      <c r="I1355"/>
    </row>
    <row r="1356" spans="7:9" x14ac:dyDescent="0.25">
      <c r="G1356"/>
      <c r="H1356"/>
      <c r="I1356"/>
    </row>
    <row r="1357" spans="7:9" x14ac:dyDescent="0.25">
      <c r="G1357"/>
      <c r="H1357"/>
      <c r="I1357"/>
    </row>
    <row r="1358" spans="7:9" x14ac:dyDescent="0.25">
      <c r="G1358"/>
      <c r="H1358"/>
      <c r="I1358"/>
    </row>
    <row r="1359" spans="7:9" x14ac:dyDescent="0.25">
      <c r="G1359"/>
      <c r="H1359"/>
      <c r="I1359"/>
    </row>
    <row r="1360" spans="7:9" x14ac:dyDescent="0.25">
      <c r="G1360"/>
      <c r="H1360"/>
      <c r="I1360"/>
    </row>
    <row r="1361" spans="7:9" x14ac:dyDescent="0.25">
      <c r="G1361"/>
      <c r="H1361"/>
      <c r="I1361"/>
    </row>
    <row r="1362" spans="7:9" x14ac:dyDescent="0.25">
      <c r="G1362"/>
      <c r="H1362"/>
      <c r="I1362"/>
    </row>
    <row r="1363" spans="7:9" x14ac:dyDescent="0.25">
      <c r="G1363"/>
      <c r="H1363"/>
      <c r="I1363"/>
    </row>
    <row r="1364" spans="7:9" x14ac:dyDescent="0.25">
      <c r="G1364"/>
      <c r="H1364"/>
      <c r="I1364"/>
    </row>
    <row r="1365" spans="7:9" x14ac:dyDescent="0.25">
      <c r="G1365"/>
      <c r="H1365"/>
      <c r="I1365"/>
    </row>
    <row r="1366" spans="7:9" x14ac:dyDescent="0.25">
      <c r="G1366"/>
      <c r="H1366"/>
      <c r="I1366"/>
    </row>
    <row r="1367" spans="7:9" x14ac:dyDescent="0.25">
      <c r="G1367"/>
      <c r="H1367"/>
      <c r="I1367"/>
    </row>
    <row r="1368" spans="7:9" x14ac:dyDescent="0.25">
      <c r="G1368"/>
      <c r="H1368"/>
      <c r="I1368"/>
    </row>
    <row r="1369" spans="7:9" x14ac:dyDescent="0.25">
      <c r="G1369"/>
      <c r="H1369"/>
      <c r="I1369"/>
    </row>
    <row r="1370" spans="7:9" x14ac:dyDescent="0.25">
      <c r="G1370"/>
      <c r="H1370"/>
      <c r="I1370"/>
    </row>
    <row r="1371" spans="7:9" x14ac:dyDescent="0.25">
      <c r="G1371"/>
      <c r="H1371"/>
      <c r="I1371"/>
    </row>
    <row r="1372" spans="7:9" x14ac:dyDescent="0.25">
      <c r="G1372"/>
      <c r="H1372"/>
      <c r="I1372"/>
    </row>
    <row r="1373" spans="7:9" x14ac:dyDescent="0.25">
      <c r="G1373"/>
      <c r="H1373"/>
      <c r="I1373"/>
    </row>
    <row r="1374" spans="7:9" x14ac:dyDescent="0.25">
      <c r="G1374"/>
      <c r="H1374"/>
      <c r="I1374"/>
    </row>
    <row r="1375" spans="7:9" x14ac:dyDescent="0.25">
      <c r="G1375"/>
      <c r="H1375"/>
      <c r="I1375"/>
    </row>
    <row r="1376" spans="7:9" x14ac:dyDescent="0.25">
      <c r="G1376"/>
      <c r="H1376"/>
      <c r="I1376"/>
    </row>
    <row r="1377" spans="7:9" x14ac:dyDescent="0.25">
      <c r="G1377"/>
      <c r="H1377"/>
      <c r="I1377"/>
    </row>
    <row r="1378" spans="7:9" x14ac:dyDescent="0.25">
      <c r="G1378"/>
      <c r="H1378"/>
      <c r="I1378"/>
    </row>
    <row r="1379" spans="7:9" x14ac:dyDescent="0.25">
      <c r="G1379"/>
      <c r="H1379"/>
      <c r="I1379"/>
    </row>
    <row r="1380" spans="7:9" x14ac:dyDescent="0.25">
      <c r="G1380"/>
      <c r="H1380"/>
      <c r="I1380"/>
    </row>
    <row r="1381" spans="7:9" x14ac:dyDescent="0.25">
      <c r="G1381"/>
      <c r="H1381"/>
      <c r="I1381"/>
    </row>
    <row r="1382" spans="7:9" x14ac:dyDescent="0.25">
      <c r="G1382"/>
      <c r="H1382"/>
      <c r="I1382"/>
    </row>
    <row r="1383" spans="7:9" x14ac:dyDescent="0.25">
      <c r="G1383"/>
      <c r="H1383"/>
      <c r="I1383"/>
    </row>
    <row r="1384" spans="7:9" x14ac:dyDescent="0.25">
      <c r="G1384"/>
      <c r="H1384"/>
      <c r="I1384"/>
    </row>
    <row r="1385" spans="7:9" x14ac:dyDescent="0.25">
      <c r="G1385"/>
      <c r="H1385"/>
      <c r="I1385"/>
    </row>
    <row r="1386" spans="7:9" x14ac:dyDescent="0.25">
      <c r="G1386"/>
      <c r="H1386"/>
      <c r="I1386"/>
    </row>
    <row r="1387" spans="7:9" x14ac:dyDescent="0.25">
      <c r="G1387"/>
      <c r="H1387"/>
      <c r="I1387"/>
    </row>
    <row r="1388" spans="7:9" x14ac:dyDescent="0.25">
      <c r="G1388"/>
      <c r="H1388"/>
      <c r="I1388"/>
    </row>
    <row r="1389" spans="7:9" x14ac:dyDescent="0.25">
      <c r="G1389"/>
      <c r="H1389"/>
      <c r="I1389"/>
    </row>
    <row r="1390" spans="7:9" x14ac:dyDescent="0.25">
      <c r="G1390"/>
      <c r="H1390"/>
      <c r="I1390"/>
    </row>
    <row r="1391" spans="7:9" x14ac:dyDescent="0.25">
      <c r="G1391"/>
      <c r="H1391"/>
      <c r="I1391"/>
    </row>
    <row r="1392" spans="7:9" x14ac:dyDescent="0.25">
      <c r="G1392"/>
      <c r="H1392"/>
      <c r="I1392"/>
    </row>
    <row r="1393" spans="7:9" x14ac:dyDescent="0.25">
      <c r="G1393"/>
      <c r="H1393"/>
      <c r="I1393"/>
    </row>
    <row r="1394" spans="7:9" x14ac:dyDescent="0.25">
      <c r="G1394"/>
      <c r="H1394"/>
      <c r="I1394"/>
    </row>
    <row r="1395" spans="7:9" x14ac:dyDescent="0.25">
      <c r="G1395"/>
      <c r="H1395"/>
      <c r="I1395"/>
    </row>
    <row r="1396" spans="7:9" x14ac:dyDescent="0.25">
      <c r="G1396"/>
      <c r="H1396"/>
      <c r="I1396"/>
    </row>
    <row r="1397" spans="7:9" x14ac:dyDescent="0.25">
      <c r="G1397"/>
      <c r="H1397"/>
      <c r="I1397"/>
    </row>
    <row r="1398" spans="7:9" x14ac:dyDescent="0.25">
      <c r="G1398"/>
      <c r="H1398"/>
      <c r="I1398"/>
    </row>
    <row r="1399" spans="7:9" x14ac:dyDescent="0.25">
      <c r="G1399"/>
      <c r="H1399"/>
      <c r="I1399"/>
    </row>
    <row r="1400" spans="7:9" x14ac:dyDescent="0.25">
      <c r="G1400"/>
      <c r="H1400"/>
      <c r="I1400"/>
    </row>
    <row r="1401" spans="7:9" x14ac:dyDescent="0.25">
      <c r="G1401"/>
      <c r="H1401"/>
      <c r="I1401"/>
    </row>
    <row r="1402" spans="7:9" x14ac:dyDescent="0.25">
      <c r="G1402"/>
      <c r="H1402"/>
      <c r="I1402"/>
    </row>
    <row r="1403" spans="7:9" x14ac:dyDescent="0.25">
      <c r="G1403"/>
      <c r="H1403"/>
      <c r="I1403"/>
    </row>
    <row r="1404" spans="7:9" x14ac:dyDescent="0.25">
      <c r="G1404"/>
      <c r="H1404"/>
      <c r="I1404"/>
    </row>
    <row r="1405" spans="7:9" x14ac:dyDescent="0.25">
      <c r="G1405"/>
      <c r="H1405"/>
      <c r="I1405"/>
    </row>
    <row r="1406" spans="7:9" x14ac:dyDescent="0.25">
      <c r="G1406"/>
      <c r="H1406"/>
      <c r="I1406"/>
    </row>
    <row r="1407" spans="7:9" x14ac:dyDescent="0.25">
      <c r="G1407"/>
      <c r="H1407"/>
      <c r="I1407"/>
    </row>
    <row r="1408" spans="7:9" x14ac:dyDescent="0.25">
      <c r="G1408"/>
      <c r="H1408"/>
      <c r="I1408"/>
    </row>
    <row r="1409" spans="7:9" x14ac:dyDescent="0.25">
      <c r="G1409"/>
      <c r="H1409"/>
      <c r="I1409"/>
    </row>
    <row r="1410" spans="7:9" x14ac:dyDescent="0.25">
      <c r="G1410"/>
      <c r="H1410"/>
      <c r="I1410"/>
    </row>
    <row r="1411" spans="7:9" x14ac:dyDescent="0.25">
      <c r="G1411"/>
      <c r="H1411"/>
      <c r="I1411"/>
    </row>
    <row r="1412" spans="7:9" x14ac:dyDescent="0.25">
      <c r="G1412"/>
      <c r="H1412"/>
      <c r="I1412"/>
    </row>
    <row r="1413" spans="7:9" x14ac:dyDescent="0.25">
      <c r="G1413"/>
      <c r="H1413"/>
      <c r="I1413"/>
    </row>
    <row r="1414" spans="7:9" x14ac:dyDescent="0.25">
      <c r="G1414"/>
      <c r="H1414"/>
      <c r="I1414"/>
    </row>
    <row r="1415" spans="7:9" x14ac:dyDescent="0.25">
      <c r="G1415"/>
      <c r="H1415"/>
      <c r="I1415"/>
    </row>
    <row r="1416" spans="7:9" x14ac:dyDescent="0.25">
      <c r="G1416"/>
      <c r="H1416"/>
      <c r="I1416"/>
    </row>
    <row r="1417" spans="7:9" x14ac:dyDescent="0.25">
      <c r="G1417"/>
      <c r="H1417"/>
      <c r="I1417"/>
    </row>
    <row r="1418" spans="7:9" x14ac:dyDescent="0.25">
      <c r="G1418"/>
      <c r="H1418"/>
      <c r="I1418"/>
    </row>
    <row r="1419" spans="7:9" x14ac:dyDescent="0.25">
      <c r="G1419"/>
      <c r="H1419"/>
      <c r="I1419"/>
    </row>
    <row r="1420" spans="7:9" x14ac:dyDescent="0.25">
      <c r="G1420"/>
      <c r="H1420"/>
      <c r="I1420"/>
    </row>
    <row r="1421" spans="7:9" x14ac:dyDescent="0.25">
      <c r="G1421"/>
      <c r="H1421"/>
      <c r="I1421"/>
    </row>
    <row r="1422" spans="7:9" x14ac:dyDescent="0.25">
      <c r="G1422"/>
      <c r="H1422"/>
      <c r="I1422"/>
    </row>
    <row r="1423" spans="7:9" x14ac:dyDescent="0.25">
      <c r="G1423"/>
      <c r="H1423"/>
      <c r="I1423"/>
    </row>
    <row r="1424" spans="7:9" x14ac:dyDescent="0.25">
      <c r="G1424"/>
      <c r="H1424"/>
      <c r="I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row r="1508" spans="7:8" x14ac:dyDescent="0.25">
      <c r="G1508"/>
      <c r="H1508"/>
    </row>
    <row r="1509" spans="7:8" x14ac:dyDescent="0.25">
      <c r="G1509"/>
      <c r="H1509"/>
    </row>
    <row r="1510" spans="7:8" x14ac:dyDescent="0.25">
      <c r="G1510"/>
      <c r="H1510"/>
    </row>
    <row r="1511" spans="7:8" x14ac:dyDescent="0.25">
      <c r="G1511"/>
      <c r="H1511"/>
    </row>
    <row r="1512" spans="7:8" x14ac:dyDescent="0.25">
      <c r="G1512"/>
      <c r="H1512"/>
    </row>
    <row r="1513" spans="7:8" x14ac:dyDescent="0.25">
      <c r="G1513"/>
      <c r="H1513"/>
    </row>
    <row r="1514" spans="7:8" x14ac:dyDescent="0.25">
      <c r="G1514"/>
      <c r="H1514"/>
    </row>
    <row r="1515" spans="7:8" x14ac:dyDescent="0.25">
      <c r="G1515"/>
      <c r="H1515"/>
    </row>
    <row r="1516" spans="7:8" x14ac:dyDescent="0.25">
      <c r="G1516"/>
      <c r="H1516"/>
    </row>
    <row r="1517" spans="7:8" x14ac:dyDescent="0.25">
      <c r="G1517"/>
      <c r="H1517"/>
    </row>
    <row r="1518" spans="7:8" x14ac:dyDescent="0.25">
      <c r="G1518"/>
      <c r="H1518"/>
    </row>
    <row r="1519" spans="7:8" x14ac:dyDescent="0.25">
      <c r="G1519"/>
      <c r="H1519"/>
    </row>
    <row r="1520" spans="7:8" x14ac:dyDescent="0.25">
      <c r="G1520"/>
      <c r="H1520"/>
    </row>
    <row r="1521" spans="7:8" x14ac:dyDescent="0.25">
      <c r="G1521"/>
      <c r="H1521"/>
    </row>
    <row r="1522" spans="7:8" x14ac:dyDescent="0.25">
      <c r="G1522"/>
      <c r="H1522"/>
    </row>
    <row r="1523" spans="7:8" x14ac:dyDescent="0.25">
      <c r="G1523"/>
      <c r="H1523"/>
    </row>
    <row r="1524" spans="7:8" x14ac:dyDescent="0.25">
      <c r="G1524"/>
      <c r="H1524"/>
    </row>
    <row r="1525" spans="7:8" x14ac:dyDescent="0.25">
      <c r="G1525"/>
      <c r="H1525"/>
    </row>
    <row r="1526" spans="7:8" x14ac:dyDescent="0.25">
      <c r="G1526"/>
      <c r="H1526"/>
    </row>
    <row r="1527" spans="7:8" x14ac:dyDescent="0.25">
      <c r="G1527"/>
      <c r="H1527"/>
    </row>
    <row r="1528" spans="7:8" x14ac:dyDescent="0.25">
      <c r="G1528"/>
      <c r="H1528"/>
    </row>
    <row r="1529" spans="7:8" x14ac:dyDescent="0.25">
      <c r="G1529"/>
      <c r="H1529"/>
    </row>
    <row r="1530" spans="7:8" x14ac:dyDescent="0.25">
      <c r="G1530"/>
      <c r="H1530"/>
    </row>
    <row r="1531" spans="7:8" x14ac:dyDescent="0.25">
      <c r="G1531"/>
      <c r="H1531"/>
    </row>
    <row r="1532" spans="7:8" x14ac:dyDescent="0.25">
      <c r="G1532"/>
      <c r="H1532"/>
    </row>
    <row r="1533" spans="7:8" x14ac:dyDescent="0.25">
      <c r="G1533"/>
      <c r="H1533"/>
    </row>
    <row r="1534" spans="7:8" x14ac:dyDescent="0.25">
      <c r="G1534"/>
      <c r="H1534"/>
    </row>
    <row r="1535" spans="7:8" x14ac:dyDescent="0.25">
      <c r="G1535"/>
      <c r="H1535"/>
    </row>
    <row r="1536" spans="7:8" x14ac:dyDescent="0.25">
      <c r="G1536"/>
      <c r="H1536"/>
    </row>
    <row r="1537" spans="7:8" x14ac:dyDescent="0.25">
      <c r="G1537"/>
      <c r="H1537"/>
    </row>
    <row r="1538" spans="7:8" x14ac:dyDescent="0.25">
      <c r="G1538"/>
      <c r="H1538"/>
    </row>
    <row r="1539" spans="7:8" x14ac:dyDescent="0.25">
      <c r="G1539"/>
      <c r="H1539"/>
    </row>
    <row r="1540" spans="7:8" x14ac:dyDescent="0.25">
      <c r="G1540"/>
      <c r="H1540"/>
    </row>
    <row r="1541" spans="7:8" x14ac:dyDescent="0.25">
      <c r="G1541"/>
      <c r="H1541"/>
    </row>
    <row r="1542" spans="7:8" x14ac:dyDescent="0.25">
      <c r="G1542"/>
      <c r="H1542"/>
    </row>
    <row r="1543" spans="7:8" x14ac:dyDescent="0.25">
      <c r="G1543"/>
      <c r="H1543"/>
    </row>
    <row r="1544" spans="7:8" x14ac:dyDescent="0.25">
      <c r="G1544"/>
      <c r="H1544"/>
    </row>
    <row r="1545" spans="7:8" x14ac:dyDescent="0.25">
      <c r="G1545"/>
      <c r="H1545"/>
    </row>
    <row r="1546" spans="7:8" x14ac:dyDescent="0.25">
      <c r="G1546"/>
      <c r="H1546"/>
    </row>
    <row r="1547" spans="7:8" x14ac:dyDescent="0.25">
      <c r="G1547"/>
      <c r="H1547"/>
    </row>
    <row r="1548" spans="7:8" x14ac:dyDescent="0.25">
      <c r="G1548"/>
      <c r="H1548"/>
    </row>
    <row r="1549" spans="7:8" x14ac:dyDescent="0.25">
      <c r="G1549"/>
      <c r="H1549"/>
    </row>
    <row r="1550" spans="7:8" x14ac:dyDescent="0.25">
      <c r="G1550"/>
      <c r="H1550"/>
    </row>
    <row r="1551" spans="7:8" x14ac:dyDescent="0.25">
      <c r="G1551"/>
      <c r="H1551"/>
    </row>
    <row r="1552" spans="7:8" x14ac:dyDescent="0.25">
      <c r="G1552"/>
      <c r="H1552"/>
    </row>
    <row r="1553" spans="7:8" x14ac:dyDescent="0.25">
      <c r="G1553"/>
      <c r="H1553"/>
    </row>
    <row r="1554" spans="7:8" x14ac:dyDescent="0.25">
      <c r="G1554"/>
      <c r="H1554"/>
    </row>
    <row r="1555" spans="7:8" x14ac:dyDescent="0.25">
      <c r="G1555"/>
      <c r="H1555"/>
    </row>
    <row r="1556" spans="7:8" x14ac:dyDescent="0.25">
      <c r="G1556"/>
      <c r="H1556"/>
    </row>
    <row r="1557" spans="7:8" x14ac:dyDescent="0.25">
      <c r="G1557"/>
      <c r="H1557"/>
    </row>
    <row r="1558" spans="7:8" x14ac:dyDescent="0.25">
      <c r="G1558"/>
      <c r="H1558"/>
    </row>
    <row r="1559" spans="7:8" x14ac:dyDescent="0.25">
      <c r="G1559"/>
      <c r="H1559"/>
    </row>
    <row r="1560" spans="7:8" x14ac:dyDescent="0.25">
      <c r="G1560"/>
      <c r="H1560"/>
    </row>
    <row r="1561" spans="7:8" x14ac:dyDescent="0.25">
      <c r="G1561"/>
      <c r="H1561"/>
    </row>
    <row r="1562" spans="7:8" x14ac:dyDescent="0.25">
      <c r="G1562"/>
      <c r="H1562"/>
    </row>
    <row r="1563" spans="7:8" x14ac:dyDescent="0.25">
      <c r="G1563"/>
      <c r="H1563"/>
    </row>
    <row r="1564" spans="7:8" x14ac:dyDescent="0.25">
      <c r="G1564"/>
      <c r="H1564"/>
    </row>
    <row r="1565" spans="7:8" x14ac:dyDescent="0.25">
      <c r="G1565"/>
      <c r="H1565"/>
    </row>
    <row r="1566" spans="7:8" x14ac:dyDescent="0.25">
      <c r="G1566"/>
      <c r="H1566"/>
    </row>
    <row r="1567" spans="7:8" x14ac:dyDescent="0.25">
      <c r="G1567"/>
      <c r="H1567"/>
    </row>
    <row r="1568" spans="7:8" x14ac:dyDescent="0.25">
      <c r="G1568"/>
      <c r="H1568"/>
    </row>
    <row r="1569" spans="7:8" x14ac:dyDescent="0.25">
      <c r="G1569"/>
      <c r="H1569"/>
    </row>
    <row r="1570" spans="7:8" x14ac:dyDescent="0.25">
      <c r="G1570"/>
      <c r="H1570"/>
    </row>
    <row r="1571" spans="7:8" x14ac:dyDescent="0.25">
      <c r="G1571"/>
      <c r="H1571"/>
    </row>
    <row r="1572" spans="7:8" x14ac:dyDescent="0.25">
      <c r="G1572"/>
      <c r="H1572"/>
    </row>
    <row r="1573" spans="7:8" x14ac:dyDescent="0.25">
      <c r="G1573"/>
      <c r="H1573"/>
    </row>
    <row r="1574" spans="7:8" x14ac:dyDescent="0.25">
      <c r="G1574"/>
      <c r="H1574"/>
    </row>
    <row r="1575" spans="7:8" x14ac:dyDescent="0.25">
      <c r="G1575"/>
      <c r="H1575"/>
    </row>
    <row r="1576" spans="7:8" x14ac:dyDescent="0.25">
      <c r="G1576"/>
      <c r="H1576"/>
    </row>
    <row r="1577" spans="7:8" x14ac:dyDescent="0.25">
      <c r="G1577"/>
      <c r="H1577"/>
    </row>
    <row r="1578" spans="7:8" x14ac:dyDescent="0.25">
      <c r="G1578"/>
      <c r="H1578"/>
    </row>
    <row r="1579" spans="7:8" x14ac:dyDescent="0.25">
      <c r="G1579"/>
      <c r="H1579"/>
    </row>
    <row r="1580" spans="7:8" x14ac:dyDescent="0.25">
      <c r="G1580"/>
      <c r="H1580"/>
    </row>
    <row r="1581" spans="7:8" x14ac:dyDescent="0.25">
      <c r="G1581"/>
      <c r="H1581"/>
    </row>
    <row r="1582" spans="7:8" x14ac:dyDescent="0.25">
      <c r="G1582"/>
      <c r="H1582"/>
    </row>
    <row r="1583" spans="7:8" x14ac:dyDescent="0.25">
      <c r="G1583"/>
      <c r="H1583"/>
    </row>
    <row r="1584" spans="7:8" x14ac:dyDescent="0.25">
      <c r="G1584"/>
      <c r="H1584"/>
    </row>
    <row r="1585" spans="7:8" x14ac:dyDescent="0.25">
      <c r="G1585"/>
      <c r="H1585"/>
    </row>
    <row r="1586" spans="7:8" x14ac:dyDescent="0.25">
      <c r="G1586"/>
      <c r="H1586"/>
    </row>
    <row r="1587" spans="7:8" x14ac:dyDescent="0.25">
      <c r="G1587"/>
      <c r="H1587"/>
    </row>
    <row r="1588" spans="7:8" x14ac:dyDescent="0.25">
      <c r="G1588"/>
      <c r="H1588"/>
    </row>
    <row r="1589" spans="7:8" x14ac:dyDescent="0.25">
      <c r="G1589"/>
      <c r="H1589"/>
    </row>
    <row r="1590" spans="7:8" x14ac:dyDescent="0.25">
      <c r="G1590"/>
      <c r="H1590"/>
    </row>
    <row r="1591" spans="7:8" x14ac:dyDescent="0.25">
      <c r="G1591"/>
      <c r="H1591"/>
    </row>
    <row r="1592" spans="7:8" x14ac:dyDescent="0.25">
      <c r="G1592"/>
      <c r="H1592"/>
    </row>
    <row r="1593" spans="7:8" x14ac:dyDescent="0.25">
      <c r="G1593"/>
      <c r="H1593"/>
    </row>
    <row r="1594" spans="7:8" x14ac:dyDescent="0.25">
      <c r="G1594"/>
      <c r="H1594"/>
    </row>
    <row r="1595" spans="7:8" x14ac:dyDescent="0.25">
      <c r="G1595"/>
      <c r="H1595"/>
    </row>
    <row r="1596" spans="7:8" x14ac:dyDescent="0.25">
      <c r="G1596"/>
      <c r="H1596"/>
    </row>
    <row r="1597" spans="7:8" x14ac:dyDescent="0.25">
      <c r="G1597"/>
      <c r="H1597"/>
    </row>
    <row r="1598" spans="7:8" x14ac:dyDescent="0.25">
      <c r="G1598"/>
      <c r="H1598"/>
    </row>
    <row r="1599" spans="7:8" x14ac:dyDescent="0.25">
      <c r="G1599"/>
      <c r="H1599"/>
    </row>
    <row r="1600" spans="7:8" x14ac:dyDescent="0.25">
      <c r="G1600"/>
      <c r="H1600"/>
    </row>
    <row r="1601" spans="7:8" x14ac:dyDescent="0.25">
      <c r="G1601"/>
      <c r="H1601"/>
    </row>
    <row r="1602" spans="7:8" x14ac:dyDescent="0.25">
      <c r="G1602"/>
      <c r="H1602"/>
    </row>
    <row r="1603" spans="7:8" x14ac:dyDescent="0.25">
      <c r="G1603"/>
      <c r="H1603"/>
    </row>
    <row r="1604" spans="7:8" x14ac:dyDescent="0.25">
      <c r="G1604"/>
      <c r="H1604"/>
    </row>
    <row r="1605" spans="7:8" x14ac:dyDescent="0.25">
      <c r="G1605"/>
      <c r="H1605"/>
    </row>
    <row r="1606" spans="7:8" x14ac:dyDescent="0.25">
      <c r="G1606"/>
      <c r="H1606"/>
    </row>
    <row r="1607" spans="7:8" x14ac:dyDescent="0.25">
      <c r="G1607"/>
      <c r="H1607"/>
    </row>
    <row r="1608" spans="7:8" x14ac:dyDescent="0.25">
      <c r="G1608"/>
      <c r="H1608"/>
    </row>
    <row r="1609" spans="7:8" x14ac:dyDescent="0.25">
      <c r="G1609"/>
      <c r="H1609"/>
    </row>
    <row r="1610" spans="7:8" x14ac:dyDescent="0.25">
      <c r="G1610"/>
      <c r="H1610"/>
    </row>
    <row r="1611" spans="7:8" x14ac:dyDescent="0.25">
      <c r="G1611"/>
      <c r="H1611"/>
    </row>
    <row r="1612" spans="7:8" x14ac:dyDescent="0.25">
      <c r="G1612"/>
      <c r="H1612"/>
    </row>
    <row r="1613" spans="7:8" x14ac:dyDescent="0.25">
      <c r="G1613"/>
      <c r="H1613"/>
    </row>
    <row r="1614" spans="7:8" x14ac:dyDescent="0.25">
      <c r="G1614"/>
      <c r="H1614"/>
    </row>
    <row r="1615" spans="7:8" x14ac:dyDescent="0.25">
      <c r="G1615"/>
      <c r="H1615"/>
    </row>
    <row r="1616" spans="7:8" x14ac:dyDescent="0.25">
      <c r="G1616"/>
      <c r="H1616"/>
    </row>
    <row r="1617" spans="7:8" x14ac:dyDescent="0.25">
      <c r="G1617"/>
      <c r="H1617"/>
    </row>
    <row r="1618" spans="7:8" x14ac:dyDescent="0.25">
      <c r="G1618"/>
      <c r="H1618"/>
    </row>
    <row r="1619" spans="7:8" x14ac:dyDescent="0.25">
      <c r="G1619"/>
      <c r="H1619"/>
    </row>
    <row r="1620" spans="7:8" x14ac:dyDescent="0.25">
      <c r="G1620"/>
      <c r="H1620"/>
    </row>
    <row r="1621" spans="7:8" x14ac:dyDescent="0.25">
      <c r="G1621"/>
      <c r="H1621"/>
    </row>
    <row r="1622" spans="7:8" x14ac:dyDescent="0.25">
      <c r="G1622"/>
      <c r="H1622"/>
    </row>
    <row r="1623" spans="7:8" x14ac:dyDescent="0.25">
      <c r="G1623"/>
      <c r="H1623"/>
    </row>
    <row r="1624" spans="7:8" x14ac:dyDescent="0.25">
      <c r="G1624"/>
      <c r="H1624"/>
    </row>
    <row r="1625" spans="7:8" x14ac:dyDescent="0.25">
      <c r="G1625"/>
      <c r="H1625"/>
    </row>
    <row r="1626" spans="7:8" x14ac:dyDescent="0.25">
      <c r="G1626"/>
      <c r="H1626"/>
    </row>
    <row r="1627" spans="7:8" x14ac:dyDescent="0.25">
      <c r="G1627"/>
      <c r="H1627"/>
    </row>
    <row r="1628" spans="7:8" x14ac:dyDescent="0.25">
      <c r="G1628"/>
      <c r="H1628"/>
    </row>
    <row r="1629" spans="7:8" x14ac:dyDescent="0.25">
      <c r="G1629"/>
      <c r="H1629"/>
    </row>
    <row r="1630" spans="7:8" x14ac:dyDescent="0.25">
      <c r="G1630"/>
      <c r="H1630"/>
    </row>
    <row r="1631" spans="7:8" x14ac:dyDescent="0.25">
      <c r="G1631"/>
      <c r="H1631"/>
    </row>
    <row r="1632" spans="7:8" x14ac:dyDescent="0.25">
      <c r="G1632"/>
      <c r="H1632"/>
    </row>
    <row r="1633" spans="7:8" x14ac:dyDescent="0.25">
      <c r="G1633"/>
      <c r="H1633"/>
    </row>
    <row r="1634" spans="7:8" x14ac:dyDescent="0.25">
      <c r="G1634"/>
      <c r="H1634"/>
    </row>
    <row r="1635" spans="7:8" x14ac:dyDescent="0.25">
      <c r="G1635"/>
      <c r="H1635"/>
    </row>
    <row r="1636" spans="7:8" x14ac:dyDescent="0.25">
      <c r="G1636"/>
      <c r="H1636"/>
    </row>
    <row r="1637" spans="7:8" x14ac:dyDescent="0.25">
      <c r="G1637"/>
      <c r="H1637"/>
    </row>
    <row r="1638" spans="7:8" x14ac:dyDescent="0.25">
      <c r="G1638"/>
      <c r="H1638"/>
    </row>
    <row r="1639" spans="7:8" x14ac:dyDescent="0.25">
      <c r="G1639"/>
      <c r="H1639"/>
    </row>
    <row r="1640" spans="7:8" x14ac:dyDescent="0.25">
      <c r="G1640"/>
      <c r="H1640"/>
    </row>
    <row r="1641" spans="7:8" x14ac:dyDescent="0.25">
      <c r="G1641"/>
      <c r="H1641"/>
    </row>
    <row r="1642" spans="7:8" x14ac:dyDescent="0.25">
      <c r="G1642"/>
      <c r="H1642"/>
    </row>
    <row r="1643" spans="7:8" x14ac:dyDescent="0.25">
      <c r="G1643"/>
      <c r="H1643"/>
    </row>
    <row r="1644" spans="7:8" x14ac:dyDescent="0.25">
      <c r="G1644"/>
      <c r="H1644"/>
    </row>
    <row r="1645" spans="7:8" x14ac:dyDescent="0.25">
      <c r="G1645"/>
      <c r="H1645"/>
    </row>
    <row r="1646" spans="7:8" x14ac:dyDescent="0.25">
      <c r="G1646"/>
      <c r="H1646"/>
    </row>
    <row r="1647" spans="7:8" x14ac:dyDescent="0.25">
      <c r="G1647"/>
      <c r="H1647"/>
    </row>
    <row r="1648" spans="7:8" x14ac:dyDescent="0.25">
      <c r="G1648"/>
      <c r="H1648"/>
    </row>
    <row r="1649" spans="7:8" x14ac:dyDescent="0.25">
      <c r="G1649"/>
      <c r="H1649"/>
    </row>
    <row r="1650" spans="7:8" x14ac:dyDescent="0.25">
      <c r="G1650"/>
      <c r="H1650"/>
    </row>
    <row r="1651" spans="7:8" x14ac:dyDescent="0.25">
      <c r="G1651"/>
      <c r="H1651"/>
    </row>
    <row r="1652" spans="7:8" x14ac:dyDescent="0.25">
      <c r="G1652"/>
      <c r="H1652"/>
    </row>
    <row r="1653" spans="7:8" x14ac:dyDescent="0.25">
      <c r="G1653"/>
      <c r="H1653"/>
    </row>
    <row r="1654" spans="7:8" x14ac:dyDescent="0.25">
      <c r="G1654"/>
      <c r="H1654"/>
    </row>
    <row r="1655" spans="7:8" x14ac:dyDescent="0.25">
      <c r="G1655"/>
      <c r="H1655"/>
    </row>
    <row r="1656" spans="7:8" x14ac:dyDescent="0.25">
      <c r="G1656"/>
      <c r="H1656"/>
    </row>
    <row r="1657" spans="7:8" x14ac:dyDescent="0.25">
      <c r="G1657"/>
      <c r="H1657"/>
    </row>
    <row r="1658" spans="7:8" x14ac:dyDescent="0.25">
      <c r="G1658"/>
      <c r="H1658"/>
    </row>
    <row r="1659" spans="7:8" x14ac:dyDescent="0.25">
      <c r="G1659"/>
      <c r="H1659"/>
    </row>
    <row r="1660" spans="7:8" x14ac:dyDescent="0.25">
      <c r="G1660"/>
      <c r="H1660"/>
    </row>
    <row r="1661" spans="7:8" x14ac:dyDescent="0.25">
      <c r="G1661"/>
      <c r="H1661"/>
    </row>
    <row r="1662" spans="7:8" x14ac:dyDescent="0.25">
      <c r="G1662"/>
      <c r="H1662"/>
    </row>
    <row r="1663" spans="7:8" x14ac:dyDescent="0.25">
      <c r="G1663"/>
      <c r="H1663"/>
    </row>
    <row r="1664" spans="7:8" x14ac:dyDescent="0.25">
      <c r="G1664"/>
      <c r="H1664"/>
    </row>
    <row r="1665" spans="7:8" x14ac:dyDescent="0.25">
      <c r="G1665"/>
      <c r="H1665"/>
    </row>
    <row r="1666" spans="7:8" x14ac:dyDescent="0.25">
      <c r="G1666"/>
      <c r="H1666"/>
    </row>
    <row r="1667" spans="7:8" x14ac:dyDescent="0.25">
      <c r="G1667"/>
      <c r="H1667"/>
    </row>
    <row r="1668" spans="7:8" x14ac:dyDescent="0.25">
      <c r="G1668"/>
      <c r="H1668"/>
    </row>
    <row r="1669" spans="7:8" x14ac:dyDescent="0.25">
      <c r="G1669"/>
      <c r="H1669"/>
    </row>
    <row r="1670" spans="7:8" x14ac:dyDescent="0.25">
      <c r="G1670"/>
      <c r="H1670"/>
    </row>
    <row r="1671" spans="7:8" x14ac:dyDescent="0.25">
      <c r="G1671"/>
      <c r="H1671"/>
    </row>
    <row r="1672" spans="7:8" x14ac:dyDescent="0.25">
      <c r="G1672"/>
      <c r="H1672"/>
    </row>
    <row r="1673" spans="7:8" x14ac:dyDescent="0.25">
      <c r="G1673"/>
      <c r="H1673"/>
    </row>
    <row r="1674" spans="7:8" x14ac:dyDescent="0.25">
      <c r="G1674"/>
      <c r="H1674"/>
    </row>
    <row r="1675" spans="7:8" x14ac:dyDescent="0.25">
      <c r="G1675"/>
      <c r="H1675"/>
    </row>
    <row r="1676" spans="7:8" x14ac:dyDescent="0.25">
      <c r="G1676"/>
      <c r="H1676"/>
    </row>
    <row r="1677" spans="7:8" x14ac:dyDescent="0.25">
      <c r="G1677"/>
      <c r="H1677"/>
    </row>
    <row r="1678" spans="7:8" x14ac:dyDescent="0.25">
      <c r="G1678"/>
      <c r="H1678"/>
    </row>
    <row r="1679" spans="7:8" x14ac:dyDescent="0.25">
      <c r="G1679"/>
      <c r="H1679"/>
    </row>
    <row r="1680" spans="7:8" x14ac:dyDescent="0.25">
      <c r="G1680"/>
      <c r="H1680"/>
    </row>
    <row r="1681" spans="7:8" x14ac:dyDescent="0.25">
      <c r="G1681"/>
      <c r="H1681"/>
    </row>
    <row r="1682" spans="7:8" x14ac:dyDescent="0.25">
      <c r="G1682"/>
      <c r="H1682"/>
    </row>
    <row r="1683" spans="7:8" x14ac:dyDescent="0.25">
      <c r="G1683"/>
      <c r="H1683"/>
    </row>
    <row r="1684" spans="7:8" x14ac:dyDescent="0.25">
      <c r="G1684"/>
      <c r="H1684"/>
    </row>
    <row r="1685" spans="7:8" x14ac:dyDescent="0.25">
      <c r="G1685"/>
      <c r="H1685"/>
    </row>
    <row r="1686" spans="7:8" x14ac:dyDescent="0.25">
      <c r="G1686"/>
      <c r="H1686"/>
    </row>
    <row r="1687" spans="7:8" x14ac:dyDescent="0.25">
      <c r="G1687"/>
      <c r="H1687"/>
    </row>
    <row r="1688" spans="7:8" x14ac:dyDescent="0.25">
      <c r="G1688"/>
      <c r="H1688"/>
    </row>
    <row r="1689" spans="7:8" x14ac:dyDescent="0.25">
      <c r="G1689"/>
      <c r="H1689"/>
    </row>
    <row r="1690" spans="7:8" x14ac:dyDescent="0.25">
      <c r="G1690"/>
      <c r="H1690"/>
    </row>
    <row r="1691" spans="7:8" x14ac:dyDescent="0.25">
      <c r="G1691"/>
      <c r="H1691"/>
    </row>
    <row r="1692" spans="7:8" x14ac:dyDescent="0.25">
      <c r="G1692"/>
      <c r="H1692"/>
    </row>
    <row r="1693" spans="7:8" x14ac:dyDescent="0.25">
      <c r="G1693"/>
      <c r="H1693"/>
    </row>
    <row r="1694" spans="7:8" x14ac:dyDescent="0.25">
      <c r="G1694"/>
      <c r="H1694"/>
    </row>
    <row r="1695" spans="7:8" x14ac:dyDescent="0.25">
      <c r="G1695"/>
      <c r="H1695"/>
    </row>
    <row r="1696" spans="7:8" x14ac:dyDescent="0.25">
      <c r="G1696"/>
      <c r="H1696"/>
    </row>
    <row r="1697" spans="7:8" x14ac:dyDescent="0.25">
      <c r="G1697"/>
      <c r="H1697"/>
    </row>
    <row r="1698" spans="7:8" x14ac:dyDescent="0.25">
      <c r="G1698"/>
      <c r="H1698"/>
    </row>
    <row r="1699" spans="7:8" x14ac:dyDescent="0.25">
      <c r="G1699"/>
      <c r="H1699"/>
    </row>
    <row r="1700" spans="7:8" x14ac:dyDescent="0.25">
      <c r="G1700"/>
      <c r="H1700"/>
    </row>
    <row r="1701" spans="7:8" x14ac:dyDescent="0.25">
      <c r="G1701"/>
      <c r="H1701"/>
    </row>
    <row r="1702" spans="7:8" x14ac:dyDescent="0.25">
      <c r="G1702"/>
      <c r="H1702"/>
    </row>
    <row r="1703" spans="7:8" x14ac:dyDescent="0.25">
      <c r="G1703"/>
      <c r="H1703"/>
    </row>
    <row r="1704" spans="7:8" x14ac:dyDescent="0.25">
      <c r="G1704"/>
      <c r="H1704"/>
    </row>
    <row r="1705" spans="7:8" x14ac:dyDescent="0.25">
      <c r="G1705"/>
      <c r="H1705"/>
    </row>
    <row r="1706" spans="7:8" x14ac:dyDescent="0.25">
      <c r="G1706"/>
      <c r="H1706"/>
    </row>
    <row r="1707" spans="7:8" x14ac:dyDescent="0.25">
      <c r="G1707"/>
      <c r="H1707"/>
    </row>
    <row r="1708" spans="7:8" x14ac:dyDescent="0.25">
      <c r="G1708"/>
      <c r="H1708"/>
    </row>
    <row r="1709" spans="7:8" x14ac:dyDescent="0.25">
      <c r="G1709"/>
      <c r="H1709"/>
    </row>
    <row r="1710" spans="7:8" x14ac:dyDescent="0.25">
      <c r="G1710"/>
      <c r="H1710"/>
    </row>
    <row r="1711" spans="7:8" x14ac:dyDescent="0.25">
      <c r="G1711"/>
      <c r="H1711"/>
    </row>
    <row r="1712" spans="7:8" x14ac:dyDescent="0.25">
      <c r="G1712"/>
      <c r="H1712"/>
    </row>
    <row r="1713" spans="7:8" x14ac:dyDescent="0.25">
      <c r="G1713"/>
      <c r="H1713"/>
    </row>
    <row r="1714" spans="7:8" x14ac:dyDescent="0.25">
      <c r="G1714"/>
      <c r="H1714"/>
    </row>
    <row r="1715" spans="7:8" x14ac:dyDescent="0.25">
      <c r="G1715"/>
      <c r="H1715"/>
    </row>
    <row r="1716" spans="7:8" x14ac:dyDescent="0.25">
      <c r="G1716"/>
      <c r="H1716"/>
    </row>
    <row r="1717" spans="7:8" x14ac:dyDescent="0.25">
      <c r="G1717"/>
      <c r="H1717"/>
    </row>
    <row r="1718" spans="7:8" x14ac:dyDescent="0.25">
      <c r="G1718"/>
      <c r="H1718"/>
    </row>
    <row r="1719" spans="7:8" x14ac:dyDescent="0.25">
      <c r="G1719"/>
      <c r="H1719"/>
    </row>
    <row r="1720" spans="7:8" x14ac:dyDescent="0.25">
      <c r="G1720"/>
      <c r="H1720"/>
    </row>
    <row r="1721" spans="7:8" x14ac:dyDescent="0.25">
      <c r="G1721"/>
      <c r="H1721"/>
    </row>
    <row r="1722" spans="7:8" x14ac:dyDescent="0.25">
      <c r="G1722"/>
      <c r="H1722"/>
    </row>
    <row r="1723" spans="7:8" x14ac:dyDescent="0.25">
      <c r="G1723"/>
      <c r="H1723"/>
    </row>
    <row r="1724" spans="7:8" x14ac:dyDescent="0.25">
      <c r="G1724"/>
      <c r="H1724"/>
    </row>
    <row r="1725" spans="7:8" x14ac:dyDescent="0.25">
      <c r="G1725"/>
      <c r="H1725"/>
    </row>
    <row r="1726" spans="7:8" x14ac:dyDescent="0.25">
      <c r="G1726"/>
      <c r="H1726"/>
    </row>
    <row r="1727" spans="7:8" x14ac:dyDescent="0.25">
      <c r="G1727"/>
      <c r="H1727"/>
    </row>
    <row r="1728" spans="7:8" x14ac:dyDescent="0.25">
      <c r="G1728"/>
      <c r="H1728"/>
    </row>
    <row r="1729" spans="7:8" x14ac:dyDescent="0.25">
      <c r="G1729"/>
      <c r="H1729"/>
    </row>
    <row r="1730" spans="7:8" x14ac:dyDescent="0.25">
      <c r="G1730"/>
      <c r="H1730"/>
    </row>
    <row r="1731" spans="7:8" x14ac:dyDescent="0.25">
      <c r="G1731"/>
      <c r="H1731"/>
    </row>
    <row r="1732" spans="7:8" x14ac:dyDescent="0.25">
      <c r="G1732"/>
      <c r="H1732"/>
    </row>
    <row r="1733" spans="7:8" x14ac:dyDescent="0.25">
      <c r="G1733"/>
      <c r="H1733"/>
    </row>
    <row r="1734" spans="7:8" x14ac:dyDescent="0.25">
      <c r="G1734"/>
      <c r="H1734"/>
    </row>
    <row r="1735" spans="7:8" x14ac:dyDescent="0.25">
      <c r="G1735"/>
      <c r="H1735"/>
    </row>
    <row r="1736" spans="7:8" x14ac:dyDescent="0.25">
      <c r="G1736"/>
      <c r="H1736"/>
    </row>
    <row r="1737" spans="7:8" x14ac:dyDescent="0.25">
      <c r="G1737"/>
      <c r="H1737"/>
    </row>
    <row r="1738" spans="7:8" x14ac:dyDescent="0.25">
      <c r="G1738"/>
      <c r="H1738"/>
    </row>
    <row r="1739" spans="7:8" x14ac:dyDescent="0.25">
      <c r="G1739"/>
      <c r="H1739"/>
    </row>
    <row r="1740" spans="7:8" x14ac:dyDescent="0.25">
      <c r="G1740"/>
      <c r="H1740"/>
    </row>
    <row r="1741" spans="7:8" x14ac:dyDescent="0.25">
      <c r="G1741"/>
      <c r="H1741"/>
    </row>
    <row r="1742" spans="7:8" x14ac:dyDescent="0.25">
      <c r="G1742"/>
      <c r="H1742"/>
    </row>
    <row r="1743" spans="7:8" x14ac:dyDescent="0.25">
      <c r="G1743"/>
      <c r="H1743"/>
    </row>
    <row r="1744" spans="7:8" x14ac:dyDescent="0.25">
      <c r="G1744"/>
      <c r="H1744"/>
    </row>
    <row r="1745" spans="7:8" x14ac:dyDescent="0.25">
      <c r="G1745"/>
      <c r="H1745"/>
    </row>
    <row r="1746" spans="7:8" x14ac:dyDescent="0.25">
      <c r="G1746"/>
      <c r="H1746"/>
    </row>
    <row r="1747" spans="7:8" x14ac:dyDescent="0.25">
      <c r="G1747"/>
      <c r="H1747"/>
    </row>
    <row r="1748" spans="7:8" x14ac:dyDescent="0.25">
      <c r="G1748"/>
      <c r="H1748"/>
    </row>
    <row r="1749" spans="7:8" x14ac:dyDescent="0.25">
      <c r="G1749"/>
      <c r="H1749"/>
    </row>
    <row r="1750" spans="7:8" x14ac:dyDescent="0.25">
      <c r="G1750"/>
      <c r="H1750"/>
    </row>
    <row r="1751" spans="7:8" x14ac:dyDescent="0.25">
      <c r="G1751"/>
      <c r="H1751"/>
    </row>
    <row r="1752" spans="7:8" x14ac:dyDescent="0.25">
      <c r="G1752"/>
      <c r="H1752"/>
    </row>
    <row r="1753" spans="7:8" x14ac:dyDescent="0.25">
      <c r="G1753"/>
      <c r="H1753"/>
    </row>
    <row r="1754" spans="7:8" x14ac:dyDescent="0.25">
      <c r="G1754"/>
      <c r="H1754"/>
    </row>
    <row r="1755" spans="7:8" x14ac:dyDescent="0.25">
      <c r="G1755"/>
      <c r="H1755"/>
    </row>
    <row r="1756" spans="7:8" x14ac:dyDescent="0.25">
      <c r="G1756"/>
      <c r="H1756"/>
    </row>
    <row r="1757" spans="7:8" x14ac:dyDescent="0.25">
      <c r="G1757"/>
      <c r="H1757"/>
    </row>
    <row r="1758" spans="7:8" x14ac:dyDescent="0.25">
      <c r="G1758"/>
      <c r="H1758"/>
    </row>
    <row r="1759" spans="7:8" x14ac:dyDescent="0.25">
      <c r="G1759"/>
      <c r="H1759"/>
    </row>
    <row r="1760" spans="7:8" x14ac:dyDescent="0.25">
      <c r="G1760"/>
      <c r="H1760"/>
    </row>
    <row r="1761" spans="7:8" x14ac:dyDescent="0.25">
      <c r="G1761"/>
      <c r="H1761"/>
    </row>
    <row r="1762" spans="7:8" x14ac:dyDescent="0.25">
      <c r="G1762"/>
      <c r="H1762"/>
    </row>
    <row r="1763" spans="7:8" x14ac:dyDescent="0.25">
      <c r="G1763"/>
      <c r="H1763"/>
    </row>
    <row r="1764" spans="7:8" x14ac:dyDescent="0.25">
      <c r="G1764"/>
      <c r="H1764"/>
    </row>
    <row r="1765" spans="7:8" x14ac:dyDescent="0.25">
      <c r="G1765"/>
      <c r="H1765"/>
    </row>
    <row r="1766" spans="7:8" x14ac:dyDescent="0.25">
      <c r="G1766"/>
      <c r="H1766"/>
    </row>
    <row r="1767" spans="7:8" x14ac:dyDescent="0.25">
      <c r="G1767"/>
      <c r="H1767"/>
    </row>
    <row r="1768" spans="7:8" x14ac:dyDescent="0.25">
      <c r="G1768"/>
      <c r="H1768"/>
    </row>
    <row r="1769" spans="7:8" x14ac:dyDescent="0.25">
      <c r="G1769"/>
      <c r="H1769"/>
    </row>
    <row r="1770" spans="7:8" x14ac:dyDescent="0.25">
      <c r="G1770"/>
      <c r="H1770"/>
    </row>
    <row r="1771" spans="7:8" x14ac:dyDescent="0.25">
      <c r="G1771"/>
      <c r="H1771"/>
    </row>
    <row r="1772" spans="7:8" x14ac:dyDescent="0.25">
      <c r="G1772"/>
      <c r="H1772"/>
    </row>
    <row r="1773" spans="7:8" x14ac:dyDescent="0.25">
      <c r="G1773"/>
      <c r="H1773"/>
    </row>
    <row r="1774" spans="7:8" x14ac:dyDescent="0.25">
      <c r="G1774"/>
      <c r="H1774"/>
    </row>
    <row r="1775" spans="7:8" x14ac:dyDescent="0.25">
      <c r="G1775"/>
      <c r="H1775"/>
    </row>
    <row r="1776" spans="7:8" x14ac:dyDescent="0.25">
      <c r="G1776"/>
      <c r="H1776"/>
    </row>
    <row r="1777" spans="7:8" x14ac:dyDescent="0.25">
      <c r="G1777"/>
      <c r="H1777"/>
    </row>
    <row r="1778" spans="7:8" x14ac:dyDescent="0.25">
      <c r="G1778"/>
      <c r="H1778"/>
    </row>
    <row r="1779" spans="7:8" x14ac:dyDescent="0.25">
      <c r="G1779"/>
      <c r="H1779"/>
    </row>
    <row r="1780" spans="7:8" x14ac:dyDescent="0.25">
      <c r="G1780"/>
      <c r="H1780"/>
    </row>
    <row r="1781" spans="7:8" x14ac:dyDescent="0.25">
      <c r="G1781"/>
      <c r="H1781"/>
    </row>
    <row r="1782" spans="7:8" x14ac:dyDescent="0.25">
      <c r="G1782"/>
      <c r="H1782"/>
    </row>
    <row r="1783" spans="7:8" x14ac:dyDescent="0.25">
      <c r="G1783"/>
      <c r="H1783"/>
    </row>
    <row r="1784" spans="7:8" x14ac:dyDescent="0.25">
      <c r="G1784"/>
      <c r="H1784"/>
    </row>
    <row r="1785" spans="7:8" x14ac:dyDescent="0.25">
      <c r="G1785"/>
      <c r="H1785"/>
    </row>
    <row r="1786" spans="7:8" x14ac:dyDescent="0.25">
      <c r="G1786"/>
      <c r="H1786"/>
    </row>
    <row r="1787" spans="7:8" x14ac:dyDescent="0.25">
      <c r="G1787"/>
      <c r="H1787"/>
    </row>
    <row r="1788" spans="7:8" x14ac:dyDescent="0.25">
      <c r="G1788"/>
      <c r="H1788"/>
    </row>
    <row r="1789" spans="7:8" x14ac:dyDescent="0.25">
      <c r="G1789"/>
      <c r="H1789"/>
    </row>
    <row r="1790" spans="7:8" x14ac:dyDescent="0.25">
      <c r="G1790"/>
      <c r="H1790"/>
    </row>
    <row r="1791" spans="7:8" x14ac:dyDescent="0.25">
      <c r="G1791"/>
      <c r="H1791"/>
    </row>
    <row r="1792" spans="7:8" x14ac:dyDescent="0.25">
      <c r="G1792"/>
      <c r="H1792"/>
    </row>
    <row r="1793" spans="7:8" x14ac:dyDescent="0.25">
      <c r="G1793"/>
      <c r="H1793"/>
    </row>
    <row r="1794" spans="7:8" x14ac:dyDescent="0.25">
      <c r="G1794"/>
      <c r="H1794"/>
    </row>
    <row r="1795" spans="7:8" x14ac:dyDescent="0.25">
      <c r="G1795"/>
      <c r="H1795"/>
    </row>
    <row r="1796" spans="7:8" x14ac:dyDescent="0.25">
      <c r="G1796"/>
      <c r="H1796"/>
    </row>
    <row r="1797" spans="7:8" x14ac:dyDescent="0.25">
      <c r="G1797"/>
      <c r="H1797"/>
    </row>
    <row r="1798" spans="7:8" x14ac:dyDescent="0.25">
      <c r="G1798"/>
      <c r="H1798"/>
    </row>
    <row r="1799" spans="7:8" x14ac:dyDescent="0.25">
      <c r="G1799"/>
      <c r="H1799"/>
    </row>
    <row r="1800" spans="7:8" x14ac:dyDescent="0.25">
      <c r="G1800"/>
      <c r="H1800"/>
    </row>
    <row r="1801" spans="7:8" x14ac:dyDescent="0.25">
      <c r="G1801"/>
      <c r="H1801"/>
    </row>
    <row r="1802" spans="7:8" x14ac:dyDescent="0.25">
      <c r="G1802"/>
      <c r="H1802"/>
    </row>
    <row r="1803" spans="7:8" x14ac:dyDescent="0.25">
      <c r="G1803"/>
      <c r="H1803"/>
    </row>
    <row r="1804" spans="7:8" x14ac:dyDescent="0.25">
      <c r="G1804"/>
      <c r="H1804"/>
    </row>
    <row r="1805" spans="7:8" x14ac:dyDescent="0.25">
      <c r="G1805"/>
      <c r="H1805"/>
    </row>
    <row r="1806" spans="7:8" x14ac:dyDescent="0.25">
      <c r="G1806"/>
      <c r="H1806"/>
    </row>
    <row r="1807" spans="7:8" x14ac:dyDescent="0.25">
      <c r="G1807"/>
      <c r="H1807"/>
    </row>
    <row r="1808" spans="7:8" x14ac:dyDescent="0.25">
      <c r="G1808"/>
      <c r="H1808"/>
    </row>
    <row r="1809" spans="7:8" x14ac:dyDescent="0.25">
      <c r="G1809"/>
      <c r="H1809"/>
    </row>
    <row r="1810" spans="7:8" x14ac:dyDescent="0.25">
      <c r="G1810"/>
      <c r="H1810"/>
    </row>
    <row r="1811" spans="7:8" x14ac:dyDescent="0.25">
      <c r="G1811"/>
      <c r="H1811"/>
    </row>
    <row r="1812" spans="7:8" x14ac:dyDescent="0.25">
      <c r="G1812"/>
      <c r="H1812"/>
    </row>
    <row r="1813" spans="7:8" x14ac:dyDescent="0.25">
      <c r="G1813"/>
      <c r="H1813"/>
    </row>
    <row r="1814" spans="7:8" x14ac:dyDescent="0.25">
      <c r="G1814"/>
      <c r="H1814"/>
    </row>
    <row r="1815" spans="7:8" x14ac:dyDescent="0.25">
      <c r="G1815"/>
      <c r="H1815"/>
    </row>
    <row r="1816" spans="7:8" x14ac:dyDescent="0.25">
      <c r="G1816"/>
      <c r="H1816"/>
    </row>
    <row r="1817" spans="7:8" x14ac:dyDescent="0.25">
      <c r="G1817"/>
      <c r="H1817"/>
    </row>
    <row r="1818" spans="7:8" x14ac:dyDescent="0.25">
      <c r="G1818"/>
      <c r="H1818"/>
    </row>
    <row r="1819" spans="7:8" x14ac:dyDescent="0.25">
      <c r="G1819"/>
      <c r="H1819"/>
    </row>
    <row r="1820" spans="7:8" x14ac:dyDescent="0.25">
      <c r="G1820"/>
      <c r="H1820"/>
    </row>
    <row r="1821" spans="7:8" x14ac:dyDescent="0.25">
      <c r="G1821"/>
      <c r="H1821"/>
    </row>
    <row r="1822" spans="7:8" x14ac:dyDescent="0.25">
      <c r="G1822"/>
      <c r="H1822"/>
    </row>
    <row r="1823" spans="7:8" x14ac:dyDescent="0.25">
      <c r="G1823"/>
      <c r="H1823"/>
    </row>
    <row r="1824" spans="7:8" x14ac:dyDescent="0.25">
      <c r="G1824"/>
      <c r="H1824"/>
    </row>
    <row r="1825" spans="7:8" x14ac:dyDescent="0.25">
      <c r="G1825"/>
      <c r="H1825"/>
    </row>
    <row r="1826" spans="7:8" x14ac:dyDescent="0.25">
      <c r="G1826"/>
    </row>
    <row r="1827" spans="7:8" x14ac:dyDescent="0.25">
      <c r="G1827"/>
    </row>
    <row r="1828" spans="7:8" x14ac:dyDescent="0.25">
      <c r="G1828"/>
    </row>
    <row r="1829" spans="7:8" x14ac:dyDescent="0.25">
      <c r="G1829"/>
    </row>
    <row r="1830" spans="7:8" x14ac:dyDescent="0.25">
      <c r="G1830"/>
    </row>
    <row r="1831" spans="7:8" x14ac:dyDescent="0.25">
      <c r="G1831"/>
    </row>
    <row r="1832" spans="7:8" x14ac:dyDescent="0.25">
      <c r="G1832"/>
    </row>
    <row r="1833" spans="7:8" x14ac:dyDescent="0.25">
      <c r="G1833"/>
    </row>
    <row r="1834" spans="7:8" x14ac:dyDescent="0.25">
      <c r="G1834"/>
    </row>
    <row r="1835" spans="7:8" x14ac:dyDescent="0.25">
      <c r="G1835"/>
    </row>
    <row r="1836" spans="7:8" x14ac:dyDescent="0.25">
      <c r="G1836"/>
    </row>
    <row r="1837" spans="7:8" x14ac:dyDescent="0.25">
      <c r="G1837"/>
    </row>
    <row r="1838" spans="7:8" x14ac:dyDescent="0.25">
      <c r="G1838"/>
    </row>
    <row r="1839" spans="7:8" x14ac:dyDescent="0.25">
      <c r="G1839"/>
    </row>
    <row r="1840" spans="7:8"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row r="2790" spans="7:7" x14ac:dyDescent="0.25">
      <c r="G2790"/>
    </row>
    <row r="2791" spans="7:7" x14ac:dyDescent="0.25">
      <c r="G2791"/>
    </row>
    <row r="2792" spans="7:7" x14ac:dyDescent="0.25">
      <c r="G2792"/>
    </row>
    <row r="2793" spans="7:7" x14ac:dyDescent="0.25">
      <c r="G2793"/>
    </row>
    <row r="2794" spans="7:7" x14ac:dyDescent="0.25">
      <c r="G2794"/>
    </row>
    <row r="2795" spans="7:7" x14ac:dyDescent="0.25">
      <c r="G2795"/>
    </row>
    <row r="2796" spans="7:7" x14ac:dyDescent="0.25">
      <c r="G2796"/>
    </row>
    <row r="2797" spans="7:7" x14ac:dyDescent="0.25">
      <c r="G2797"/>
    </row>
    <row r="2798" spans="7:7" x14ac:dyDescent="0.25">
      <c r="G2798"/>
    </row>
    <row r="2799" spans="7:7" x14ac:dyDescent="0.25">
      <c r="G2799"/>
    </row>
    <row r="2800" spans="7:7" x14ac:dyDescent="0.25">
      <c r="G2800"/>
    </row>
    <row r="2801" spans="7:7" x14ac:dyDescent="0.25">
      <c r="G2801"/>
    </row>
    <row r="2802" spans="7:7" x14ac:dyDescent="0.25">
      <c r="G2802"/>
    </row>
    <row r="2803" spans="7:7" x14ac:dyDescent="0.25">
      <c r="G2803"/>
    </row>
    <row r="2804" spans="7:7" x14ac:dyDescent="0.25">
      <c r="G2804"/>
    </row>
    <row r="2805" spans="7:7" x14ac:dyDescent="0.25">
      <c r="G2805"/>
    </row>
    <row r="2806" spans="7:7" x14ac:dyDescent="0.25">
      <c r="G2806"/>
    </row>
    <row r="2807" spans="7:7" x14ac:dyDescent="0.25">
      <c r="G2807"/>
    </row>
    <row r="2808" spans="7:7" x14ac:dyDescent="0.25">
      <c r="G2808"/>
    </row>
  </sheetData>
  <mergeCells count="9">
    <mergeCell ref="C3:H3"/>
    <mergeCell ref="L11:L12"/>
    <mergeCell ref="M11:M12"/>
    <mergeCell ref="N11:N12"/>
    <mergeCell ref="S11:S12"/>
    <mergeCell ref="R11:R12"/>
    <mergeCell ref="Q11:Q12"/>
    <mergeCell ref="P11:P12"/>
    <mergeCell ref="O11:O12"/>
  </mergeCells>
  <printOptions horizontalCentered="1" verticalCentered="1"/>
  <pageMargins left="0.19685039370078741" right="0.19685039370078741" top="0.28999999999999998" bottom="0.19685039370078741" header="0" footer="0"/>
  <pageSetup paperSize="9" orientation="portrait" r:id="rId6"/>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showFormulas="1" topLeftCell="E1" workbookViewId="0">
      <selection activeCell="K13" sqref="K13"/>
    </sheetView>
  </sheetViews>
  <sheetFormatPr defaultColWidth="8.85546875" defaultRowHeight="15" x14ac:dyDescent="0.25"/>
  <cols>
    <col min="1" max="1" width="19" style="305" customWidth="1"/>
    <col min="2" max="2" width="12.42578125" style="305" customWidth="1"/>
    <col min="3" max="5" width="8.85546875" style="305"/>
    <col min="6" max="6" width="14.28515625" style="305" customWidth="1"/>
    <col min="7" max="7" width="22.5703125" style="305" customWidth="1"/>
    <col min="8" max="8" width="20" style="305" customWidth="1"/>
    <col min="9" max="9" width="23.5703125" style="305" customWidth="1"/>
    <col min="10" max="16384" width="8.85546875" style="305"/>
  </cols>
  <sheetData>
    <row r="1" spans="1:10" x14ac:dyDescent="0.25">
      <c r="A1" s="450" t="s">
        <v>1553</v>
      </c>
      <c r="B1" s="450" t="s">
        <v>392</v>
      </c>
      <c r="C1" s="450" t="s">
        <v>392</v>
      </c>
      <c r="D1" s="450" t="s">
        <v>0</v>
      </c>
      <c r="E1" s="450" t="s">
        <v>392</v>
      </c>
      <c r="F1" s="450" t="s">
        <v>0</v>
      </c>
      <c r="G1" s="450" t="s">
        <v>1451</v>
      </c>
      <c r="H1" s="450" t="s">
        <v>1452</v>
      </c>
      <c r="I1" s="450" t="s">
        <v>1453</v>
      </c>
    </row>
    <row r="2" spans="1:10" x14ac:dyDescent="0.25">
      <c r="A2" s="305" t="s">
        <v>1454</v>
      </c>
      <c r="B2" s="305" t="s">
        <v>378</v>
      </c>
      <c r="C2" s="305" t="s">
        <v>378</v>
      </c>
      <c r="D2" s="305" t="s">
        <v>5</v>
      </c>
      <c r="E2" s="305" t="s">
        <v>378</v>
      </c>
      <c r="F2" s="305" t="s">
        <v>5</v>
      </c>
      <c r="G2" s="305" t="s">
        <v>1455</v>
      </c>
      <c r="H2" s="305" t="s">
        <v>4</v>
      </c>
      <c r="I2" s="305" t="s">
        <v>1456</v>
      </c>
      <c r="J2" s="305" t="s">
        <v>1457</v>
      </c>
    </row>
    <row r="3" spans="1:10" x14ac:dyDescent="0.25">
      <c r="A3" s="305" t="s">
        <v>1458</v>
      </c>
      <c r="B3" s="305" t="s">
        <v>506</v>
      </c>
      <c r="C3" s="305" t="s">
        <v>378</v>
      </c>
      <c r="D3" s="305" t="s">
        <v>27</v>
      </c>
      <c r="E3" s="305" t="s">
        <v>378</v>
      </c>
      <c r="F3" s="305" t="s">
        <v>5</v>
      </c>
      <c r="G3" s="305" t="s">
        <v>12</v>
      </c>
      <c r="H3" s="305" t="s">
        <v>11</v>
      </c>
      <c r="I3" s="305" t="s">
        <v>1459</v>
      </c>
      <c r="J3" s="305" t="s">
        <v>1460</v>
      </c>
    </row>
    <row r="4" spans="1:10" x14ac:dyDescent="0.25">
      <c r="A4" s="305" t="s">
        <v>1558</v>
      </c>
      <c r="C4" s="305" t="s">
        <v>378</v>
      </c>
      <c r="D4" s="305" t="s">
        <v>480</v>
      </c>
      <c r="E4" s="305" t="s">
        <v>378</v>
      </c>
      <c r="F4" s="305" t="s">
        <v>5</v>
      </c>
      <c r="G4" s="305" t="s">
        <v>22</v>
      </c>
      <c r="H4" s="305" t="s">
        <v>21</v>
      </c>
      <c r="I4" s="305" t="s">
        <v>1461</v>
      </c>
    </row>
    <row r="5" spans="1:10" x14ac:dyDescent="0.25">
      <c r="A5" s="305" t="s">
        <v>424</v>
      </c>
      <c r="C5" s="305" t="s">
        <v>378</v>
      </c>
      <c r="D5" s="305" t="s">
        <v>151</v>
      </c>
      <c r="E5" s="305" t="s">
        <v>378</v>
      </c>
      <c r="F5" s="305" t="s">
        <v>5</v>
      </c>
      <c r="G5" s="305" t="s">
        <v>14</v>
      </c>
      <c r="H5" s="305" t="s">
        <v>13</v>
      </c>
      <c r="I5" s="305" t="s">
        <v>1462</v>
      </c>
    </row>
    <row r="6" spans="1:10" x14ac:dyDescent="0.25">
      <c r="A6" s="305" t="s">
        <v>1301</v>
      </c>
      <c r="C6" s="305" t="s">
        <v>378</v>
      </c>
      <c r="D6" s="305" t="s">
        <v>173</v>
      </c>
      <c r="E6" s="305" t="s">
        <v>378</v>
      </c>
      <c r="F6" s="305" t="s">
        <v>5</v>
      </c>
      <c r="G6" s="305" t="s">
        <v>1463</v>
      </c>
      <c r="H6" s="305" t="s">
        <v>19</v>
      </c>
    </row>
    <row r="7" spans="1:10" x14ac:dyDescent="0.25">
      <c r="A7" s="305" t="s">
        <v>1464</v>
      </c>
      <c r="C7" s="305" t="s">
        <v>378</v>
      </c>
      <c r="D7" s="305" t="s">
        <v>180</v>
      </c>
      <c r="E7" s="305" t="s">
        <v>378</v>
      </c>
      <c r="F7" s="305" t="s">
        <v>5</v>
      </c>
      <c r="G7" s="305" t="s">
        <v>18</v>
      </c>
      <c r="H7" s="305" t="s">
        <v>17</v>
      </c>
    </row>
    <row r="8" spans="1:10" x14ac:dyDescent="0.25">
      <c r="A8" s="305" t="s">
        <v>1465</v>
      </c>
      <c r="C8" s="305" t="s">
        <v>378</v>
      </c>
      <c r="D8" s="305" t="s">
        <v>185</v>
      </c>
      <c r="E8" s="305" t="s">
        <v>378</v>
      </c>
      <c r="F8" s="305" t="s">
        <v>5</v>
      </c>
      <c r="G8" s="305" t="s">
        <v>364</v>
      </c>
      <c r="H8" s="305" t="s">
        <v>374</v>
      </c>
    </row>
    <row r="9" spans="1:10" x14ac:dyDescent="0.25">
      <c r="A9" s="305" t="s">
        <v>778</v>
      </c>
      <c r="C9" s="305" t="s">
        <v>378</v>
      </c>
      <c r="D9" s="305" t="s">
        <v>237</v>
      </c>
      <c r="E9" s="305" t="s">
        <v>378</v>
      </c>
      <c r="F9" s="305" t="s">
        <v>5</v>
      </c>
      <c r="G9" s="305" t="s">
        <v>1466</v>
      </c>
      <c r="H9" s="305" t="s">
        <v>375</v>
      </c>
    </row>
    <row r="10" spans="1:10" x14ac:dyDescent="0.25">
      <c r="A10" s="305" t="s">
        <v>1467</v>
      </c>
      <c r="C10" s="305" t="s">
        <v>378</v>
      </c>
      <c r="D10" s="305" t="s">
        <v>299</v>
      </c>
      <c r="E10" s="305" t="s">
        <v>378</v>
      </c>
      <c r="F10" s="305" t="s">
        <v>5</v>
      </c>
      <c r="G10" s="305" t="s">
        <v>8</v>
      </c>
      <c r="H10" s="305" t="s">
        <v>7</v>
      </c>
    </row>
    <row r="11" spans="1:10" x14ac:dyDescent="0.25">
      <c r="A11" s="305" t="s">
        <v>1258</v>
      </c>
      <c r="C11" s="305" t="s">
        <v>378</v>
      </c>
      <c r="D11" s="305" t="s">
        <v>301</v>
      </c>
      <c r="E11" s="305" t="s">
        <v>378</v>
      </c>
      <c r="F11" s="305" t="s">
        <v>5</v>
      </c>
      <c r="G11" s="305" t="s">
        <v>26</v>
      </c>
      <c r="H11" s="305" t="s">
        <v>25</v>
      </c>
    </row>
    <row r="12" spans="1:10" x14ac:dyDescent="0.25">
      <c r="A12" s="305" t="s">
        <v>462</v>
      </c>
      <c r="C12" s="305" t="s">
        <v>378</v>
      </c>
      <c r="D12" s="305" t="s">
        <v>746</v>
      </c>
      <c r="E12" s="305" t="s">
        <v>378</v>
      </c>
      <c r="F12" s="305" t="s">
        <v>5</v>
      </c>
      <c r="G12" s="305" t="s">
        <v>24</v>
      </c>
      <c r="H12" s="305" t="s">
        <v>23</v>
      </c>
    </row>
    <row r="13" spans="1:10" x14ac:dyDescent="0.25">
      <c r="A13" s="305" t="s">
        <v>1468</v>
      </c>
      <c r="C13" s="305" t="s">
        <v>378</v>
      </c>
      <c r="D13" s="305" t="s">
        <v>1135</v>
      </c>
      <c r="E13" s="305" t="s">
        <v>378</v>
      </c>
      <c r="F13" s="305" t="s">
        <v>27</v>
      </c>
      <c r="G13" s="305" t="s">
        <v>1469</v>
      </c>
      <c r="H13" s="305" t="s">
        <v>29</v>
      </c>
    </row>
    <row r="14" spans="1:10" x14ac:dyDescent="0.25">
      <c r="A14" s="305" t="s">
        <v>1375</v>
      </c>
      <c r="C14" s="305" t="s">
        <v>378</v>
      </c>
      <c r="D14" s="305" t="s">
        <v>309</v>
      </c>
      <c r="E14" s="305" t="s">
        <v>378</v>
      </c>
      <c r="F14" s="305" t="s">
        <v>27</v>
      </c>
      <c r="G14" s="305" t="s">
        <v>28</v>
      </c>
      <c r="H14" s="305" t="s">
        <v>30</v>
      </c>
    </row>
    <row r="15" spans="1:10" x14ac:dyDescent="0.25">
      <c r="A15" s="305" t="s">
        <v>420</v>
      </c>
      <c r="C15" s="305" t="s">
        <v>506</v>
      </c>
      <c r="D15" s="305" t="s">
        <v>719</v>
      </c>
      <c r="E15" s="305" t="s">
        <v>378</v>
      </c>
      <c r="F15" s="305" t="s">
        <v>27</v>
      </c>
      <c r="G15" s="305" t="s">
        <v>790</v>
      </c>
      <c r="H15" s="305" t="s">
        <v>789</v>
      </c>
    </row>
    <row r="16" spans="1:10" x14ac:dyDescent="0.25">
      <c r="A16" s="305" t="s">
        <v>773</v>
      </c>
      <c r="C16" s="305" t="s">
        <v>506</v>
      </c>
      <c r="D16" s="305" t="s">
        <v>146</v>
      </c>
      <c r="E16" s="305" t="s">
        <v>378</v>
      </c>
      <c r="F16" s="305" t="s">
        <v>27</v>
      </c>
      <c r="G16" s="305" t="s">
        <v>874</v>
      </c>
      <c r="H16" s="305" t="s">
        <v>875</v>
      </c>
    </row>
    <row r="17" spans="1:8" x14ac:dyDescent="0.25">
      <c r="A17" s="305" t="s">
        <v>825</v>
      </c>
      <c r="C17" s="305" t="s">
        <v>506</v>
      </c>
      <c r="D17" s="305" t="s">
        <v>166</v>
      </c>
      <c r="E17" s="305" t="s">
        <v>378</v>
      </c>
      <c r="F17" s="305" t="s">
        <v>27</v>
      </c>
      <c r="G17" s="305" t="s">
        <v>363</v>
      </c>
      <c r="H17" s="305" t="s">
        <v>376</v>
      </c>
    </row>
    <row r="18" spans="1:8" x14ac:dyDescent="0.25">
      <c r="A18" s="305" t="s">
        <v>1552</v>
      </c>
      <c r="C18" s="305" t="s">
        <v>506</v>
      </c>
      <c r="D18" s="305" t="s">
        <v>230</v>
      </c>
      <c r="E18" s="305" t="s">
        <v>378</v>
      </c>
      <c r="F18" s="305" t="s">
        <v>480</v>
      </c>
      <c r="G18" s="305" t="s">
        <v>1470</v>
      </c>
      <c r="H18" s="305" t="s">
        <v>119</v>
      </c>
    </row>
    <row r="19" spans="1:8" x14ac:dyDescent="0.25">
      <c r="A19" s="305" t="s">
        <v>1554</v>
      </c>
      <c r="C19" s="305" t="s">
        <v>506</v>
      </c>
      <c r="D19" s="305" t="s">
        <v>288</v>
      </c>
      <c r="E19" s="305" t="s">
        <v>378</v>
      </c>
      <c r="F19" s="305" t="s">
        <v>480</v>
      </c>
      <c r="G19" s="305" t="s">
        <v>140</v>
      </c>
      <c r="H19" s="305" t="s">
        <v>139</v>
      </c>
    </row>
    <row r="20" spans="1:8" x14ac:dyDescent="0.25">
      <c r="A20" s="305" t="s">
        <v>1555</v>
      </c>
      <c r="C20" s="305" t="s">
        <v>506</v>
      </c>
      <c r="D20" s="305" t="s">
        <v>297</v>
      </c>
      <c r="E20" s="305" t="s">
        <v>378</v>
      </c>
      <c r="F20" s="305" t="s">
        <v>480</v>
      </c>
      <c r="G20" s="305" t="s">
        <v>1471</v>
      </c>
      <c r="H20" s="305" t="s">
        <v>87</v>
      </c>
    </row>
    <row r="21" spans="1:8" x14ac:dyDescent="0.25">
      <c r="A21" s="523" t="s">
        <v>1563</v>
      </c>
      <c r="C21" s="305" t="s">
        <v>506</v>
      </c>
      <c r="D21" s="305" t="s">
        <v>1199</v>
      </c>
      <c r="E21" s="305" t="s">
        <v>378</v>
      </c>
      <c r="F21" s="305" t="s">
        <v>480</v>
      </c>
      <c r="G21" s="305" t="s">
        <v>1472</v>
      </c>
      <c r="H21" s="305" t="s">
        <v>51</v>
      </c>
    </row>
    <row r="22" spans="1:8" x14ac:dyDescent="0.25">
      <c r="A22" s="305" t="s">
        <v>1579</v>
      </c>
      <c r="D22" s="305" t="s">
        <v>717</v>
      </c>
      <c r="E22" s="305" t="s">
        <v>378</v>
      </c>
      <c r="F22" s="305" t="s">
        <v>480</v>
      </c>
      <c r="G22" s="305" t="s">
        <v>1473</v>
      </c>
      <c r="H22" s="305" t="s">
        <v>1267</v>
      </c>
    </row>
    <row r="23" spans="1:8" x14ac:dyDescent="0.25">
      <c r="E23" s="305" t="s">
        <v>378</v>
      </c>
      <c r="F23" s="305" t="s">
        <v>480</v>
      </c>
      <c r="G23" s="305" t="s">
        <v>1474</v>
      </c>
      <c r="H23" s="305" t="s">
        <v>123</v>
      </c>
    </row>
    <row r="24" spans="1:8" x14ac:dyDescent="0.25">
      <c r="E24" s="305" t="s">
        <v>378</v>
      </c>
      <c r="F24" s="305" t="s">
        <v>480</v>
      </c>
      <c r="G24" s="305" t="s">
        <v>1475</v>
      </c>
      <c r="H24" s="305" t="s">
        <v>125</v>
      </c>
    </row>
    <row r="25" spans="1:8" x14ac:dyDescent="0.25">
      <c r="E25" s="305" t="s">
        <v>378</v>
      </c>
      <c r="F25" s="305" t="s">
        <v>480</v>
      </c>
      <c r="G25" s="305" t="s">
        <v>1476</v>
      </c>
      <c r="H25" s="305" t="s">
        <v>1163</v>
      </c>
    </row>
    <row r="26" spans="1:8" x14ac:dyDescent="0.25">
      <c r="E26" s="305" t="s">
        <v>378</v>
      </c>
      <c r="F26" s="305" t="s">
        <v>480</v>
      </c>
      <c r="G26" s="305" t="s">
        <v>1477</v>
      </c>
      <c r="H26" s="305" t="s">
        <v>915</v>
      </c>
    </row>
    <row r="27" spans="1:8" x14ac:dyDescent="0.25">
      <c r="E27" s="305" t="s">
        <v>378</v>
      </c>
      <c r="F27" s="305" t="s">
        <v>480</v>
      </c>
      <c r="G27" s="305" t="s">
        <v>1478</v>
      </c>
      <c r="H27" s="305" t="s">
        <v>1160</v>
      </c>
    </row>
    <row r="28" spans="1:8" x14ac:dyDescent="0.25">
      <c r="E28" s="305" t="s">
        <v>378</v>
      </c>
      <c r="F28" s="305" t="s">
        <v>480</v>
      </c>
      <c r="G28" s="305" t="s">
        <v>100</v>
      </c>
      <c r="H28" s="305" t="s">
        <v>99</v>
      </c>
    </row>
    <row r="29" spans="1:8" x14ac:dyDescent="0.25">
      <c r="E29" s="305" t="s">
        <v>378</v>
      </c>
      <c r="F29" s="305" t="s">
        <v>480</v>
      </c>
      <c r="G29" s="305" t="s">
        <v>72</v>
      </c>
      <c r="H29" s="305" t="s">
        <v>71</v>
      </c>
    </row>
    <row r="30" spans="1:8" x14ac:dyDescent="0.25">
      <c r="E30" s="305" t="s">
        <v>378</v>
      </c>
      <c r="F30" s="305" t="s">
        <v>480</v>
      </c>
      <c r="G30" s="305" t="s">
        <v>92</v>
      </c>
      <c r="H30" s="305" t="s">
        <v>91</v>
      </c>
    </row>
    <row r="31" spans="1:8" x14ac:dyDescent="0.25">
      <c r="E31" s="305" t="s">
        <v>378</v>
      </c>
      <c r="F31" s="305" t="s">
        <v>480</v>
      </c>
      <c r="G31" s="305" t="s">
        <v>108</v>
      </c>
      <c r="H31" s="305" t="s">
        <v>107</v>
      </c>
    </row>
    <row r="32" spans="1:8" x14ac:dyDescent="0.25">
      <c r="E32" s="305" t="s">
        <v>378</v>
      </c>
      <c r="F32" s="305" t="s">
        <v>480</v>
      </c>
      <c r="G32" s="305" t="s">
        <v>1156</v>
      </c>
      <c r="H32" s="305" t="s">
        <v>1162</v>
      </c>
    </row>
    <row r="33" spans="5:8" x14ac:dyDescent="0.25">
      <c r="E33" s="305" t="s">
        <v>378</v>
      </c>
      <c r="F33" s="305" t="s">
        <v>480</v>
      </c>
      <c r="G33" s="305" t="s">
        <v>1479</v>
      </c>
      <c r="H33" s="305" t="s">
        <v>75</v>
      </c>
    </row>
    <row r="34" spans="5:8" x14ac:dyDescent="0.25">
      <c r="E34" s="305" t="s">
        <v>378</v>
      </c>
      <c r="F34" s="305" t="s">
        <v>480</v>
      </c>
      <c r="G34" s="305" t="s">
        <v>41</v>
      </c>
      <c r="H34" s="305" t="s">
        <v>40</v>
      </c>
    </row>
    <row r="35" spans="5:8" x14ac:dyDescent="0.25">
      <c r="E35" s="305" t="s">
        <v>378</v>
      </c>
      <c r="F35" s="305" t="s">
        <v>480</v>
      </c>
      <c r="G35" s="305" t="s">
        <v>90</v>
      </c>
      <c r="H35" s="305" t="s">
        <v>89</v>
      </c>
    </row>
    <row r="36" spans="5:8" x14ac:dyDescent="0.25">
      <c r="E36" s="305" t="s">
        <v>378</v>
      </c>
      <c r="F36" s="305" t="s">
        <v>480</v>
      </c>
      <c r="G36" s="305" t="s">
        <v>118</v>
      </c>
      <c r="H36" s="305" t="s">
        <v>117</v>
      </c>
    </row>
    <row r="37" spans="5:8" x14ac:dyDescent="0.25">
      <c r="E37" s="305" t="s">
        <v>378</v>
      </c>
      <c r="F37" s="305" t="s">
        <v>480</v>
      </c>
      <c r="G37" s="305" t="s">
        <v>43</v>
      </c>
      <c r="H37" s="305" t="s">
        <v>42</v>
      </c>
    </row>
    <row r="38" spans="5:8" x14ac:dyDescent="0.25">
      <c r="E38" s="305" t="s">
        <v>378</v>
      </c>
      <c r="F38" s="305" t="s">
        <v>480</v>
      </c>
      <c r="G38" s="305" t="s">
        <v>44</v>
      </c>
      <c r="H38" s="305" t="s">
        <v>45</v>
      </c>
    </row>
    <row r="39" spans="5:8" x14ac:dyDescent="0.25">
      <c r="E39" s="305" t="s">
        <v>378</v>
      </c>
      <c r="F39" s="305" t="s">
        <v>480</v>
      </c>
      <c r="G39" s="305" t="s">
        <v>551</v>
      </c>
      <c r="H39" s="305" t="s">
        <v>46</v>
      </c>
    </row>
    <row r="40" spans="5:8" x14ac:dyDescent="0.25">
      <c r="E40" s="305" t="s">
        <v>378</v>
      </c>
      <c r="F40" s="305" t="s">
        <v>151</v>
      </c>
      <c r="G40" s="305" t="s">
        <v>188</v>
      </c>
      <c r="H40" s="305" t="s">
        <v>187</v>
      </c>
    </row>
    <row r="41" spans="5:8" x14ac:dyDescent="0.25">
      <c r="E41" s="305" t="s">
        <v>378</v>
      </c>
      <c r="F41" s="305" t="s">
        <v>151</v>
      </c>
      <c r="G41" s="305" t="s">
        <v>12</v>
      </c>
      <c r="H41" s="305" t="s">
        <v>388</v>
      </c>
    </row>
    <row r="42" spans="5:8" x14ac:dyDescent="0.25">
      <c r="E42" s="305" t="s">
        <v>378</v>
      </c>
      <c r="F42" s="305" t="s">
        <v>151</v>
      </c>
      <c r="G42" s="305" t="s">
        <v>198</v>
      </c>
      <c r="H42" s="305" t="s">
        <v>197</v>
      </c>
    </row>
    <row r="43" spans="5:8" x14ac:dyDescent="0.25">
      <c r="E43" s="305" t="s">
        <v>378</v>
      </c>
      <c r="F43" s="305" t="s">
        <v>151</v>
      </c>
      <c r="G43" s="305" t="s">
        <v>1480</v>
      </c>
      <c r="H43" s="305" t="s">
        <v>845</v>
      </c>
    </row>
    <row r="44" spans="5:8" x14ac:dyDescent="0.25">
      <c r="E44" s="305" t="s">
        <v>378</v>
      </c>
      <c r="F44" s="305" t="s">
        <v>151</v>
      </c>
      <c r="G44" s="305" t="s">
        <v>152</v>
      </c>
      <c r="H44" s="305" t="s">
        <v>150</v>
      </c>
    </row>
    <row r="45" spans="5:8" x14ac:dyDescent="0.25">
      <c r="E45" s="305" t="s">
        <v>378</v>
      </c>
      <c r="F45" s="305" t="s">
        <v>151</v>
      </c>
      <c r="G45" s="305" t="s">
        <v>1481</v>
      </c>
      <c r="H45" s="305" t="s">
        <v>153</v>
      </c>
    </row>
    <row r="46" spans="5:8" x14ac:dyDescent="0.25">
      <c r="E46" s="305" t="s">
        <v>378</v>
      </c>
      <c r="F46" s="305" t="s">
        <v>151</v>
      </c>
      <c r="G46" s="305" t="s">
        <v>1482</v>
      </c>
      <c r="H46" s="305" t="s">
        <v>911</v>
      </c>
    </row>
    <row r="47" spans="5:8" x14ac:dyDescent="0.25">
      <c r="E47" s="305" t="s">
        <v>378</v>
      </c>
      <c r="F47" s="305" t="s">
        <v>151</v>
      </c>
      <c r="G47" s="305" t="s">
        <v>156</v>
      </c>
      <c r="H47" s="305" t="s">
        <v>155</v>
      </c>
    </row>
    <row r="48" spans="5:8" x14ac:dyDescent="0.25">
      <c r="E48" s="305" t="s">
        <v>378</v>
      </c>
      <c r="F48" s="305" t="s">
        <v>151</v>
      </c>
      <c r="G48" s="305" t="s">
        <v>1483</v>
      </c>
      <c r="H48" s="305" t="s">
        <v>159</v>
      </c>
    </row>
    <row r="49" spans="5:8" x14ac:dyDescent="0.25">
      <c r="E49" s="305" t="s">
        <v>378</v>
      </c>
      <c r="F49" s="305" t="s">
        <v>151</v>
      </c>
      <c r="G49" s="305" t="s">
        <v>1484</v>
      </c>
      <c r="H49" s="305" t="s">
        <v>812</v>
      </c>
    </row>
    <row r="50" spans="5:8" x14ac:dyDescent="0.25">
      <c r="E50" s="305" t="s">
        <v>378</v>
      </c>
      <c r="F50" s="305" t="s">
        <v>151</v>
      </c>
      <c r="G50" s="305" t="s">
        <v>1485</v>
      </c>
      <c r="H50" s="305" t="s">
        <v>938</v>
      </c>
    </row>
    <row r="51" spans="5:8" x14ac:dyDescent="0.25">
      <c r="E51" s="305" t="s">
        <v>378</v>
      </c>
      <c r="F51" s="305" t="s">
        <v>173</v>
      </c>
      <c r="G51" s="305" t="s">
        <v>1486</v>
      </c>
      <c r="H51" s="305" t="s">
        <v>175</v>
      </c>
    </row>
    <row r="52" spans="5:8" x14ac:dyDescent="0.25">
      <c r="E52" s="305" t="s">
        <v>378</v>
      </c>
      <c r="F52" s="305" t="s">
        <v>173</v>
      </c>
      <c r="G52" s="305" t="s">
        <v>174</v>
      </c>
      <c r="H52" s="305" t="s">
        <v>172</v>
      </c>
    </row>
    <row r="53" spans="5:8" x14ac:dyDescent="0.25">
      <c r="E53" s="305" t="s">
        <v>378</v>
      </c>
      <c r="F53" s="305" t="s">
        <v>173</v>
      </c>
      <c r="G53" s="305" t="s">
        <v>1053</v>
      </c>
      <c r="H53" s="305" t="s">
        <v>1056</v>
      </c>
    </row>
    <row r="54" spans="5:8" x14ac:dyDescent="0.25">
      <c r="E54" s="305" t="s">
        <v>378</v>
      </c>
      <c r="F54" s="305" t="s">
        <v>173</v>
      </c>
      <c r="G54" s="305" t="s">
        <v>178</v>
      </c>
      <c r="H54" s="305" t="s">
        <v>177</v>
      </c>
    </row>
    <row r="55" spans="5:8" x14ac:dyDescent="0.25">
      <c r="E55" s="305" t="s">
        <v>378</v>
      </c>
      <c r="F55" s="305" t="s">
        <v>173</v>
      </c>
      <c r="G55" s="305" t="s">
        <v>1061</v>
      </c>
      <c r="H55" s="305" t="s">
        <v>1055</v>
      </c>
    </row>
    <row r="56" spans="5:8" x14ac:dyDescent="0.25">
      <c r="E56" s="305" t="s">
        <v>378</v>
      </c>
      <c r="F56" s="305" t="s">
        <v>180</v>
      </c>
      <c r="G56" s="305" t="s">
        <v>983</v>
      </c>
      <c r="H56" s="305" t="s">
        <v>985</v>
      </c>
    </row>
    <row r="57" spans="5:8" x14ac:dyDescent="0.25">
      <c r="E57" s="305" t="s">
        <v>378</v>
      </c>
      <c r="F57" s="305" t="s">
        <v>180</v>
      </c>
      <c r="G57" s="305" t="s">
        <v>984</v>
      </c>
      <c r="H57" s="305" t="s">
        <v>986</v>
      </c>
    </row>
    <row r="58" spans="5:8" x14ac:dyDescent="0.25">
      <c r="E58" s="305" t="s">
        <v>378</v>
      </c>
      <c r="F58" s="305" t="s">
        <v>180</v>
      </c>
      <c r="G58" s="305" t="s">
        <v>286</v>
      </c>
      <c r="H58" s="305" t="s">
        <v>285</v>
      </c>
    </row>
    <row r="59" spans="5:8" x14ac:dyDescent="0.25">
      <c r="E59" s="305" t="s">
        <v>378</v>
      </c>
      <c r="F59" s="305" t="s">
        <v>180</v>
      </c>
      <c r="G59" s="305" t="s">
        <v>181</v>
      </c>
      <c r="H59" s="305" t="s">
        <v>179</v>
      </c>
    </row>
    <row r="60" spans="5:8" x14ac:dyDescent="0.25">
      <c r="E60" s="305" t="s">
        <v>378</v>
      </c>
      <c r="F60" s="305" t="s">
        <v>185</v>
      </c>
      <c r="G60" s="305" t="s">
        <v>192</v>
      </c>
      <c r="H60" s="305" t="s">
        <v>191</v>
      </c>
    </row>
    <row r="61" spans="5:8" x14ac:dyDescent="0.25">
      <c r="E61" s="305" t="s">
        <v>378</v>
      </c>
      <c r="F61" s="305" t="s">
        <v>185</v>
      </c>
      <c r="G61" s="305" t="s">
        <v>12</v>
      </c>
      <c r="H61" s="305" t="s">
        <v>389</v>
      </c>
    </row>
    <row r="62" spans="5:8" x14ac:dyDescent="0.25">
      <c r="E62" s="305" t="s">
        <v>378</v>
      </c>
      <c r="F62" s="305" t="s">
        <v>185</v>
      </c>
      <c r="G62" s="305" t="s">
        <v>194</v>
      </c>
      <c r="H62" s="305" t="s">
        <v>193</v>
      </c>
    </row>
    <row r="63" spans="5:8" x14ac:dyDescent="0.25">
      <c r="E63" s="305" t="s">
        <v>378</v>
      </c>
      <c r="F63" s="305" t="s">
        <v>185</v>
      </c>
      <c r="G63" s="305" t="s">
        <v>1487</v>
      </c>
      <c r="H63" s="305" t="s">
        <v>222</v>
      </c>
    </row>
    <row r="64" spans="5:8" x14ac:dyDescent="0.25">
      <c r="E64" s="305" t="s">
        <v>378</v>
      </c>
      <c r="F64" s="305" t="s">
        <v>185</v>
      </c>
      <c r="G64" s="305" t="s">
        <v>209</v>
      </c>
      <c r="H64" s="305" t="s">
        <v>208</v>
      </c>
    </row>
    <row r="65" spans="5:8" x14ac:dyDescent="0.25">
      <c r="E65" s="305" t="s">
        <v>378</v>
      </c>
      <c r="F65" s="305" t="s">
        <v>185</v>
      </c>
      <c r="G65" s="305" t="s">
        <v>202</v>
      </c>
      <c r="H65" s="305" t="s">
        <v>201</v>
      </c>
    </row>
    <row r="66" spans="5:8" x14ac:dyDescent="0.25">
      <c r="E66" s="305" t="s">
        <v>378</v>
      </c>
      <c r="F66" s="305" t="s">
        <v>185</v>
      </c>
      <c r="G66" s="305" t="s">
        <v>190</v>
      </c>
      <c r="H66" s="305" t="s">
        <v>189</v>
      </c>
    </row>
    <row r="67" spans="5:8" x14ac:dyDescent="0.25">
      <c r="E67" s="305" t="s">
        <v>378</v>
      </c>
      <c r="F67" s="305" t="s">
        <v>185</v>
      </c>
      <c r="G67" s="305" t="s">
        <v>186</v>
      </c>
      <c r="H67" s="305" t="s">
        <v>184</v>
      </c>
    </row>
    <row r="68" spans="5:8" x14ac:dyDescent="0.25">
      <c r="E68" s="305" t="s">
        <v>378</v>
      </c>
      <c r="F68" s="305" t="s">
        <v>185</v>
      </c>
      <c r="G68" s="305" t="s">
        <v>196</v>
      </c>
      <c r="H68" s="305" t="s">
        <v>195</v>
      </c>
    </row>
    <row r="69" spans="5:8" x14ac:dyDescent="0.25">
      <c r="E69" s="305" t="s">
        <v>378</v>
      </c>
      <c r="F69" s="305" t="s">
        <v>185</v>
      </c>
      <c r="G69" s="305" t="s">
        <v>1337</v>
      </c>
      <c r="H69" s="305" t="s">
        <v>228</v>
      </c>
    </row>
    <row r="70" spans="5:8" x14ac:dyDescent="0.25">
      <c r="E70" s="305" t="s">
        <v>378</v>
      </c>
      <c r="F70" s="305" t="s">
        <v>185</v>
      </c>
      <c r="G70" s="305" t="s">
        <v>1488</v>
      </c>
      <c r="H70" s="305" t="s">
        <v>224</v>
      </c>
    </row>
    <row r="71" spans="5:8" x14ac:dyDescent="0.25">
      <c r="E71" s="305" t="s">
        <v>378</v>
      </c>
      <c r="F71" s="305" t="s">
        <v>185</v>
      </c>
      <c r="G71" s="305" t="s">
        <v>474</v>
      </c>
      <c r="H71" s="305" t="s">
        <v>475</v>
      </c>
    </row>
    <row r="72" spans="5:8" x14ac:dyDescent="0.25">
      <c r="E72" s="305" t="s">
        <v>378</v>
      </c>
      <c r="F72" s="305" t="s">
        <v>185</v>
      </c>
      <c r="G72" s="305" t="s">
        <v>1489</v>
      </c>
      <c r="H72" s="305" t="s">
        <v>214</v>
      </c>
    </row>
    <row r="73" spans="5:8" x14ac:dyDescent="0.25">
      <c r="E73" s="305" t="s">
        <v>378</v>
      </c>
      <c r="F73" s="305" t="s">
        <v>185</v>
      </c>
      <c r="G73" s="305" t="s">
        <v>219</v>
      </c>
      <c r="H73" s="305" t="s">
        <v>218</v>
      </c>
    </row>
    <row r="74" spans="5:8" x14ac:dyDescent="0.25">
      <c r="E74" s="305" t="s">
        <v>378</v>
      </c>
      <c r="F74" s="305" t="s">
        <v>185</v>
      </c>
      <c r="G74" s="305" t="s">
        <v>213</v>
      </c>
      <c r="H74" s="305" t="s">
        <v>212</v>
      </c>
    </row>
    <row r="75" spans="5:8" x14ac:dyDescent="0.25">
      <c r="E75" s="305" t="s">
        <v>378</v>
      </c>
      <c r="F75" s="305" t="s">
        <v>237</v>
      </c>
      <c r="G75" s="305" t="s">
        <v>238</v>
      </c>
      <c r="H75" s="305" t="s">
        <v>236</v>
      </c>
    </row>
    <row r="76" spans="5:8" x14ac:dyDescent="0.25">
      <c r="E76" s="305" t="s">
        <v>378</v>
      </c>
      <c r="F76" s="305" t="s">
        <v>237</v>
      </c>
      <c r="G76" s="305" t="s">
        <v>268</v>
      </c>
      <c r="H76" s="305" t="s">
        <v>267</v>
      </c>
    </row>
    <row r="77" spans="5:8" x14ac:dyDescent="0.25">
      <c r="E77" s="305" t="s">
        <v>378</v>
      </c>
      <c r="F77" s="305" t="s">
        <v>237</v>
      </c>
      <c r="G77" s="305" t="s">
        <v>248</v>
      </c>
      <c r="H77" s="305" t="s">
        <v>247</v>
      </c>
    </row>
    <row r="78" spans="5:8" x14ac:dyDescent="0.25">
      <c r="E78" s="305" t="s">
        <v>378</v>
      </c>
      <c r="F78" s="305" t="s">
        <v>237</v>
      </c>
      <c r="G78" s="305" t="s">
        <v>278</v>
      </c>
      <c r="H78" s="305" t="s">
        <v>277</v>
      </c>
    </row>
    <row r="79" spans="5:8" x14ac:dyDescent="0.25">
      <c r="E79" s="305" t="s">
        <v>378</v>
      </c>
      <c r="F79" s="305" t="s">
        <v>237</v>
      </c>
      <c r="G79" s="305" t="s">
        <v>250</v>
      </c>
      <c r="H79" s="305" t="s">
        <v>249</v>
      </c>
    </row>
    <row r="80" spans="5:8" x14ac:dyDescent="0.25">
      <c r="E80" s="305" t="s">
        <v>378</v>
      </c>
      <c r="F80" s="305" t="s">
        <v>237</v>
      </c>
      <c r="G80" s="305" t="s">
        <v>1490</v>
      </c>
      <c r="H80" s="305" t="s">
        <v>273</v>
      </c>
    </row>
    <row r="81" spans="5:8" x14ac:dyDescent="0.25">
      <c r="E81" s="305" t="s">
        <v>378</v>
      </c>
      <c r="F81" s="305" t="s">
        <v>237</v>
      </c>
      <c r="G81" s="305" t="s">
        <v>262</v>
      </c>
      <c r="H81" s="305" t="s">
        <v>261</v>
      </c>
    </row>
    <row r="82" spans="5:8" x14ac:dyDescent="0.25">
      <c r="E82" s="305" t="s">
        <v>378</v>
      </c>
      <c r="F82" s="305" t="s">
        <v>237</v>
      </c>
      <c r="G82" s="305" t="s">
        <v>264</v>
      </c>
      <c r="H82" s="305" t="s">
        <v>263</v>
      </c>
    </row>
    <row r="83" spans="5:8" x14ac:dyDescent="0.25">
      <c r="E83" s="305" t="s">
        <v>378</v>
      </c>
      <c r="F83" s="305" t="s">
        <v>237</v>
      </c>
      <c r="G83" s="305" t="s">
        <v>1491</v>
      </c>
      <c r="H83" s="305" t="s">
        <v>275</v>
      </c>
    </row>
    <row r="84" spans="5:8" x14ac:dyDescent="0.25">
      <c r="E84" s="305" t="s">
        <v>378</v>
      </c>
      <c r="F84" s="305" t="s">
        <v>237</v>
      </c>
      <c r="G84" s="305" t="s">
        <v>1030</v>
      </c>
      <c r="H84" s="305" t="s">
        <v>241</v>
      </c>
    </row>
    <row r="85" spans="5:8" x14ac:dyDescent="0.25">
      <c r="E85" s="305" t="s">
        <v>378</v>
      </c>
      <c r="F85" s="305" t="s">
        <v>237</v>
      </c>
      <c r="G85" s="305" t="s">
        <v>260</v>
      </c>
      <c r="H85" s="305" t="s">
        <v>259</v>
      </c>
    </row>
    <row r="86" spans="5:8" x14ac:dyDescent="0.25">
      <c r="E86" s="305" t="s">
        <v>378</v>
      </c>
      <c r="F86" s="305" t="s">
        <v>237</v>
      </c>
      <c r="G86" s="305" t="s">
        <v>280</v>
      </c>
      <c r="H86" s="305" t="s">
        <v>279</v>
      </c>
    </row>
    <row r="87" spans="5:8" x14ac:dyDescent="0.25">
      <c r="E87" s="305" t="s">
        <v>378</v>
      </c>
      <c r="F87" s="305" t="s">
        <v>237</v>
      </c>
      <c r="G87" s="305" t="s">
        <v>1492</v>
      </c>
      <c r="H87" s="305" t="s">
        <v>245</v>
      </c>
    </row>
    <row r="88" spans="5:8" x14ac:dyDescent="0.25">
      <c r="E88" s="305" t="s">
        <v>378</v>
      </c>
      <c r="F88" s="305" t="s">
        <v>237</v>
      </c>
      <c r="G88" s="305" t="s">
        <v>256</v>
      </c>
      <c r="H88" s="305" t="s">
        <v>255</v>
      </c>
    </row>
    <row r="89" spans="5:8" x14ac:dyDescent="0.25">
      <c r="E89" s="305" t="s">
        <v>378</v>
      </c>
      <c r="F89" s="305" t="s">
        <v>237</v>
      </c>
      <c r="G89" s="305" t="s">
        <v>284</v>
      </c>
      <c r="H89" s="305" t="s">
        <v>283</v>
      </c>
    </row>
    <row r="90" spans="5:8" x14ac:dyDescent="0.25">
      <c r="E90" s="305" t="s">
        <v>378</v>
      </c>
      <c r="F90" s="305" t="s">
        <v>237</v>
      </c>
      <c r="G90" s="305" t="s">
        <v>1493</v>
      </c>
      <c r="H90" s="305" t="s">
        <v>239</v>
      </c>
    </row>
    <row r="91" spans="5:8" x14ac:dyDescent="0.25">
      <c r="E91" s="305" t="s">
        <v>378</v>
      </c>
      <c r="F91" s="305" t="s">
        <v>237</v>
      </c>
      <c r="G91" s="305" t="s">
        <v>258</v>
      </c>
      <c r="H91" s="305" t="s">
        <v>257</v>
      </c>
    </row>
    <row r="92" spans="5:8" x14ac:dyDescent="0.25">
      <c r="E92" s="305" t="s">
        <v>378</v>
      </c>
      <c r="F92" s="305" t="s">
        <v>237</v>
      </c>
      <c r="G92" s="305" t="s">
        <v>252</v>
      </c>
      <c r="H92" s="305" t="s">
        <v>251</v>
      </c>
    </row>
    <row r="93" spans="5:8" x14ac:dyDescent="0.25">
      <c r="E93" s="305" t="s">
        <v>378</v>
      </c>
      <c r="F93" s="305" t="s">
        <v>237</v>
      </c>
      <c r="G93" s="305" t="s">
        <v>254</v>
      </c>
      <c r="H93" s="305" t="s">
        <v>253</v>
      </c>
    </row>
    <row r="94" spans="5:8" x14ac:dyDescent="0.25">
      <c r="E94" s="305" t="s">
        <v>378</v>
      </c>
      <c r="F94" s="305" t="s">
        <v>237</v>
      </c>
      <c r="G94" s="305" t="s">
        <v>270</v>
      </c>
      <c r="H94" s="305" t="s">
        <v>269</v>
      </c>
    </row>
    <row r="95" spans="5:8" x14ac:dyDescent="0.25">
      <c r="E95" s="305" t="s">
        <v>378</v>
      </c>
      <c r="F95" s="305" t="s">
        <v>237</v>
      </c>
      <c r="G95" s="305" t="s">
        <v>272</v>
      </c>
      <c r="H95" s="305" t="s">
        <v>271</v>
      </c>
    </row>
    <row r="96" spans="5:8" x14ac:dyDescent="0.25">
      <c r="E96" s="305" t="s">
        <v>378</v>
      </c>
      <c r="F96" s="305" t="s">
        <v>299</v>
      </c>
      <c r="G96" s="305" t="s">
        <v>891</v>
      </c>
      <c r="H96" s="305" t="s">
        <v>892</v>
      </c>
    </row>
    <row r="97" spans="5:8" x14ac:dyDescent="0.25">
      <c r="E97" s="305" t="s">
        <v>378</v>
      </c>
      <c r="F97" s="305" t="s">
        <v>299</v>
      </c>
      <c r="G97" s="305" t="s">
        <v>1045</v>
      </c>
      <c r="H97" s="305" t="s">
        <v>1044</v>
      </c>
    </row>
    <row r="98" spans="5:8" x14ac:dyDescent="0.25">
      <c r="E98" s="305" t="s">
        <v>378</v>
      </c>
      <c r="F98" s="305" t="s">
        <v>299</v>
      </c>
      <c r="G98" s="305" t="s">
        <v>300</v>
      </c>
      <c r="H98" s="305" t="s">
        <v>298</v>
      </c>
    </row>
    <row r="99" spans="5:8" x14ac:dyDescent="0.25">
      <c r="E99" s="305" t="s">
        <v>378</v>
      </c>
      <c r="F99" s="305" t="s">
        <v>301</v>
      </c>
      <c r="G99" s="305" t="s">
        <v>305</v>
      </c>
      <c r="H99" s="305" t="s">
        <v>304</v>
      </c>
    </row>
    <row r="100" spans="5:8" x14ac:dyDescent="0.25">
      <c r="E100" s="305" t="s">
        <v>378</v>
      </c>
      <c r="F100" s="305" t="s">
        <v>301</v>
      </c>
      <c r="G100" s="305" t="s">
        <v>303</v>
      </c>
      <c r="H100" s="305" t="s">
        <v>302</v>
      </c>
    </row>
    <row r="101" spans="5:8" x14ac:dyDescent="0.25">
      <c r="E101" s="305" t="s">
        <v>378</v>
      </c>
      <c r="F101" s="305" t="s">
        <v>301</v>
      </c>
      <c r="G101" s="305" t="s">
        <v>307</v>
      </c>
      <c r="H101" s="305" t="s">
        <v>306</v>
      </c>
    </row>
    <row r="102" spans="5:8" x14ac:dyDescent="0.25">
      <c r="E102" s="305" t="s">
        <v>378</v>
      </c>
      <c r="F102" s="305" t="s">
        <v>746</v>
      </c>
      <c r="G102" s="305" t="s">
        <v>1065</v>
      </c>
      <c r="H102" s="305" t="s">
        <v>1066</v>
      </c>
    </row>
    <row r="103" spans="5:8" x14ac:dyDescent="0.25">
      <c r="E103" s="305" t="s">
        <v>378</v>
      </c>
      <c r="F103" s="305" t="s">
        <v>746</v>
      </c>
      <c r="G103" s="305" t="s">
        <v>1067</v>
      </c>
      <c r="H103" s="305" t="s">
        <v>1068</v>
      </c>
    </row>
    <row r="104" spans="5:8" x14ac:dyDescent="0.25">
      <c r="E104" s="305" t="s">
        <v>378</v>
      </c>
      <c r="F104" s="305" t="s">
        <v>746</v>
      </c>
      <c r="G104" s="305" t="s">
        <v>746</v>
      </c>
      <c r="H104" s="305" t="s">
        <v>750</v>
      </c>
    </row>
    <row r="105" spans="5:8" x14ac:dyDescent="0.25">
      <c r="E105" s="305" t="s">
        <v>378</v>
      </c>
      <c r="F105" s="305" t="s">
        <v>1135</v>
      </c>
      <c r="G105" s="305" t="s">
        <v>1400</v>
      </c>
      <c r="H105" s="305" t="s">
        <v>1403</v>
      </c>
    </row>
    <row r="106" spans="5:8" x14ac:dyDescent="0.25">
      <c r="E106" s="305" t="s">
        <v>378</v>
      </c>
      <c r="F106" s="305" t="s">
        <v>1135</v>
      </c>
      <c r="G106" s="305" t="s">
        <v>1391</v>
      </c>
      <c r="H106" s="305" t="s">
        <v>1404</v>
      </c>
    </row>
    <row r="107" spans="5:8" x14ac:dyDescent="0.25">
      <c r="E107" s="305" t="s">
        <v>378</v>
      </c>
      <c r="F107" s="305" t="s">
        <v>1135</v>
      </c>
      <c r="G107" s="305" t="s">
        <v>1392</v>
      </c>
      <c r="H107" s="305" t="s">
        <v>1405</v>
      </c>
    </row>
    <row r="108" spans="5:8" x14ac:dyDescent="0.25">
      <c r="E108" s="305" t="s">
        <v>378</v>
      </c>
      <c r="F108" s="305" t="s">
        <v>1135</v>
      </c>
      <c r="G108" s="305" t="s">
        <v>1393</v>
      </c>
      <c r="H108" s="305" t="s">
        <v>1406</v>
      </c>
    </row>
    <row r="109" spans="5:8" x14ac:dyDescent="0.25">
      <c r="E109" s="305" t="s">
        <v>378</v>
      </c>
      <c r="F109" s="305" t="s">
        <v>309</v>
      </c>
      <c r="G109" s="305" t="s">
        <v>333</v>
      </c>
      <c r="H109" s="305" t="s">
        <v>332</v>
      </c>
    </row>
    <row r="110" spans="5:8" x14ac:dyDescent="0.25">
      <c r="E110" s="305" t="s">
        <v>378</v>
      </c>
      <c r="F110" s="305" t="s">
        <v>309</v>
      </c>
      <c r="G110" s="305" t="s">
        <v>349</v>
      </c>
      <c r="H110" s="305" t="s">
        <v>348</v>
      </c>
    </row>
    <row r="111" spans="5:8" x14ac:dyDescent="0.25">
      <c r="E111" s="305" t="s">
        <v>378</v>
      </c>
      <c r="F111" s="305" t="s">
        <v>309</v>
      </c>
      <c r="G111" s="305" t="s">
        <v>312</v>
      </c>
      <c r="H111" s="305" t="s">
        <v>311</v>
      </c>
    </row>
    <row r="112" spans="5:8" x14ac:dyDescent="0.25">
      <c r="E112" s="305" t="s">
        <v>378</v>
      </c>
      <c r="F112" s="305" t="s">
        <v>309</v>
      </c>
      <c r="G112" s="305" t="s">
        <v>337</v>
      </c>
      <c r="H112" s="305" t="s">
        <v>336</v>
      </c>
    </row>
    <row r="113" spans="5:8" x14ac:dyDescent="0.25">
      <c r="E113" s="305" t="s">
        <v>378</v>
      </c>
      <c r="F113" s="305" t="s">
        <v>309</v>
      </c>
      <c r="G113" s="305" t="s">
        <v>327</v>
      </c>
      <c r="H113" s="305" t="s">
        <v>326</v>
      </c>
    </row>
    <row r="114" spans="5:8" x14ac:dyDescent="0.25">
      <c r="E114" s="305" t="s">
        <v>378</v>
      </c>
      <c r="F114" s="305" t="s">
        <v>309</v>
      </c>
      <c r="G114" s="305" t="s">
        <v>340</v>
      </c>
      <c r="H114" s="305" t="s">
        <v>339</v>
      </c>
    </row>
    <row r="115" spans="5:8" x14ac:dyDescent="0.25">
      <c r="E115" s="305" t="s">
        <v>378</v>
      </c>
      <c r="F115" s="305" t="s">
        <v>309</v>
      </c>
      <c r="G115" s="305" t="s">
        <v>319</v>
      </c>
      <c r="H115" s="305" t="s">
        <v>318</v>
      </c>
    </row>
    <row r="116" spans="5:8" x14ac:dyDescent="0.25">
      <c r="E116" s="305" t="s">
        <v>378</v>
      </c>
      <c r="F116" s="305" t="s">
        <v>309</v>
      </c>
      <c r="G116" s="305" t="s">
        <v>325</v>
      </c>
      <c r="H116" s="305" t="s">
        <v>324</v>
      </c>
    </row>
    <row r="117" spans="5:8" x14ac:dyDescent="0.25">
      <c r="E117" s="305" t="s">
        <v>378</v>
      </c>
      <c r="F117" s="305" t="s">
        <v>309</v>
      </c>
      <c r="G117" s="305" t="s">
        <v>323</v>
      </c>
      <c r="H117" s="305" t="s">
        <v>322</v>
      </c>
    </row>
    <row r="118" spans="5:8" x14ac:dyDescent="0.25">
      <c r="E118" s="305" t="s">
        <v>378</v>
      </c>
      <c r="F118" s="305" t="s">
        <v>309</v>
      </c>
      <c r="G118" s="305" t="s">
        <v>345</v>
      </c>
      <c r="H118" s="305" t="s">
        <v>344</v>
      </c>
    </row>
    <row r="119" spans="5:8" x14ac:dyDescent="0.25">
      <c r="E119" s="305" t="s">
        <v>378</v>
      </c>
      <c r="F119" s="305" t="s">
        <v>309</v>
      </c>
      <c r="G119" s="305" t="s">
        <v>751</v>
      </c>
      <c r="H119" s="305" t="s">
        <v>752</v>
      </c>
    </row>
    <row r="120" spans="5:8" x14ac:dyDescent="0.25">
      <c r="E120" s="305" t="s">
        <v>378</v>
      </c>
      <c r="F120" s="305" t="s">
        <v>309</v>
      </c>
      <c r="G120" s="305" t="s">
        <v>317</v>
      </c>
      <c r="H120" s="305" t="s">
        <v>316</v>
      </c>
    </row>
    <row r="121" spans="5:8" x14ac:dyDescent="0.25">
      <c r="E121" s="305" t="s">
        <v>378</v>
      </c>
      <c r="F121" s="305" t="s">
        <v>309</v>
      </c>
      <c r="G121" s="305" t="s">
        <v>342</v>
      </c>
      <c r="H121" s="305" t="s">
        <v>341</v>
      </c>
    </row>
    <row r="122" spans="5:8" x14ac:dyDescent="0.25">
      <c r="E122" s="305" t="s">
        <v>378</v>
      </c>
      <c r="F122" s="305" t="s">
        <v>309</v>
      </c>
      <c r="G122" s="305" t="s">
        <v>347</v>
      </c>
      <c r="H122" s="305" t="s">
        <v>346</v>
      </c>
    </row>
    <row r="123" spans="5:8" x14ac:dyDescent="0.25">
      <c r="E123" s="305" t="s">
        <v>378</v>
      </c>
      <c r="F123" s="305" t="s">
        <v>309</v>
      </c>
      <c r="G123" s="305" t="s">
        <v>1494</v>
      </c>
      <c r="H123" s="305" t="s">
        <v>314</v>
      </c>
    </row>
    <row r="124" spans="5:8" x14ac:dyDescent="0.25">
      <c r="E124" s="305" t="s">
        <v>378</v>
      </c>
      <c r="F124" s="305" t="s">
        <v>309</v>
      </c>
      <c r="G124" s="305" t="s">
        <v>321</v>
      </c>
      <c r="H124" s="305" t="s">
        <v>320</v>
      </c>
    </row>
    <row r="125" spans="5:8" x14ac:dyDescent="0.25">
      <c r="E125" s="305" t="s">
        <v>378</v>
      </c>
      <c r="F125" s="305" t="s">
        <v>309</v>
      </c>
      <c r="G125" s="305" t="s">
        <v>329</v>
      </c>
      <c r="H125" s="305" t="s">
        <v>328</v>
      </c>
    </row>
    <row r="126" spans="5:8" x14ac:dyDescent="0.25">
      <c r="E126" s="305" t="s">
        <v>378</v>
      </c>
      <c r="F126" s="305" t="s">
        <v>309</v>
      </c>
      <c r="G126" s="305" t="s">
        <v>1495</v>
      </c>
      <c r="H126" s="305" t="s">
        <v>334</v>
      </c>
    </row>
    <row r="127" spans="5:8" x14ac:dyDescent="0.25">
      <c r="E127" s="305" t="s">
        <v>378</v>
      </c>
      <c r="F127" s="305" t="s">
        <v>309</v>
      </c>
      <c r="G127" s="305" t="s">
        <v>1029</v>
      </c>
      <c r="H127" s="305" t="s">
        <v>343</v>
      </c>
    </row>
    <row r="128" spans="5:8" x14ac:dyDescent="0.25">
      <c r="E128" s="305" t="s">
        <v>378</v>
      </c>
      <c r="F128" s="305" t="s">
        <v>309</v>
      </c>
      <c r="G128" s="305" t="s">
        <v>353</v>
      </c>
      <c r="H128" s="305" t="s">
        <v>352</v>
      </c>
    </row>
    <row r="129" spans="5:8" x14ac:dyDescent="0.25">
      <c r="E129" s="305" t="s">
        <v>378</v>
      </c>
      <c r="F129" s="305" t="s">
        <v>309</v>
      </c>
      <c r="G129" s="305" t="s">
        <v>1496</v>
      </c>
      <c r="H129" s="305" t="s">
        <v>338</v>
      </c>
    </row>
    <row r="130" spans="5:8" x14ac:dyDescent="0.25">
      <c r="E130" s="305" t="s">
        <v>378</v>
      </c>
      <c r="F130" s="305" t="s">
        <v>309</v>
      </c>
      <c r="G130" s="305" t="s">
        <v>351</v>
      </c>
      <c r="H130" s="305" t="s">
        <v>350</v>
      </c>
    </row>
    <row r="131" spans="5:8" x14ac:dyDescent="0.25">
      <c r="E131" s="305" t="s">
        <v>378</v>
      </c>
      <c r="F131" s="305" t="s">
        <v>309</v>
      </c>
      <c r="G131" s="305" t="s">
        <v>1497</v>
      </c>
      <c r="H131" s="305" t="s">
        <v>1261</v>
      </c>
    </row>
    <row r="132" spans="5:8" x14ac:dyDescent="0.25">
      <c r="E132" s="305" t="s">
        <v>378</v>
      </c>
      <c r="F132" s="305" t="s">
        <v>309</v>
      </c>
      <c r="G132" s="305" t="s">
        <v>1252</v>
      </c>
      <c r="H132" s="305" t="s">
        <v>1249</v>
      </c>
    </row>
    <row r="133" spans="5:8" x14ac:dyDescent="0.25">
      <c r="E133" s="305" t="s">
        <v>506</v>
      </c>
      <c r="F133" s="305" t="s">
        <v>719</v>
      </c>
      <c r="G133" s="305" t="s">
        <v>535</v>
      </c>
      <c r="H133" s="305" t="s">
        <v>772</v>
      </c>
    </row>
    <row r="134" spans="5:8" x14ac:dyDescent="0.25">
      <c r="E134" s="305" t="s">
        <v>506</v>
      </c>
      <c r="F134" s="305" t="s">
        <v>719</v>
      </c>
      <c r="G134" s="305" t="s">
        <v>1498</v>
      </c>
      <c r="H134" s="305" t="s">
        <v>1043</v>
      </c>
    </row>
    <row r="135" spans="5:8" x14ac:dyDescent="0.25">
      <c r="E135" s="305" t="s">
        <v>506</v>
      </c>
      <c r="F135" s="305" t="s">
        <v>146</v>
      </c>
      <c r="G135" s="305" t="s">
        <v>369</v>
      </c>
      <c r="H135" s="305" t="s">
        <v>147</v>
      </c>
    </row>
    <row r="136" spans="5:8" x14ac:dyDescent="0.25">
      <c r="E136" s="305" t="s">
        <v>506</v>
      </c>
      <c r="F136" s="305" t="s">
        <v>146</v>
      </c>
      <c r="G136" s="305" t="s">
        <v>149</v>
      </c>
      <c r="H136" s="305" t="s">
        <v>148</v>
      </c>
    </row>
    <row r="137" spans="5:8" x14ac:dyDescent="0.25">
      <c r="E137" s="305" t="s">
        <v>506</v>
      </c>
      <c r="F137" s="305" t="s">
        <v>146</v>
      </c>
      <c r="G137" s="305" t="s">
        <v>367</v>
      </c>
      <c r="H137" s="305" t="s">
        <v>381</v>
      </c>
    </row>
    <row r="138" spans="5:8" x14ac:dyDescent="0.25">
      <c r="E138" s="305" t="s">
        <v>506</v>
      </c>
      <c r="F138" s="305" t="s">
        <v>146</v>
      </c>
      <c r="G138" s="305" t="s">
        <v>368</v>
      </c>
      <c r="H138" s="305" t="s">
        <v>382</v>
      </c>
    </row>
    <row r="139" spans="5:8" x14ac:dyDescent="0.25">
      <c r="E139" s="305" t="s">
        <v>506</v>
      </c>
      <c r="F139" s="305" t="s">
        <v>146</v>
      </c>
      <c r="G139" s="305" t="s">
        <v>366</v>
      </c>
      <c r="H139" s="305" t="s">
        <v>383</v>
      </c>
    </row>
    <row r="140" spans="5:8" x14ac:dyDescent="0.25">
      <c r="E140" s="305" t="s">
        <v>506</v>
      </c>
      <c r="F140" s="305" t="s">
        <v>146</v>
      </c>
      <c r="G140" s="305" t="s">
        <v>1499</v>
      </c>
      <c r="H140" s="305" t="s">
        <v>385</v>
      </c>
    </row>
    <row r="141" spans="5:8" x14ac:dyDescent="0.25">
      <c r="E141" s="305" t="s">
        <v>506</v>
      </c>
      <c r="F141" s="305" t="s">
        <v>146</v>
      </c>
      <c r="G141" s="305" t="s">
        <v>1500</v>
      </c>
      <c r="H141" s="305" t="s">
        <v>941</v>
      </c>
    </row>
    <row r="142" spans="5:8" x14ac:dyDescent="0.25">
      <c r="E142" s="305" t="s">
        <v>506</v>
      </c>
      <c r="F142" s="305" t="s">
        <v>146</v>
      </c>
      <c r="G142" s="305" t="s">
        <v>1081</v>
      </c>
      <c r="H142" s="305" t="s">
        <v>1082</v>
      </c>
    </row>
    <row r="143" spans="5:8" x14ac:dyDescent="0.25">
      <c r="E143" s="305" t="s">
        <v>506</v>
      </c>
      <c r="F143" s="305" t="s">
        <v>146</v>
      </c>
      <c r="G143" s="305" t="s">
        <v>1501</v>
      </c>
      <c r="H143" s="305" t="s">
        <v>1120</v>
      </c>
    </row>
    <row r="144" spans="5:8" x14ac:dyDescent="0.25">
      <c r="E144" s="305" t="s">
        <v>506</v>
      </c>
      <c r="F144" s="305" t="s">
        <v>146</v>
      </c>
      <c r="G144" s="305" t="s">
        <v>1130</v>
      </c>
      <c r="H144" s="305" t="s">
        <v>1125</v>
      </c>
    </row>
    <row r="145" spans="5:8" x14ac:dyDescent="0.25">
      <c r="E145" s="305" t="s">
        <v>506</v>
      </c>
      <c r="F145" s="305" t="s">
        <v>146</v>
      </c>
      <c r="G145" s="305" t="s">
        <v>1145</v>
      </c>
      <c r="H145" s="305" t="s">
        <v>1127</v>
      </c>
    </row>
    <row r="146" spans="5:8" x14ac:dyDescent="0.25">
      <c r="E146" s="305" t="s">
        <v>506</v>
      </c>
      <c r="F146" s="305" t="s">
        <v>146</v>
      </c>
      <c r="G146" s="305" t="s">
        <v>1238</v>
      </c>
      <c r="H146" s="305" t="s">
        <v>1239</v>
      </c>
    </row>
    <row r="147" spans="5:8" x14ac:dyDescent="0.25">
      <c r="E147" s="305" t="s">
        <v>506</v>
      </c>
      <c r="F147" s="305" t="s">
        <v>146</v>
      </c>
      <c r="G147" s="305" t="s">
        <v>1502</v>
      </c>
      <c r="H147" s="305" t="s">
        <v>1230</v>
      </c>
    </row>
    <row r="148" spans="5:8" x14ac:dyDescent="0.25">
      <c r="E148" s="305" t="s">
        <v>506</v>
      </c>
      <c r="F148" s="305" t="s">
        <v>166</v>
      </c>
      <c r="G148" s="305" t="s">
        <v>167</v>
      </c>
      <c r="H148" s="305" t="s">
        <v>165</v>
      </c>
    </row>
    <row r="149" spans="5:8" x14ac:dyDescent="0.25">
      <c r="E149" s="305" t="s">
        <v>506</v>
      </c>
      <c r="F149" s="305" t="s">
        <v>166</v>
      </c>
      <c r="G149" s="305" t="s">
        <v>1503</v>
      </c>
      <c r="H149" s="305" t="s">
        <v>761</v>
      </c>
    </row>
    <row r="150" spans="5:8" x14ac:dyDescent="0.25">
      <c r="E150" s="305" t="s">
        <v>506</v>
      </c>
      <c r="F150" s="305" t="s">
        <v>166</v>
      </c>
      <c r="G150" s="305" t="s">
        <v>1139</v>
      </c>
      <c r="H150" s="305" t="s">
        <v>1122</v>
      </c>
    </row>
    <row r="151" spans="5:8" x14ac:dyDescent="0.25">
      <c r="E151" s="305" t="s">
        <v>506</v>
      </c>
      <c r="F151" s="305" t="s">
        <v>230</v>
      </c>
      <c r="G151" s="305" t="s">
        <v>902</v>
      </c>
      <c r="H151" s="305" t="s">
        <v>903</v>
      </c>
    </row>
    <row r="152" spans="5:8" x14ac:dyDescent="0.25">
      <c r="E152" s="305" t="s">
        <v>506</v>
      </c>
      <c r="F152" s="305" t="s">
        <v>230</v>
      </c>
      <c r="G152" s="305" t="s">
        <v>912</v>
      </c>
      <c r="H152" s="305" t="s">
        <v>913</v>
      </c>
    </row>
    <row r="153" spans="5:8" x14ac:dyDescent="0.25">
      <c r="E153" s="305" t="s">
        <v>506</v>
      </c>
      <c r="F153" s="305" t="s">
        <v>230</v>
      </c>
      <c r="G153" s="305" t="s">
        <v>716</v>
      </c>
      <c r="H153" s="305" t="s">
        <v>1242</v>
      </c>
    </row>
    <row r="154" spans="5:8" x14ac:dyDescent="0.25">
      <c r="E154" s="305" t="s">
        <v>506</v>
      </c>
      <c r="F154" s="305" t="s">
        <v>230</v>
      </c>
      <c r="G154" s="305" t="s">
        <v>359</v>
      </c>
      <c r="H154" s="305" t="s">
        <v>771</v>
      </c>
    </row>
    <row r="155" spans="5:8" x14ac:dyDescent="0.25">
      <c r="E155" s="305" t="s">
        <v>506</v>
      </c>
      <c r="F155" s="305" t="s">
        <v>288</v>
      </c>
      <c r="G155" s="305" t="s">
        <v>289</v>
      </c>
      <c r="H155" s="305" t="s">
        <v>287</v>
      </c>
    </row>
    <row r="156" spans="5:8" x14ac:dyDescent="0.25">
      <c r="E156" s="305" t="s">
        <v>506</v>
      </c>
      <c r="F156" s="305" t="s">
        <v>288</v>
      </c>
      <c r="G156" s="305" t="s">
        <v>1504</v>
      </c>
      <c r="H156" s="305" t="s">
        <v>294</v>
      </c>
    </row>
    <row r="157" spans="5:8" x14ac:dyDescent="0.25">
      <c r="E157" s="305" t="s">
        <v>506</v>
      </c>
      <c r="F157" s="305" t="s">
        <v>288</v>
      </c>
      <c r="G157" s="305" t="s">
        <v>291</v>
      </c>
      <c r="H157" s="305" t="s">
        <v>290</v>
      </c>
    </row>
    <row r="158" spans="5:8" x14ac:dyDescent="0.25">
      <c r="E158" s="305" t="s">
        <v>506</v>
      </c>
      <c r="F158" s="305" t="s">
        <v>288</v>
      </c>
      <c r="G158" s="305" t="s">
        <v>1505</v>
      </c>
      <c r="H158" s="305" t="s">
        <v>905</v>
      </c>
    </row>
    <row r="159" spans="5:8" x14ac:dyDescent="0.25">
      <c r="E159" s="305" t="s">
        <v>506</v>
      </c>
      <c r="F159" s="305" t="s">
        <v>288</v>
      </c>
      <c r="G159" s="305" t="s">
        <v>1506</v>
      </c>
      <c r="H159" s="305" t="s">
        <v>909</v>
      </c>
    </row>
    <row r="160" spans="5:8" x14ac:dyDescent="0.25">
      <c r="E160" s="305" t="s">
        <v>506</v>
      </c>
      <c r="F160" s="305" t="s">
        <v>288</v>
      </c>
      <c r="G160" s="305" t="s">
        <v>1129</v>
      </c>
      <c r="H160" s="305" t="s">
        <v>1124</v>
      </c>
    </row>
    <row r="161" spans="5:8" x14ac:dyDescent="0.25">
      <c r="E161" s="305" t="s">
        <v>506</v>
      </c>
      <c r="F161" s="305" t="s">
        <v>297</v>
      </c>
      <c r="G161" s="305" t="s">
        <v>759</v>
      </c>
      <c r="H161" s="305" t="s">
        <v>296</v>
      </c>
    </row>
    <row r="162" spans="5:8" x14ac:dyDescent="0.25">
      <c r="E162" s="305" t="s">
        <v>506</v>
      </c>
      <c r="F162" s="305" t="s">
        <v>297</v>
      </c>
      <c r="G162" s="305" t="s">
        <v>1136</v>
      </c>
      <c r="H162" s="305" t="s">
        <v>1121</v>
      </c>
    </row>
    <row r="163" spans="5:8" x14ac:dyDescent="0.25">
      <c r="E163" s="305" t="s">
        <v>506</v>
      </c>
      <c r="F163" s="305" t="s">
        <v>297</v>
      </c>
      <c r="G163" s="305" t="s">
        <v>1187</v>
      </c>
      <c r="H163" s="305" t="s">
        <v>1169</v>
      </c>
    </row>
    <row r="164" spans="5:8" x14ac:dyDescent="0.25">
      <c r="E164" s="305" t="s">
        <v>506</v>
      </c>
      <c r="F164" s="305" t="s">
        <v>297</v>
      </c>
      <c r="G164" s="305" t="s">
        <v>1507</v>
      </c>
      <c r="H164" s="305" t="s">
        <v>1274</v>
      </c>
    </row>
    <row r="165" spans="5:8" x14ac:dyDescent="0.25">
      <c r="E165" s="305" t="s">
        <v>506</v>
      </c>
      <c r="F165" s="305" t="s">
        <v>297</v>
      </c>
      <c r="G165" s="305" t="s">
        <v>1190</v>
      </c>
      <c r="H165" s="305" t="s">
        <v>1172</v>
      </c>
    </row>
    <row r="166" spans="5:8" x14ac:dyDescent="0.25">
      <c r="E166" s="305" t="s">
        <v>506</v>
      </c>
      <c r="F166" s="305" t="s">
        <v>1199</v>
      </c>
      <c r="G166" s="305" t="s">
        <v>1196</v>
      </c>
      <c r="H166" s="305" t="s">
        <v>1184</v>
      </c>
    </row>
    <row r="167" spans="5:8" x14ac:dyDescent="0.25">
      <c r="E167" s="305" t="s">
        <v>506</v>
      </c>
      <c r="F167" s="305" t="s">
        <v>494</v>
      </c>
      <c r="G167" s="305" t="s">
        <v>1565</v>
      </c>
    </row>
    <row r="168" spans="5:8" x14ac:dyDescent="0.25">
      <c r="G168" s="305" t="s">
        <v>1566</v>
      </c>
    </row>
    <row r="169" spans="5:8" x14ac:dyDescent="0.25">
      <c r="G169" s="305" t="s">
        <v>1567</v>
      </c>
    </row>
    <row r="170" spans="5:8" x14ac:dyDescent="0.25">
      <c r="G170" s="305" t="s">
        <v>1568</v>
      </c>
    </row>
    <row r="171" spans="5:8" x14ac:dyDescent="0.25">
      <c r="G171" s="305" t="s">
        <v>1569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EFDD4649-07B9-495C-8FFA-CE327D4258B8}">
  <ds:schemaRefs/>
</ds:datastoreItem>
</file>

<file path=customXml/itemProps2.xml><?xml version="1.0" encoding="utf-8"?>
<ds:datastoreItem xmlns:ds="http://schemas.openxmlformats.org/officeDocument/2006/customXml" ds:itemID="{D50E7055-9622-4A96-82B8-EBACB5B39629}">
  <ds:schemaRefs/>
</ds:datastoreItem>
</file>

<file path=customXml/itemProps3.xml><?xml version="1.0" encoding="utf-8"?>
<ds:datastoreItem xmlns:ds="http://schemas.openxmlformats.org/officeDocument/2006/customXml" ds:itemID="{3957C5D7-EFF0-44A3-9298-445924399827}">
  <ds:schemaRefs/>
</ds:datastoreItem>
</file>

<file path=customXml/itemProps4.xml><?xml version="1.0" encoding="utf-8"?>
<ds:datastoreItem xmlns:ds="http://schemas.openxmlformats.org/officeDocument/2006/customXml" ds:itemID="{54F841B6-B55C-4835-A603-634668231C4E}">
  <ds:schemaRefs/>
</ds:datastoreItem>
</file>

<file path=customXml/itemProps5.xml><?xml version="1.0" encoding="utf-8"?>
<ds:datastoreItem xmlns:ds="http://schemas.openxmlformats.org/officeDocument/2006/customXml" ds:itemID="{56F54182-A2E7-46D3-9B50-3EE12C2ED11C}">
  <ds:schemaRefs/>
</ds:datastoreItem>
</file>

<file path=customXml/itemProps6.xml><?xml version="1.0" encoding="utf-8"?>
<ds:datastoreItem xmlns:ds="http://schemas.openxmlformats.org/officeDocument/2006/customXml" ds:itemID="{21F44420-13F1-4F50-9105-F761EFC3AFFE}">
  <ds:schemaRefs/>
</ds:datastoreItem>
</file>

<file path=customXml/itemProps7.xml><?xml version="1.0" encoding="utf-8"?>
<ds:datastoreItem xmlns:ds="http://schemas.openxmlformats.org/officeDocument/2006/customXml" ds:itemID="{C2BE83A5-448A-4B18-BB34-D729CAA9F86F}">
  <ds:schemaRefs/>
</ds:datastoreItem>
</file>

<file path=customXml/itemProps8.xml><?xml version="1.0" encoding="utf-8"?>
<ds:datastoreItem xmlns:ds="http://schemas.openxmlformats.org/officeDocument/2006/customXml" ds:itemID="{29F038A7-53D4-43C9-BA81-F04FA320B26C}">
  <ds:schemaRefs/>
</ds:datastoreItem>
</file>

<file path=customXml/itemProps9.xml><?xml version="1.0" encoding="utf-8"?>
<ds:datastoreItem xmlns:ds="http://schemas.openxmlformats.org/officeDocument/2006/customXml" ds:itemID="{69B4A3EE-0A3F-4462-99AB-FF7F45263C2E}">
  <ds:schemaRefs/>
</ds:datastoreItem>
</file>

<file path=customXml/itemProps10.xml><?xml version="1.0" encoding="utf-8"?>
<ds:datastoreItem xmlns:ds="http://schemas.openxmlformats.org/officeDocument/2006/customXml" ds:itemID="{DB9160EE-0167-41E4-AC28-973692AB29DA}">
  <ds:schemaRefs/>
</ds:datastoreItem>
</file>

<file path=customXml/itemProps11.xml><?xml version="1.0" encoding="utf-8"?>
<ds:datastoreItem xmlns:ds="http://schemas.openxmlformats.org/officeDocument/2006/customXml" ds:itemID="{813269B1-46E6-446B-AAFD-6C3C2E0194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60</vt:i4>
      </vt:variant>
    </vt:vector>
  </HeadingPairs>
  <TitlesOfParts>
    <vt:vector size="81" baseType="lpstr">
      <vt:lpstr>IDP locations</vt:lpstr>
      <vt:lpstr>DistanceToCamp</vt:lpstr>
      <vt:lpstr>Definition</vt:lpstr>
      <vt:lpstr>Graphs</vt:lpstr>
      <vt:lpstr>IDP location Analysis</vt:lpstr>
      <vt:lpstr>CCCM Dashboard</vt:lpstr>
      <vt:lpstr>Map</vt:lpstr>
      <vt:lpstr>ForGIS</vt:lpstr>
      <vt:lpstr>Shelter Cross Check</vt:lpstr>
      <vt:lpstr>IDP locations (printable)</vt:lpstr>
      <vt:lpstr>Relocation</vt:lpstr>
      <vt:lpstr>Shelter Gap Analysis</vt:lpstr>
      <vt:lpstr>Define_TCL</vt:lpstr>
      <vt:lpstr>Shelter Coverage Camp</vt:lpstr>
      <vt:lpstr>Shelter Progress</vt:lpstr>
      <vt:lpstr>Shelter overview</vt:lpstr>
      <vt:lpstr>NFI Stock and Pipeline</vt:lpstr>
      <vt:lpstr>NFI Distributions</vt:lpstr>
      <vt:lpstr>Winter Item</vt:lpstr>
      <vt:lpstr>NFI Summary</vt:lpstr>
      <vt:lpstr>data</vt:lpstr>
      <vt:lpstr>Map!AllData_Camplist</vt:lpstr>
      <vt:lpstr>'Shelter overview'!AllData_Camplist</vt:lpstr>
      <vt:lpstr>'Shelter Progress'!AllData_Camplist</vt:lpstr>
      <vt:lpstr>AllData_Camplist</vt:lpstr>
      <vt:lpstr>Camp_Accessibility</vt:lpstr>
      <vt:lpstr>'Shelter Progress'!Camp_List</vt:lpstr>
      <vt:lpstr>Camp_List</vt:lpstr>
      <vt:lpstr>Camplist_HH</vt:lpstr>
      <vt:lpstr>Camplist_Popl</vt:lpstr>
      <vt:lpstr>CampList_Status</vt:lpstr>
      <vt:lpstr>Camplist_Township</vt:lpstr>
      <vt:lpstr>Camplist_Type_Of_Acc</vt:lpstr>
      <vt:lpstr>CL</vt:lpstr>
      <vt:lpstr>Kachin</vt:lpstr>
      <vt:lpstr>'Shelter Progress'!Kashin</vt:lpstr>
      <vt:lpstr>Kashin</vt:lpstr>
      <vt:lpstr>Map!Kyauk_Phyu_G</vt:lpstr>
      <vt:lpstr>NameTSPOP</vt:lpstr>
      <vt:lpstr>NFI</vt:lpstr>
      <vt:lpstr>NFI_Blanket_Track</vt:lpstr>
      <vt:lpstr>NFI_Clothes_Track</vt:lpstr>
      <vt:lpstr>NFI_Core_Track</vt:lpstr>
      <vt:lpstr>NFI_Hygiene_Track</vt:lpstr>
      <vt:lpstr>NFI_Kitchen_Track</vt:lpstr>
      <vt:lpstr>NFI_Monitor_Date</vt:lpstr>
      <vt:lpstr>NFI_Month</vt:lpstr>
      <vt:lpstr>NFI_Mosquito_Track</vt:lpstr>
      <vt:lpstr>NFI_Org</vt:lpstr>
      <vt:lpstr>NFI_Plastic_Bucket_Track</vt:lpstr>
      <vt:lpstr>NFI_Plastic_Mat_Track</vt:lpstr>
      <vt:lpstr>NFI_Sanitary_Track</vt:lpstr>
      <vt:lpstr>NFI_State</vt:lpstr>
      <vt:lpstr>NFI_Tarpaulin_Track</vt:lpstr>
      <vt:lpstr>NFI_Township</vt:lpstr>
      <vt:lpstr>NFI_Winter_Blanket_Track</vt:lpstr>
      <vt:lpstr>NFI_Winter_Clothes_Adult_Track</vt:lpstr>
      <vt:lpstr>NFI_Winter_Clothes_Children_Track</vt:lpstr>
      <vt:lpstr>NFI_Winter_Items_Other_Track</vt:lpstr>
      <vt:lpstr>'Shelter Progress'!Pcode_Priority</vt:lpstr>
      <vt:lpstr>Pcode_Priority</vt:lpstr>
      <vt:lpstr>'CCCM Dashboard'!Print_Area</vt:lpstr>
      <vt:lpstr>'IDP location Analysis'!Print_Area</vt:lpstr>
      <vt:lpstr>'IDP locations'!Print_Area</vt:lpstr>
      <vt:lpstr>Map!Print_Area</vt:lpstr>
      <vt:lpstr>'NFI Distributions'!Print_Area</vt:lpstr>
      <vt:lpstr>'NFI Summary'!Print_Area</vt:lpstr>
      <vt:lpstr>'Shelter overview'!Print_Area</vt:lpstr>
      <vt:lpstr>'IDP locations (printable)'!Print_Titles</vt:lpstr>
      <vt:lpstr>'Shelter Cross Check'!Print_Titles</vt:lpstr>
      <vt:lpstr>'Shelter Progress'!PriorityCampWin</vt:lpstr>
      <vt:lpstr>PriorityCampWin</vt:lpstr>
      <vt:lpstr>Map!Rakhine_DB</vt:lpstr>
      <vt:lpstr>Report_Date</vt:lpstr>
      <vt:lpstr>Shan_North</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May Khaing</cp:lastModifiedBy>
  <cp:lastPrinted>2018-11-05T04:33:42Z</cp:lastPrinted>
  <dcterms:created xsi:type="dcterms:W3CDTF">2013-03-18T02:36:38Z</dcterms:created>
  <dcterms:modified xsi:type="dcterms:W3CDTF">2018-11-16T06:47:23Z</dcterms:modified>
</cp:coreProperties>
</file>