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wmyint\Documents\Oct 2015\TLS\SCI TLS Designs\"/>
    </mc:Choice>
  </mc:AlternateContent>
  <bookViews>
    <workbookView xWindow="0" yWindow="0" windowWidth="20490" windowHeight="7740"/>
  </bookViews>
  <sheets>
    <sheet name="DM" sheetId="2" r:id="rId1"/>
    <sheet name="TLS breakdown" sheetId="1" r:id="rId2"/>
  </sheets>
  <calcPr calcId="152511"/>
</workbook>
</file>

<file path=xl/calcChain.xml><?xml version="1.0" encoding="utf-8"?>
<calcChain xmlns="http://schemas.openxmlformats.org/spreadsheetml/2006/main">
  <c r="C183" i="2" l="1"/>
  <c r="C178" i="2"/>
  <c r="C177" i="2"/>
  <c r="C174" i="2"/>
  <c r="J160" i="2"/>
  <c r="G157" i="2"/>
  <c r="G156" i="2"/>
  <c r="G158" i="2" s="1"/>
  <c r="C160" i="2" s="1"/>
  <c r="C176" i="2" s="1"/>
  <c r="G147" i="2"/>
  <c r="G146" i="2"/>
  <c r="G145" i="2"/>
  <c r="G144" i="2"/>
  <c r="G148" i="2" s="1"/>
  <c r="G139" i="2"/>
  <c r="G138" i="2"/>
  <c r="G140" i="2" s="1"/>
  <c r="C172" i="2" s="1"/>
  <c r="G130" i="2"/>
  <c r="G129" i="2"/>
  <c r="G128" i="2"/>
  <c r="E120" i="2"/>
  <c r="G120" i="2" s="1"/>
  <c r="E119" i="2"/>
  <c r="G119" i="2" s="1"/>
  <c r="E118" i="2"/>
  <c r="G118" i="2" s="1"/>
  <c r="E117" i="2"/>
  <c r="G117" i="2" s="1"/>
  <c r="E116" i="2"/>
  <c r="G116" i="2" s="1"/>
  <c r="E115" i="2"/>
  <c r="G115" i="2" s="1"/>
  <c r="E114" i="2"/>
  <c r="G114" i="2" s="1"/>
  <c r="E113" i="2"/>
  <c r="G113" i="2" s="1"/>
  <c r="E112" i="2"/>
  <c r="G112" i="2" s="1"/>
  <c r="E111" i="2"/>
  <c r="G111" i="2" s="1"/>
  <c r="E110" i="2"/>
  <c r="G110" i="2" s="1"/>
  <c r="E109" i="2"/>
  <c r="G109" i="2" s="1"/>
  <c r="G108" i="2"/>
  <c r="G107" i="2"/>
  <c r="E107" i="2"/>
  <c r="E106" i="2"/>
  <c r="G106" i="2" s="1"/>
  <c r="G105" i="2"/>
  <c r="E105" i="2"/>
  <c r="E104" i="2"/>
  <c r="G104" i="2" s="1"/>
  <c r="G103" i="2"/>
  <c r="E103" i="2"/>
  <c r="E102" i="2"/>
  <c r="G102" i="2" s="1"/>
  <c r="G101" i="2"/>
  <c r="E101" i="2"/>
  <c r="E100" i="2"/>
  <c r="G100" i="2" s="1"/>
  <c r="G99" i="2"/>
  <c r="E99" i="2"/>
  <c r="E98" i="2"/>
  <c r="G98" i="2" s="1"/>
  <c r="D98" i="2"/>
  <c r="E97" i="2"/>
  <c r="D97" i="2"/>
  <c r="E96" i="2"/>
  <c r="D96" i="2"/>
  <c r="G96" i="2" s="1"/>
  <c r="E95" i="2"/>
  <c r="D95" i="2"/>
  <c r="E94" i="2"/>
  <c r="G94" i="2" s="1"/>
  <c r="D94" i="2"/>
  <c r="E93" i="2"/>
  <c r="D93" i="2"/>
  <c r="E92" i="2"/>
  <c r="D92" i="2"/>
  <c r="E91" i="2"/>
  <c r="D91" i="2"/>
  <c r="G90" i="2"/>
  <c r="E90" i="2"/>
  <c r="D90" i="2"/>
  <c r="E89" i="2"/>
  <c r="D89" i="2"/>
  <c r="E88" i="2"/>
  <c r="D88" i="2"/>
  <c r="G88" i="2" s="1"/>
  <c r="E87" i="2"/>
  <c r="D87" i="2"/>
  <c r="G86" i="2"/>
  <c r="G85" i="2"/>
  <c r="E84" i="2"/>
  <c r="D84" i="2"/>
  <c r="G84" i="2" s="1"/>
  <c r="E83" i="2"/>
  <c r="D83" i="2"/>
  <c r="E82" i="2"/>
  <c r="G82" i="2" s="1"/>
  <c r="D82" i="2"/>
  <c r="E81" i="2"/>
  <c r="D81" i="2"/>
  <c r="G77" i="2"/>
  <c r="G76" i="2"/>
  <c r="G67" i="2"/>
  <c r="G68" i="2" s="1"/>
  <c r="G58" i="2"/>
  <c r="G57" i="2"/>
  <c r="G56" i="2"/>
  <c r="G59" i="2" s="1"/>
  <c r="F47" i="2"/>
  <c r="G47" i="2" s="1"/>
  <c r="G48" i="2" s="1"/>
  <c r="F38" i="2"/>
  <c r="G38" i="2" s="1"/>
  <c r="G39" i="2" s="1"/>
  <c r="C30" i="2"/>
  <c r="G28" i="2"/>
  <c r="C32" i="2" s="1"/>
  <c r="G26" i="2"/>
  <c r="G18" i="2"/>
  <c r="G20" i="2" s="1"/>
  <c r="G11" i="2"/>
  <c r="G10" i="2"/>
  <c r="G13" i="2" s="1"/>
  <c r="C15" i="2" s="1"/>
  <c r="C22" i="2" l="1"/>
  <c r="C23" i="2"/>
  <c r="C71" i="2"/>
  <c r="C70" i="2"/>
  <c r="G87" i="2"/>
  <c r="G89" i="2"/>
  <c r="C31" i="2"/>
  <c r="G81" i="2"/>
  <c r="G121" i="2" s="1"/>
  <c r="G91" i="2"/>
  <c r="G93" i="2"/>
  <c r="G131" i="2"/>
  <c r="C135" i="2" s="1"/>
  <c r="G78" i="2"/>
  <c r="C180" i="2" s="1"/>
  <c r="G83" i="2"/>
  <c r="G92" i="2"/>
  <c r="G95" i="2"/>
  <c r="G97" i="2"/>
  <c r="C42" i="2"/>
  <c r="C43" i="2"/>
  <c r="C41" i="2"/>
  <c r="C167" i="2" s="1"/>
  <c r="C44" i="2"/>
  <c r="C40" i="2"/>
  <c r="C133" i="2"/>
  <c r="C170" i="2" s="1"/>
  <c r="C61" i="2"/>
  <c r="C64" i="2"/>
  <c r="C62" i="2"/>
  <c r="C63" i="2"/>
  <c r="C60" i="2"/>
  <c r="C51" i="2"/>
  <c r="C168" i="2" s="1"/>
  <c r="C50" i="2"/>
  <c r="C52" i="2"/>
  <c r="C53" i="2"/>
  <c r="C49" i="2"/>
  <c r="C153" i="2"/>
  <c r="C152" i="2"/>
  <c r="C149" i="2"/>
  <c r="C173" i="2" s="1"/>
  <c r="C151" i="2"/>
  <c r="C175" i="2" s="1"/>
  <c r="C35" i="2"/>
  <c r="C69" i="2"/>
  <c r="C73" i="2"/>
  <c r="C34" i="2"/>
  <c r="C72" i="2"/>
  <c r="C181" i="2" s="1"/>
  <c r="F27" i="1"/>
  <c r="F26" i="1"/>
  <c r="S24" i="1"/>
  <c r="F23" i="1"/>
  <c r="F24" i="1" s="1"/>
  <c r="F22" i="1"/>
  <c r="S19" i="1"/>
  <c r="F19" i="1"/>
  <c r="S18" i="1"/>
  <c r="F18" i="1"/>
  <c r="S17" i="1"/>
  <c r="F17" i="1"/>
  <c r="S16" i="1"/>
  <c r="F16" i="1"/>
  <c r="S15" i="1"/>
  <c r="N15" i="1"/>
  <c r="F15" i="1"/>
  <c r="S14" i="1"/>
  <c r="F14" i="1"/>
  <c r="S13" i="1"/>
  <c r="F13" i="1"/>
  <c r="S12" i="1"/>
  <c r="F12" i="1"/>
  <c r="R11" i="1"/>
  <c r="S11" i="1" s="1"/>
  <c r="J11" i="1"/>
  <c r="F11" i="1"/>
  <c r="S10" i="1"/>
  <c r="J10" i="1"/>
  <c r="F10" i="1"/>
  <c r="S9" i="1"/>
  <c r="J9" i="1"/>
  <c r="F9" i="1"/>
  <c r="S8" i="1"/>
  <c r="N8" i="1"/>
  <c r="L8" i="1"/>
  <c r="K8" i="1"/>
  <c r="J8" i="1"/>
  <c r="I8" i="1"/>
  <c r="H8" i="1"/>
  <c r="F8" i="1"/>
  <c r="S7" i="1"/>
  <c r="F7" i="1"/>
  <c r="S6" i="1"/>
  <c r="F6" i="1"/>
  <c r="S5" i="1"/>
  <c r="F5" i="1"/>
  <c r="S4" i="1"/>
  <c r="F4" i="1"/>
  <c r="C166" i="2" l="1"/>
  <c r="C184" i="2"/>
  <c r="C123" i="2"/>
  <c r="C169" i="2" s="1"/>
  <c r="C124" i="2"/>
  <c r="C171" i="2" s="1"/>
  <c r="C125" i="2"/>
  <c r="C182" i="2" s="1"/>
  <c r="S20" i="1"/>
  <c r="S28" i="1" s="1"/>
  <c r="T28" i="1" s="1"/>
  <c r="F20" i="1"/>
  <c r="F28" i="1"/>
</calcChain>
</file>

<file path=xl/sharedStrings.xml><?xml version="1.0" encoding="utf-8"?>
<sst xmlns="http://schemas.openxmlformats.org/spreadsheetml/2006/main" count="307" uniqueCount="180">
  <si>
    <t>,m,Dausmif;aqmifaqmufvkyf&amp;eftao;pdwfwGufcsufrIZ,m;/</t>
  </si>
  <si>
    <t>Breakdown for TLS Construction materials</t>
  </si>
  <si>
    <t xml:space="preserve">pOf </t>
  </si>
  <si>
    <t>trsdK;trnf</t>
  </si>
  <si>
    <t>a&amp;wGufyHk</t>
  </si>
  <si>
    <t>ta&amp;twGuf</t>
  </si>
  <si>
    <t>aps;ESKef;</t>
  </si>
  <si>
    <t>usoifUaiG</t>
  </si>
  <si>
    <t>Item</t>
  </si>
  <si>
    <t>ThetkaePyin C</t>
  </si>
  <si>
    <t>TKP Village</t>
  </si>
  <si>
    <t>Hmanzi</t>
  </si>
  <si>
    <t>BDPha (C+V)</t>
  </si>
  <si>
    <t>PYarKone</t>
  </si>
  <si>
    <t>PinLPyin</t>
  </si>
  <si>
    <t xml:space="preserve">OTG </t>
  </si>
  <si>
    <t>BSRa</t>
  </si>
  <si>
    <t>Unit</t>
  </si>
  <si>
    <t>Qty</t>
  </si>
  <si>
    <t>Standard Prices</t>
  </si>
  <si>
    <t xml:space="preserve">Total </t>
  </si>
  <si>
    <t>bdvyfajr</t>
  </si>
  <si>
    <t>tdwf</t>
  </si>
  <si>
    <t xml:space="preserve">Cement </t>
  </si>
  <si>
    <t>Bag</t>
  </si>
  <si>
    <t>oJ</t>
  </si>
  <si>
    <t>usif;</t>
  </si>
  <si>
    <t>Sand</t>
  </si>
  <si>
    <t>Cft</t>
  </si>
  <si>
    <t>ausmufp&amp;pf</t>
  </si>
  <si>
    <t>Coarse Aggregate</t>
  </si>
  <si>
    <t>opfrm</t>
  </si>
  <si>
    <t>wef</t>
  </si>
  <si>
    <t>Local Hard Wood Timber</t>
  </si>
  <si>
    <t>Ton</t>
  </si>
  <si>
    <t>0g;x&amp;H</t>
  </si>
  <si>
    <t>ukAay</t>
  </si>
  <si>
    <t>Bamboo Mat</t>
  </si>
  <si>
    <t>Sft</t>
  </si>
  <si>
    <t>1vufr _ 1vufr oHZum (8ay _4ay)</t>
  </si>
  <si>
    <t>csyf</t>
  </si>
  <si>
    <t>1"x1" Iron Grills (8'x4')</t>
  </si>
  <si>
    <t>Sht</t>
  </si>
  <si>
    <t>oGyf ( -- *dwf) (ay)</t>
  </si>
  <si>
    <t>31G CGI Roofing Sheet</t>
  </si>
  <si>
    <t>Rft</t>
  </si>
  <si>
    <t>ajymifoGyf</t>
  </si>
  <si>
    <t>GI Plain Sheet</t>
  </si>
  <si>
    <t>&amp;dKufoH</t>
  </si>
  <si>
    <t>ydóm</t>
  </si>
  <si>
    <t>Wire Nails</t>
  </si>
  <si>
    <t>Viss</t>
  </si>
  <si>
    <t>oGyfoH</t>
  </si>
  <si>
    <t>Roofing Nails</t>
  </si>
  <si>
    <t>oHusifwG,f (2 ay)</t>
  </si>
  <si>
    <t>ck</t>
  </si>
  <si>
    <t>MS Straps (2ft)</t>
  </si>
  <si>
    <t>Nos</t>
  </si>
  <si>
    <t>a&amp;oa,muf(19 ay)</t>
  </si>
  <si>
    <t>acsmif;</t>
  </si>
  <si>
    <t>PVC Gutter (19 ft)</t>
  </si>
  <si>
    <t>t,fbdk; (ydkufauG;)</t>
  </si>
  <si>
    <t>PVC Elbow</t>
  </si>
  <si>
    <t>ydkufaumf</t>
  </si>
  <si>
    <t>Al;ao;</t>
  </si>
  <si>
    <t>Glue</t>
  </si>
  <si>
    <t>rlvD (6-5 L;</t>
  </si>
  <si>
    <t>Nut (6x 0.5)</t>
  </si>
  <si>
    <t>tkwf</t>
  </si>
  <si>
    <t>cJ</t>
  </si>
  <si>
    <t xml:space="preserve">Brick </t>
  </si>
  <si>
    <t>pkpkaygif;</t>
  </si>
  <si>
    <t>Total</t>
  </si>
  <si>
    <t>vkyftm;c</t>
  </si>
  <si>
    <t>vuform;q&amp;m</t>
  </si>
  <si>
    <t>&amp;uf</t>
  </si>
  <si>
    <t>Carpenter</t>
  </si>
  <si>
    <t>tvkyform;</t>
  </si>
  <si>
    <t>Mason</t>
  </si>
  <si>
    <t>o,f,lp&amp;dwf</t>
  </si>
  <si>
    <t>acguf</t>
  </si>
  <si>
    <t xml:space="preserve">Transportation </t>
  </si>
  <si>
    <t>0-</t>
  </si>
  <si>
    <t>USD</t>
  </si>
  <si>
    <t xml:space="preserve">pkpkaygif;ukefusaiG (usyf) </t>
  </si>
  <si>
    <t xml:space="preserve">Total amount </t>
  </si>
  <si>
    <t xml:space="preserve">Kyats </t>
  </si>
  <si>
    <t>Township Name     : Sittwe</t>
  </si>
  <si>
    <t>Type of Scheme     : Construction of Temporary Learning Space</t>
  </si>
  <si>
    <t>Dimension( L x W x H )</t>
  </si>
  <si>
    <t>Sr
No.</t>
  </si>
  <si>
    <t>Particular</t>
  </si>
  <si>
    <t>No</t>
  </si>
  <si>
    <t>Measurement</t>
  </si>
  <si>
    <t>Content</t>
  </si>
  <si>
    <t>L</t>
  </si>
  <si>
    <t>B</t>
  </si>
  <si>
    <t>H</t>
  </si>
  <si>
    <t>ft</t>
  </si>
  <si>
    <t>Ft</t>
  </si>
  <si>
    <t>Site Clearing &amp;Debris Cleaning of Site Area</t>
  </si>
  <si>
    <t>L.S</t>
  </si>
  <si>
    <t>Earth Works</t>
  </si>
  <si>
    <t>Excavation for Foundation Post Footing</t>
  </si>
  <si>
    <t>cft</t>
  </si>
  <si>
    <t>Workers for Earthworks and Site Cleaning</t>
  </si>
  <si>
    <t>nos</t>
  </si>
  <si>
    <t>Compacted 6" thk Gravel laying for Hard Core of Post Footing</t>
  </si>
  <si>
    <t>Gravel</t>
  </si>
  <si>
    <t>Workers</t>
  </si>
  <si>
    <t>w/d</t>
  </si>
  <si>
    <t>(1:3:6) Concrete Works for Post Footing</t>
  </si>
  <si>
    <t>Cement</t>
  </si>
  <si>
    <t>Bags</t>
  </si>
  <si>
    <t>M.S Strap (2'long)</t>
  </si>
  <si>
    <t>4 1/2" thk 1:4:8 Cement Concrete Laying for Corridor Flooring</t>
  </si>
  <si>
    <t xml:space="preserve">Sand </t>
  </si>
  <si>
    <t>1 1/2" thk 1:3:6 Cement Concrete Laying for Verandah Toping</t>
  </si>
  <si>
    <t xml:space="preserve"> Brick Works with (1:3) Cement Mortar for Brick Steps</t>
  </si>
  <si>
    <t>Brick</t>
  </si>
  <si>
    <t xml:space="preserve"> Brick Works with (1:3) Cement Mortar for Brick Ramp</t>
  </si>
  <si>
    <t xml:space="preserve"> Aiuminium Hand Rails Installation at the Brick Steps and Ramp</t>
  </si>
  <si>
    <t>Post</t>
  </si>
  <si>
    <t>Rails</t>
  </si>
  <si>
    <t>Wood Wrough Works</t>
  </si>
  <si>
    <t>4"x4" Timber Post (Center)</t>
  </si>
  <si>
    <t>4"x4" Timber Post (Sides)</t>
  </si>
  <si>
    <t>4"x4" Timber Post (Paths)</t>
  </si>
  <si>
    <t>4"x4" Timber Post (Corridor)</t>
  </si>
  <si>
    <t xml:space="preserve">4"x4" Timber Short Post </t>
  </si>
  <si>
    <t>4"x2" Beam</t>
  </si>
  <si>
    <t>4"x2" Beam(Pathway)</t>
  </si>
  <si>
    <t>4"x2" Tie Beam</t>
  </si>
  <si>
    <t>4"x2" Tie Beam (Pathway)</t>
  </si>
  <si>
    <t>4"x2" Tie Beam (Corridor)</t>
  </si>
  <si>
    <t>4"x2" Post Plate</t>
  </si>
  <si>
    <t>4"x2" Rafter for Main Building</t>
  </si>
  <si>
    <t>4"x2" Rafter for Pathway</t>
  </si>
  <si>
    <t>4"x2" Rafter for Corridor</t>
  </si>
  <si>
    <t>4"x2" Roofing Studs</t>
  </si>
  <si>
    <t>4"x2" Inclined Struts</t>
  </si>
  <si>
    <t>3"x2" Secondary Beam</t>
  </si>
  <si>
    <t>3"x2" Flooring Joist</t>
  </si>
  <si>
    <t>3"x2" Flooring Joist (Pathway)</t>
  </si>
  <si>
    <t>3"x2" Purlin</t>
  </si>
  <si>
    <t>3"x2" Purlin(Pathway)</t>
  </si>
  <si>
    <t>3"x2" Frame Structures (Horizontal)</t>
  </si>
  <si>
    <t>3"x2" Frame Structures (Vertical)</t>
  </si>
  <si>
    <t>3"x2" Frame Structures</t>
  </si>
  <si>
    <t>3"x2" Guard Rails for Pathway</t>
  </si>
  <si>
    <t>6"x1" Timber Plank for Flooring</t>
  </si>
  <si>
    <t>6"x1" Timber Verge Board</t>
  </si>
  <si>
    <t>3"x1 1/2" for Door Leaf Frame</t>
  </si>
  <si>
    <t>3"x1/2" for Wall Beading</t>
  </si>
  <si>
    <t>3"x1/2" for Bracing</t>
  </si>
  <si>
    <t>viss</t>
  </si>
  <si>
    <t>Bamboo Mat Walling Works</t>
  </si>
  <si>
    <t>Sides</t>
  </si>
  <si>
    <t>Front and Back</t>
  </si>
  <si>
    <t>Gables</t>
  </si>
  <si>
    <t>sft</t>
  </si>
  <si>
    <t>1"x1" Iron Grill Installing Works</t>
  </si>
  <si>
    <t>31G CGI Roofing Works with GI Plain Sheet Ridging</t>
  </si>
  <si>
    <t>31G CGI Roofing Sheet (7ft)</t>
  </si>
  <si>
    <t>sht</t>
  </si>
  <si>
    <t>rft</t>
  </si>
  <si>
    <t>Carpenters</t>
  </si>
  <si>
    <t>4" dia PVC Gutter with 3' apart Brackets Fixing</t>
  </si>
  <si>
    <t>PVC Gutter</t>
  </si>
  <si>
    <t>Bracket for Gutter</t>
  </si>
  <si>
    <t>4" PVC Elbow</t>
  </si>
  <si>
    <t>Plumber</t>
  </si>
  <si>
    <t>Local Hardwood Timber</t>
  </si>
  <si>
    <t>1"x1" Iron Grill Sheet (8'x4')</t>
  </si>
  <si>
    <t>4" dia PVC Gutter</t>
  </si>
  <si>
    <t>4" dia PVC Elbow</t>
  </si>
  <si>
    <t>Brackets</t>
  </si>
  <si>
    <t xml:space="preserve">MS Straps for Post </t>
  </si>
  <si>
    <t>1" dia Aiuminium Pipe</t>
  </si>
  <si>
    <t>W/d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</si>
</sst>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  <numFmt numFmtId="167" formatCode="&quot;$&quot;#,##0;\-&quot;$&quot;#,##0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16"/>
      <name val="WinResearcher"/>
    </font>
    <font>
      <b/>
      <sz val="12"/>
      <name val="Arial"/>
      <family val="2"/>
    </font>
    <font>
      <b/>
      <sz val="15"/>
      <name val="WinResearcher"/>
    </font>
    <font>
      <b/>
      <sz val="10"/>
      <name val="Arial"/>
      <family val="2"/>
    </font>
    <font>
      <b/>
      <sz val="10"/>
      <color rgb="FF002060"/>
      <name val="Arial"/>
      <family val="2"/>
    </font>
    <font>
      <sz val="15"/>
      <name val="WinResearcher"/>
    </font>
    <font>
      <sz val="12"/>
      <name val="Arial"/>
      <family val="2"/>
    </font>
    <font>
      <sz val="10"/>
      <name val="Arial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b/>
      <u/>
      <sz val="12"/>
      <color indexed="8"/>
      <name val="Arial"/>
      <family val="2"/>
    </font>
    <font>
      <b/>
      <sz val="11"/>
      <color indexed="8"/>
      <name val="Arial"/>
      <family val="2"/>
    </font>
    <font>
      <sz val="12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i/>
      <sz val="14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129">
    <xf numFmtId="0" fontId="0" fillId="0" borderId="0" xfId="0"/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1" applyNumberFormat="1" applyFont="1" applyBorder="1" applyAlignment="1">
      <alignment vertical="center"/>
    </xf>
    <xf numFmtId="0" fontId="1" fillId="0" borderId="4" xfId="1" applyNumberFormat="1" applyFont="1" applyBorder="1" applyAlignment="1">
      <alignment vertical="center"/>
    </xf>
    <xf numFmtId="0" fontId="0" fillId="0" borderId="4" xfId="0" applyBorder="1"/>
    <xf numFmtId="0" fontId="0" fillId="0" borderId="4" xfId="0" applyFill="1" applyBorder="1"/>
    <xf numFmtId="0" fontId="0" fillId="0" borderId="6" xfId="0" applyFill="1" applyBorder="1"/>
    <xf numFmtId="165" fontId="6" fillId="2" borderId="4" xfId="1" applyNumberFormat="1" applyFont="1" applyFill="1" applyBorder="1"/>
    <xf numFmtId="165" fontId="0" fillId="0" borderId="4" xfId="0" applyNumberFormat="1" applyBorder="1"/>
    <xf numFmtId="0" fontId="1" fillId="3" borderId="4" xfId="2" applyFont="1" applyFill="1" applyBorder="1" applyAlignment="1">
      <alignment vertical="top"/>
    </xf>
    <xf numFmtId="1" fontId="0" fillId="0" borderId="4" xfId="0" applyNumberFormat="1" applyBorder="1"/>
    <xf numFmtId="1" fontId="0" fillId="0" borderId="4" xfId="0" applyNumberFormat="1" applyFill="1" applyBorder="1"/>
    <xf numFmtId="1" fontId="0" fillId="0" borderId="6" xfId="0" applyNumberFormat="1" applyFill="1" applyBorder="1"/>
    <xf numFmtId="0" fontId="0" fillId="0" borderId="6" xfId="0" applyBorder="1"/>
    <xf numFmtId="0" fontId="1" fillId="0" borderId="6" xfId="0" applyFont="1" applyBorder="1"/>
    <xf numFmtId="0" fontId="0" fillId="0" borderId="8" xfId="0" applyFill="1" applyBorder="1"/>
    <xf numFmtId="0" fontId="8" fillId="0" borderId="4" xfId="1" applyNumberFormat="1" applyFont="1" applyBorder="1" applyAlignment="1">
      <alignment vertical="center"/>
    </xf>
    <xf numFmtId="0" fontId="4" fillId="4" borderId="4" xfId="1" applyNumberFormat="1" applyFont="1" applyFill="1" applyBorder="1" applyAlignment="1">
      <alignment vertical="center"/>
    </xf>
    <xf numFmtId="165" fontId="5" fillId="4" borderId="4" xfId="0" applyNumberFormat="1" applyFont="1" applyFill="1" applyBorder="1"/>
    <xf numFmtId="0" fontId="3" fillId="0" borderId="10" xfId="0" applyFont="1" applyBorder="1" applyAlignment="1">
      <alignment horizontal="left" vertical="center"/>
    </xf>
    <xf numFmtId="165" fontId="0" fillId="0" borderId="4" xfId="1" applyNumberFormat="1" applyFont="1" applyBorder="1"/>
    <xf numFmtId="0" fontId="3" fillId="4" borderId="4" xfId="1" applyNumberFormat="1" applyFon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165" fontId="5" fillId="4" borderId="4" xfId="1" applyNumberFormat="1" applyFont="1" applyFill="1" applyBorder="1"/>
    <xf numFmtId="165" fontId="6" fillId="4" borderId="4" xfId="1" applyNumberFormat="1" applyFont="1" applyFill="1" applyBorder="1"/>
    <xf numFmtId="0" fontId="5" fillId="4" borderId="4" xfId="0" applyFont="1" applyFill="1" applyBorder="1"/>
    <xf numFmtId="0" fontId="1" fillId="0" borderId="0" xfId="0" applyFont="1" applyAlignment="1">
      <alignment horizontal="center" vertical="center"/>
    </xf>
    <xf numFmtId="0" fontId="4" fillId="5" borderId="6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4" xfId="1" applyNumberFormat="1" applyFont="1" applyFill="1" applyBorder="1" applyAlignment="1">
      <alignment vertical="center"/>
    </xf>
    <xf numFmtId="165" fontId="6" fillId="6" borderId="4" xfId="1" applyNumberFormat="1" applyFont="1" applyFill="1" applyBorder="1"/>
    <xf numFmtId="165" fontId="5" fillId="7" borderId="4" xfId="0" applyNumberFormat="1" applyFont="1" applyFill="1" applyBorder="1"/>
    <xf numFmtId="166" fontId="5" fillId="0" borderId="0" xfId="0" applyNumberFormat="1" applyFont="1"/>
    <xf numFmtId="0" fontId="8" fillId="0" borderId="0" xfId="0" applyFont="1"/>
    <xf numFmtId="0" fontId="6" fillId="0" borderId="0" xfId="0" applyFont="1"/>
    <xf numFmtId="165" fontId="0" fillId="0" borderId="0" xfId="1" applyNumberFormat="1" applyFont="1"/>
    <xf numFmtId="166" fontId="0" fillId="0" borderId="0" xfId="0" applyNumberFormat="1"/>
    <xf numFmtId="0" fontId="10" fillId="0" borderId="0" xfId="8" applyFont="1" applyAlignment="1"/>
    <xf numFmtId="0" fontId="11" fillId="0" borderId="0" xfId="8" applyFont="1" applyAlignment="1"/>
    <xf numFmtId="0" fontId="9" fillId="0" borderId="0" xfId="8"/>
    <xf numFmtId="0" fontId="12" fillId="0" borderId="0" xfId="8" applyFont="1" applyAlignment="1">
      <alignment horizontal="center"/>
    </xf>
    <xf numFmtId="0" fontId="9" fillId="0" borderId="0" xfId="8" applyFill="1"/>
    <xf numFmtId="0" fontId="13" fillId="0" borderId="4" xfId="8" applyFont="1" applyFill="1" applyBorder="1" applyAlignment="1">
      <alignment horizontal="center" vertical="center"/>
    </xf>
    <xf numFmtId="0" fontId="14" fillId="0" borderId="12" xfId="8" applyFont="1" applyFill="1" applyBorder="1"/>
    <xf numFmtId="0" fontId="13" fillId="0" borderId="12" xfId="8" applyFont="1" applyFill="1" applyBorder="1"/>
    <xf numFmtId="0" fontId="15" fillId="0" borderId="12" xfId="8" applyFont="1" applyFill="1" applyBorder="1"/>
    <xf numFmtId="0" fontId="11" fillId="0" borderId="12" xfId="8" applyFont="1" applyFill="1" applyBorder="1"/>
    <xf numFmtId="0" fontId="11" fillId="0" borderId="12" xfId="8" applyFont="1" applyFill="1" applyBorder="1" applyAlignment="1">
      <alignment horizontal="right"/>
    </xf>
    <xf numFmtId="0" fontId="1" fillId="0" borderId="0" xfId="8" applyFont="1"/>
    <xf numFmtId="2" fontId="11" fillId="0" borderId="12" xfId="8" applyNumberFormat="1" applyFont="1" applyFill="1" applyBorder="1"/>
    <xf numFmtId="2" fontId="11" fillId="0" borderId="12" xfId="8" applyNumberFormat="1" applyFont="1" applyFill="1" applyBorder="1" applyAlignment="1">
      <alignment horizontal="right"/>
    </xf>
    <xf numFmtId="2" fontId="11" fillId="0" borderId="15" xfId="8" applyNumberFormat="1" applyFont="1" applyFill="1" applyBorder="1" applyAlignment="1">
      <alignment horizontal="right"/>
    </xf>
    <xf numFmtId="2" fontId="11" fillId="0" borderId="16" xfId="8" applyNumberFormat="1" applyFont="1" applyFill="1" applyBorder="1"/>
    <xf numFmtId="2" fontId="11" fillId="0" borderId="17" xfId="8" applyNumberFormat="1" applyFont="1" applyFill="1" applyBorder="1" applyAlignment="1">
      <alignment horizontal="right"/>
    </xf>
    <xf numFmtId="0" fontId="11" fillId="0" borderId="18" xfId="8" applyFont="1" applyFill="1" applyBorder="1"/>
    <xf numFmtId="2" fontId="11" fillId="0" borderId="19" xfId="8" applyNumberFormat="1" applyFont="1" applyFill="1" applyBorder="1" applyAlignment="1">
      <alignment horizontal="right"/>
    </xf>
    <xf numFmtId="0" fontId="11" fillId="0" borderId="12" xfId="8" applyFont="1" applyFill="1" applyBorder="1" applyAlignment="1">
      <alignment wrapText="1"/>
    </xf>
    <xf numFmtId="0" fontId="11" fillId="0" borderId="15" xfId="8" applyFont="1" applyFill="1" applyBorder="1"/>
    <xf numFmtId="0" fontId="11" fillId="0" borderId="17" xfId="8" applyFont="1" applyFill="1" applyBorder="1"/>
    <xf numFmtId="0" fontId="11" fillId="0" borderId="13" xfId="8" applyFont="1" applyFill="1" applyBorder="1"/>
    <xf numFmtId="0" fontId="11" fillId="0" borderId="19" xfId="8" applyFont="1" applyFill="1" applyBorder="1"/>
    <xf numFmtId="2" fontId="11" fillId="0" borderId="19" xfId="8" applyNumberFormat="1" applyFont="1" applyFill="1" applyBorder="1"/>
    <xf numFmtId="0" fontId="13" fillId="0" borderId="15" xfId="8" applyFont="1" applyFill="1" applyBorder="1"/>
    <xf numFmtId="2" fontId="11" fillId="0" borderId="13" xfId="8" applyNumberFormat="1" applyFont="1" applyFill="1" applyBorder="1"/>
    <xf numFmtId="2" fontId="11" fillId="0" borderId="17" xfId="8" applyNumberFormat="1" applyFont="1" applyFill="1" applyBorder="1"/>
    <xf numFmtId="2" fontId="11" fillId="0" borderId="15" xfId="8" applyNumberFormat="1" applyFont="1" applyFill="1" applyBorder="1"/>
    <xf numFmtId="1" fontId="11" fillId="0" borderId="15" xfId="8" applyNumberFormat="1" applyFont="1" applyFill="1" applyBorder="1"/>
    <xf numFmtId="0" fontId="16" fillId="0" borderId="12" xfId="8" applyFont="1" applyFill="1" applyBorder="1"/>
    <xf numFmtId="2" fontId="11" fillId="0" borderId="0" xfId="8" applyNumberFormat="1" applyFont="1" applyFill="1" applyBorder="1"/>
    <xf numFmtId="1" fontId="1" fillId="0" borderId="0" xfId="8" applyNumberFormat="1" applyFont="1"/>
    <xf numFmtId="0" fontId="14" fillId="0" borderId="12" xfId="8" applyFont="1" applyFill="1" applyBorder="1" applyAlignment="1">
      <alignment horizontal="right"/>
    </xf>
    <xf numFmtId="0" fontId="11" fillId="0" borderId="12" xfId="8" applyFont="1" applyFill="1" applyBorder="1" applyAlignment="1">
      <alignment horizontal="center"/>
    </xf>
    <xf numFmtId="1" fontId="11" fillId="0" borderId="15" xfId="8" applyNumberFormat="1" applyFont="1" applyFill="1" applyBorder="1" applyAlignment="1">
      <alignment horizontal="right"/>
    </xf>
    <xf numFmtId="0" fontId="11" fillId="0" borderId="15" xfId="8" applyFont="1" applyFill="1" applyBorder="1" applyAlignment="1">
      <alignment horizontal="right"/>
    </xf>
    <xf numFmtId="1" fontId="11" fillId="0" borderId="12" xfId="8" applyNumberFormat="1" applyFont="1" applyFill="1" applyBorder="1"/>
    <xf numFmtId="2" fontId="11" fillId="0" borderId="12" xfId="8" applyNumberFormat="1" applyFont="1" applyFill="1" applyBorder="1" applyAlignment="1">
      <alignment horizontal="left"/>
    </xf>
    <xf numFmtId="2" fontId="13" fillId="0" borderId="12" xfId="8" applyNumberFormat="1" applyFont="1" applyFill="1" applyBorder="1" applyAlignment="1">
      <alignment horizontal="right"/>
    </xf>
    <xf numFmtId="0" fontId="17" fillId="0" borderId="0" xfId="8" applyFont="1" applyFill="1" applyBorder="1"/>
    <xf numFmtId="0" fontId="11" fillId="0" borderId="0" xfId="8" applyFont="1" applyFill="1" applyBorder="1" applyAlignment="1">
      <alignment horizontal="left"/>
    </xf>
    <xf numFmtId="0" fontId="11" fillId="0" borderId="0" xfId="8" applyFont="1" applyFill="1" applyBorder="1" applyAlignment="1">
      <alignment horizontal="right"/>
    </xf>
    <xf numFmtId="0" fontId="18" fillId="0" borderId="0" xfId="8" applyFont="1" applyFill="1" applyBorder="1"/>
    <xf numFmtId="0" fontId="11" fillId="0" borderId="0" xfId="8" applyFont="1" applyFill="1" applyBorder="1"/>
    <xf numFmtId="0" fontId="9" fillId="0" borderId="0" xfId="8" applyFill="1" applyBorder="1"/>
    <xf numFmtId="0" fontId="19" fillId="0" borderId="0" xfId="8" applyFont="1" applyFill="1" applyBorder="1" applyAlignment="1">
      <alignment horizontal="right"/>
    </xf>
    <xf numFmtId="0" fontId="19" fillId="0" borderId="0" xfId="8" applyFont="1" applyFill="1" applyBorder="1"/>
    <xf numFmtId="41" fontId="9" fillId="0" borderId="0" xfId="8" applyNumberFormat="1"/>
    <xf numFmtId="166" fontId="9" fillId="0" borderId="0" xfId="8" applyNumberFormat="1"/>
    <xf numFmtId="43" fontId="9" fillId="0" borderId="0" xfId="8" applyNumberFormat="1"/>
    <xf numFmtId="0" fontId="13" fillId="0" borderId="11" xfId="8" applyFont="1" applyFill="1" applyBorder="1" applyAlignment="1">
      <alignment horizontal="center" vertical="center" wrapText="1"/>
    </xf>
    <xf numFmtId="0" fontId="13" fillId="0" borderId="12" xfId="8" applyFont="1" applyFill="1" applyBorder="1" applyAlignment="1">
      <alignment horizontal="center" vertical="center"/>
    </xf>
    <xf numFmtId="0" fontId="13" fillId="0" borderId="14" xfId="8" applyFont="1" applyFill="1" applyBorder="1" applyAlignment="1">
      <alignment horizontal="center" vertical="center"/>
    </xf>
    <xf numFmtId="0" fontId="13" fillId="0" borderId="11" xfId="8" applyFont="1" applyFill="1" applyBorder="1" applyAlignment="1">
      <alignment horizontal="center" vertical="center"/>
    </xf>
    <xf numFmtId="0" fontId="13" fillId="0" borderId="5" xfId="8" applyFont="1" applyFill="1" applyBorder="1" applyAlignment="1">
      <alignment horizontal="center" vertical="center"/>
    </xf>
    <xf numFmtId="0" fontId="13" fillId="0" borderId="13" xfId="8" applyFont="1" applyFill="1" applyBorder="1" applyAlignment="1">
      <alignment horizontal="center" vertical="center"/>
    </xf>
    <xf numFmtId="0" fontId="13" fillId="0" borderId="7" xfId="8" applyFont="1" applyFill="1" applyBorder="1" applyAlignment="1">
      <alignment horizontal="center" vertical="center"/>
    </xf>
    <xf numFmtId="0" fontId="13" fillId="0" borderId="4" xfId="8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4" borderId="6" xfId="1" applyNumberFormat="1" applyFont="1" applyFill="1" applyBorder="1" applyAlignment="1">
      <alignment horizontal="center" vertical="center"/>
    </xf>
    <xf numFmtId="0" fontId="3" fillId="4" borderId="9" xfId="1" applyNumberFormat="1" applyFont="1" applyFill="1" applyBorder="1" applyAlignment="1">
      <alignment horizontal="center" vertical="center"/>
    </xf>
    <xf numFmtId="0" fontId="3" fillId="4" borderId="10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9">
    <cellStyle name="Comma" xfId="1" builtinId="3"/>
    <cellStyle name="Comma 2" xfId="3"/>
    <cellStyle name="Normal" xfId="0" builtinId="0"/>
    <cellStyle name="Normal 2" xfId="4"/>
    <cellStyle name="Normal 2 2" xfId="5"/>
    <cellStyle name="Normal 2_BQ and DM (WH)" xfId="6"/>
    <cellStyle name="Normal 3" xfId="8"/>
    <cellStyle name="Normal 4" xfId="7"/>
    <cellStyle name="Normal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118" sqref="J118"/>
    </sheetView>
  </sheetViews>
  <sheetFormatPr defaultRowHeight="12.75" x14ac:dyDescent="0.2"/>
  <cols>
    <col min="1" max="1" width="4" style="43" customWidth="1"/>
    <col min="2" max="2" width="46.140625" style="43" customWidth="1"/>
    <col min="3" max="3" width="7.42578125" style="43" customWidth="1"/>
    <col min="4" max="4" width="9" style="43" customWidth="1"/>
    <col min="5" max="5" width="7.28515625" style="43" bestFit="1" customWidth="1"/>
    <col min="6" max="6" width="7.7109375" style="43" customWidth="1"/>
    <col min="7" max="7" width="11.7109375" style="43" customWidth="1"/>
    <col min="8" max="8" width="5.140625" style="43" customWidth="1"/>
    <col min="9" max="9" width="9.140625" style="43"/>
    <col min="10" max="10" width="25.42578125" style="43" customWidth="1"/>
    <col min="11" max="256" width="9.140625" style="43"/>
    <col min="257" max="257" width="4" style="43" customWidth="1"/>
    <col min="258" max="258" width="46.140625" style="43" customWidth="1"/>
    <col min="259" max="259" width="7.42578125" style="43" customWidth="1"/>
    <col min="260" max="260" width="9" style="43" customWidth="1"/>
    <col min="261" max="261" width="7.28515625" style="43" bestFit="1" customWidth="1"/>
    <col min="262" max="262" width="7.7109375" style="43" customWidth="1"/>
    <col min="263" max="263" width="11.7109375" style="43" customWidth="1"/>
    <col min="264" max="264" width="5.140625" style="43" customWidth="1"/>
    <col min="265" max="265" width="9.140625" style="43"/>
    <col min="266" max="266" width="25.42578125" style="43" customWidth="1"/>
    <col min="267" max="512" width="9.140625" style="43"/>
    <col min="513" max="513" width="4" style="43" customWidth="1"/>
    <col min="514" max="514" width="46.140625" style="43" customWidth="1"/>
    <col min="515" max="515" width="7.42578125" style="43" customWidth="1"/>
    <col min="516" max="516" width="9" style="43" customWidth="1"/>
    <col min="517" max="517" width="7.28515625" style="43" bestFit="1" customWidth="1"/>
    <col min="518" max="518" width="7.7109375" style="43" customWidth="1"/>
    <col min="519" max="519" width="11.7109375" style="43" customWidth="1"/>
    <col min="520" max="520" width="5.140625" style="43" customWidth="1"/>
    <col min="521" max="521" width="9.140625" style="43"/>
    <col min="522" max="522" width="25.42578125" style="43" customWidth="1"/>
    <col min="523" max="768" width="9.140625" style="43"/>
    <col min="769" max="769" width="4" style="43" customWidth="1"/>
    <col min="770" max="770" width="46.140625" style="43" customWidth="1"/>
    <col min="771" max="771" width="7.42578125" style="43" customWidth="1"/>
    <col min="772" max="772" width="9" style="43" customWidth="1"/>
    <col min="773" max="773" width="7.28515625" style="43" bestFit="1" customWidth="1"/>
    <col min="774" max="774" width="7.7109375" style="43" customWidth="1"/>
    <col min="775" max="775" width="11.7109375" style="43" customWidth="1"/>
    <col min="776" max="776" width="5.140625" style="43" customWidth="1"/>
    <col min="777" max="777" width="9.140625" style="43"/>
    <col min="778" max="778" width="25.42578125" style="43" customWidth="1"/>
    <col min="779" max="1024" width="9.140625" style="43"/>
    <col min="1025" max="1025" width="4" style="43" customWidth="1"/>
    <col min="1026" max="1026" width="46.140625" style="43" customWidth="1"/>
    <col min="1027" max="1027" width="7.42578125" style="43" customWidth="1"/>
    <col min="1028" max="1028" width="9" style="43" customWidth="1"/>
    <col min="1029" max="1029" width="7.28515625" style="43" bestFit="1" customWidth="1"/>
    <col min="1030" max="1030" width="7.7109375" style="43" customWidth="1"/>
    <col min="1031" max="1031" width="11.7109375" style="43" customWidth="1"/>
    <col min="1032" max="1032" width="5.140625" style="43" customWidth="1"/>
    <col min="1033" max="1033" width="9.140625" style="43"/>
    <col min="1034" max="1034" width="25.42578125" style="43" customWidth="1"/>
    <col min="1035" max="1280" width="9.140625" style="43"/>
    <col min="1281" max="1281" width="4" style="43" customWidth="1"/>
    <col min="1282" max="1282" width="46.140625" style="43" customWidth="1"/>
    <col min="1283" max="1283" width="7.42578125" style="43" customWidth="1"/>
    <col min="1284" max="1284" width="9" style="43" customWidth="1"/>
    <col min="1285" max="1285" width="7.28515625" style="43" bestFit="1" customWidth="1"/>
    <col min="1286" max="1286" width="7.7109375" style="43" customWidth="1"/>
    <col min="1287" max="1287" width="11.7109375" style="43" customWidth="1"/>
    <col min="1288" max="1288" width="5.140625" style="43" customWidth="1"/>
    <col min="1289" max="1289" width="9.140625" style="43"/>
    <col min="1290" max="1290" width="25.42578125" style="43" customWidth="1"/>
    <col min="1291" max="1536" width="9.140625" style="43"/>
    <col min="1537" max="1537" width="4" style="43" customWidth="1"/>
    <col min="1538" max="1538" width="46.140625" style="43" customWidth="1"/>
    <col min="1539" max="1539" width="7.42578125" style="43" customWidth="1"/>
    <col min="1540" max="1540" width="9" style="43" customWidth="1"/>
    <col min="1541" max="1541" width="7.28515625" style="43" bestFit="1" customWidth="1"/>
    <col min="1542" max="1542" width="7.7109375" style="43" customWidth="1"/>
    <col min="1543" max="1543" width="11.7109375" style="43" customWidth="1"/>
    <col min="1544" max="1544" width="5.140625" style="43" customWidth="1"/>
    <col min="1545" max="1545" width="9.140625" style="43"/>
    <col min="1546" max="1546" width="25.42578125" style="43" customWidth="1"/>
    <col min="1547" max="1792" width="9.140625" style="43"/>
    <col min="1793" max="1793" width="4" style="43" customWidth="1"/>
    <col min="1794" max="1794" width="46.140625" style="43" customWidth="1"/>
    <col min="1795" max="1795" width="7.42578125" style="43" customWidth="1"/>
    <col min="1796" max="1796" width="9" style="43" customWidth="1"/>
    <col min="1797" max="1797" width="7.28515625" style="43" bestFit="1" customWidth="1"/>
    <col min="1798" max="1798" width="7.7109375" style="43" customWidth="1"/>
    <col min="1799" max="1799" width="11.7109375" style="43" customWidth="1"/>
    <col min="1800" max="1800" width="5.140625" style="43" customWidth="1"/>
    <col min="1801" max="1801" width="9.140625" style="43"/>
    <col min="1802" max="1802" width="25.42578125" style="43" customWidth="1"/>
    <col min="1803" max="2048" width="9.140625" style="43"/>
    <col min="2049" max="2049" width="4" style="43" customWidth="1"/>
    <col min="2050" max="2050" width="46.140625" style="43" customWidth="1"/>
    <col min="2051" max="2051" width="7.42578125" style="43" customWidth="1"/>
    <col min="2052" max="2052" width="9" style="43" customWidth="1"/>
    <col min="2053" max="2053" width="7.28515625" style="43" bestFit="1" customWidth="1"/>
    <col min="2054" max="2054" width="7.7109375" style="43" customWidth="1"/>
    <col min="2055" max="2055" width="11.7109375" style="43" customWidth="1"/>
    <col min="2056" max="2056" width="5.140625" style="43" customWidth="1"/>
    <col min="2057" max="2057" width="9.140625" style="43"/>
    <col min="2058" max="2058" width="25.42578125" style="43" customWidth="1"/>
    <col min="2059" max="2304" width="9.140625" style="43"/>
    <col min="2305" max="2305" width="4" style="43" customWidth="1"/>
    <col min="2306" max="2306" width="46.140625" style="43" customWidth="1"/>
    <col min="2307" max="2307" width="7.42578125" style="43" customWidth="1"/>
    <col min="2308" max="2308" width="9" style="43" customWidth="1"/>
    <col min="2309" max="2309" width="7.28515625" style="43" bestFit="1" customWidth="1"/>
    <col min="2310" max="2310" width="7.7109375" style="43" customWidth="1"/>
    <col min="2311" max="2311" width="11.7109375" style="43" customWidth="1"/>
    <col min="2312" max="2312" width="5.140625" style="43" customWidth="1"/>
    <col min="2313" max="2313" width="9.140625" style="43"/>
    <col min="2314" max="2314" width="25.42578125" style="43" customWidth="1"/>
    <col min="2315" max="2560" width="9.140625" style="43"/>
    <col min="2561" max="2561" width="4" style="43" customWidth="1"/>
    <col min="2562" max="2562" width="46.140625" style="43" customWidth="1"/>
    <col min="2563" max="2563" width="7.42578125" style="43" customWidth="1"/>
    <col min="2564" max="2564" width="9" style="43" customWidth="1"/>
    <col min="2565" max="2565" width="7.28515625" style="43" bestFit="1" customWidth="1"/>
    <col min="2566" max="2566" width="7.7109375" style="43" customWidth="1"/>
    <col min="2567" max="2567" width="11.7109375" style="43" customWidth="1"/>
    <col min="2568" max="2568" width="5.140625" style="43" customWidth="1"/>
    <col min="2569" max="2569" width="9.140625" style="43"/>
    <col min="2570" max="2570" width="25.42578125" style="43" customWidth="1"/>
    <col min="2571" max="2816" width="9.140625" style="43"/>
    <col min="2817" max="2817" width="4" style="43" customWidth="1"/>
    <col min="2818" max="2818" width="46.140625" style="43" customWidth="1"/>
    <col min="2819" max="2819" width="7.42578125" style="43" customWidth="1"/>
    <col min="2820" max="2820" width="9" style="43" customWidth="1"/>
    <col min="2821" max="2821" width="7.28515625" style="43" bestFit="1" customWidth="1"/>
    <col min="2822" max="2822" width="7.7109375" style="43" customWidth="1"/>
    <col min="2823" max="2823" width="11.7109375" style="43" customWidth="1"/>
    <col min="2824" max="2824" width="5.140625" style="43" customWidth="1"/>
    <col min="2825" max="2825" width="9.140625" style="43"/>
    <col min="2826" max="2826" width="25.42578125" style="43" customWidth="1"/>
    <col min="2827" max="3072" width="9.140625" style="43"/>
    <col min="3073" max="3073" width="4" style="43" customWidth="1"/>
    <col min="3074" max="3074" width="46.140625" style="43" customWidth="1"/>
    <col min="3075" max="3075" width="7.42578125" style="43" customWidth="1"/>
    <col min="3076" max="3076" width="9" style="43" customWidth="1"/>
    <col min="3077" max="3077" width="7.28515625" style="43" bestFit="1" customWidth="1"/>
    <col min="3078" max="3078" width="7.7109375" style="43" customWidth="1"/>
    <col min="3079" max="3079" width="11.7109375" style="43" customWidth="1"/>
    <col min="3080" max="3080" width="5.140625" style="43" customWidth="1"/>
    <col min="3081" max="3081" width="9.140625" style="43"/>
    <col min="3082" max="3082" width="25.42578125" style="43" customWidth="1"/>
    <col min="3083" max="3328" width="9.140625" style="43"/>
    <col min="3329" max="3329" width="4" style="43" customWidth="1"/>
    <col min="3330" max="3330" width="46.140625" style="43" customWidth="1"/>
    <col min="3331" max="3331" width="7.42578125" style="43" customWidth="1"/>
    <col min="3332" max="3332" width="9" style="43" customWidth="1"/>
    <col min="3333" max="3333" width="7.28515625" style="43" bestFit="1" customWidth="1"/>
    <col min="3334" max="3334" width="7.7109375" style="43" customWidth="1"/>
    <col min="3335" max="3335" width="11.7109375" style="43" customWidth="1"/>
    <col min="3336" max="3336" width="5.140625" style="43" customWidth="1"/>
    <col min="3337" max="3337" width="9.140625" style="43"/>
    <col min="3338" max="3338" width="25.42578125" style="43" customWidth="1"/>
    <col min="3339" max="3584" width="9.140625" style="43"/>
    <col min="3585" max="3585" width="4" style="43" customWidth="1"/>
    <col min="3586" max="3586" width="46.140625" style="43" customWidth="1"/>
    <col min="3587" max="3587" width="7.42578125" style="43" customWidth="1"/>
    <col min="3588" max="3588" width="9" style="43" customWidth="1"/>
    <col min="3589" max="3589" width="7.28515625" style="43" bestFit="1" customWidth="1"/>
    <col min="3590" max="3590" width="7.7109375" style="43" customWidth="1"/>
    <col min="3591" max="3591" width="11.7109375" style="43" customWidth="1"/>
    <col min="3592" max="3592" width="5.140625" style="43" customWidth="1"/>
    <col min="3593" max="3593" width="9.140625" style="43"/>
    <col min="3594" max="3594" width="25.42578125" style="43" customWidth="1"/>
    <col min="3595" max="3840" width="9.140625" style="43"/>
    <col min="3841" max="3841" width="4" style="43" customWidth="1"/>
    <col min="3842" max="3842" width="46.140625" style="43" customWidth="1"/>
    <col min="3843" max="3843" width="7.42578125" style="43" customWidth="1"/>
    <col min="3844" max="3844" width="9" style="43" customWidth="1"/>
    <col min="3845" max="3845" width="7.28515625" style="43" bestFit="1" customWidth="1"/>
    <col min="3846" max="3846" width="7.7109375" style="43" customWidth="1"/>
    <col min="3847" max="3847" width="11.7109375" style="43" customWidth="1"/>
    <col min="3848" max="3848" width="5.140625" style="43" customWidth="1"/>
    <col min="3849" max="3849" width="9.140625" style="43"/>
    <col min="3850" max="3850" width="25.42578125" style="43" customWidth="1"/>
    <col min="3851" max="4096" width="9.140625" style="43"/>
    <col min="4097" max="4097" width="4" style="43" customWidth="1"/>
    <col min="4098" max="4098" width="46.140625" style="43" customWidth="1"/>
    <col min="4099" max="4099" width="7.42578125" style="43" customWidth="1"/>
    <col min="4100" max="4100" width="9" style="43" customWidth="1"/>
    <col min="4101" max="4101" width="7.28515625" style="43" bestFit="1" customWidth="1"/>
    <col min="4102" max="4102" width="7.7109375" style="43" customWidth="1"/>
    <col min="4103" max="4103" width="11.7109375" style="43" customWidth="1"/>
    <col min="4104" max="4104" width="5.140625" style="43" customWidth="1"/>
    <col min="4105" max="4105" width="9.140625" style="43"/>
    <col min="4106" max="4106" width="25.42578125" style="43" customWidth="1"/>
    <col min="4107" max="4352" width="9.140625" style="43"/>
    <col min="4353" max="4353" width="4" style="43" customWidth="1"/>
    <col min="4354" max="4354" width="46.140625" style="43" customWidth="1"/>
    <col min="4355" max="4355" width="7.42578125" style="43" customWidth="1"/>
    <col min="4356" max="4356" width="9" style="43" customWidth="1"/>
    <col min="4357" max="4357" width="7.28515625" style="43" bestFit="1" customWidth="1"/>
    <col min="4358" max="4358" width="7.7109375" style="43" customWidth="1"/>
    <col min="4359" max="4359" width="11.7109375" style="43" customWidth="1"/>
    <col min="4360" max="4360" width="5.140625" style="43" customWidth="1"/>
    <col min="4361" max="4361" width="9.140625" style="43"/>
    <col min="4362" max="4362" width="25.42578125" style="43" customWidth="1"/>
    <col min="4363" max="4608" width="9.140625" style="43"/>
    <col min="4609" max="4609" width="4" style="43" customWidth="1"/>
    <col min="4610" max="4610" width="46.140625" style="43" customWidth="1"/>
    <col min="4611" max="4611" width="7.42578125" style="43" customWidth="1"/>
    <col min="4612" max="4612" width="9" style="43" customWidth="1"/>
    <col min="4613" max="4613" width="7.28515625" style="43" bestFit="1" customWidth="1"/>
    <col min="4614" max="4614" width="7.7109375" style="43" customWidth="1"/>
    <col min="4615" max="4615" width="11.7109375" style="43" customWidth="1"/>
    <col min="4616" max="4616" width="5.140625" style="43" customWidth="1"/>
    <col min="4617" max="4617" width="9.140625" style="43"/>
    <col min="4618" max="4618" width="25.42578125" style="43" customWidth="1"/>
    <col min="4619" max="4864" width="9.140625" style="43"/>
    <col min="4865" max="4865" width="4" style="43" customWidth="1"/>
    <col min="4866" max="4866" width="46.140625" style="43" customWidth="1"/>
    <col min="4867" max="4867" width="7.42578125" style="43" customWidth="1"/>
    <col min="4868" max="4868" width="9" style="43" customWidth="1"/>
    <col min="4869" max="4869" width="7.28515625" style="43" bestFit="1" customWidth="1"/>
    <col min="4870" max="4870" width="7.7109375" style="43" customWidth="1"/>
    <col min="4871" max="4871" width="11.7109375" style="43" customWidth="1"/>
    <col min="4872" max="4872" width="5.140625" style="43" customWidth="1"/>
    <col min="4873" max="4873" width="9.140625" style="43"/>
    <col min="4874" max="4874" width="25.42578125" style="43" customWidth="1"/>
    <col min="4875" max="5120" width="9.140625" style="43"/>
    <col min="5121" max="5121" width="4" style="43" customWidth="1"/>
    <col min="5122" max="5122" width="46.140625" style="43" customWidth="1"/>
    <col min="5123" max="5123" width="7.42578125" style="43" customWidth="1"/>
    <col min="5124" max="5124" width="9" style="43" customWidth="1"/>
    <col min="5125" max="5125" width="7.28515625" style="43" bestFit="1" customWidth="1"/>
    <col min="5126" max="5126" width="7.7109375" style="43" customWidth="1"/>
    <col min="5127" max="5127" width="11.7109375" style="43" customWidth="1"/>
    <col min="5128" max="5128" width="5.140625" style="43" customWidth="1"/>
    <col min="5129" max="5129" width="9.140625" style="43"/>
    <col min="5130" max="5130" width="25.42578125" style="43" customWidth="1"/>
    <col min="5131" max="5376" width="9.140625" style="43"/>
    <col min="5377" max="5377" width="4" style="43" customWidth="1"/>
    <col min="5378" max="5378" width="46.140625" style="43" customWidth="1"/>
    <col min="5379" max="5379" width="7.42578125" style="43" customWidth="1"/>
    <col min="5380" max="5380" width="9" style="43" customWidth="1"/>
    <col min="5381" max="5381" width="7.28515625" style="43" bestFit="1" customWidth="1"/>
    <col min="5382" max="5382" width="7.7109375" style="43" customWidth="1"/>
    <col min="5383" max="5383" width="11.7109375" style="43" customWidth="1"/>
    <col min="5384" max="5384" width="5.140625" style="43" customWidth="1"/>
    <col min="5385" max="5385" width="9.140625" style="43"/>
    <col min="5386" max="5386" width="25.42578125" style="43" customWidth="1"/>
    <col min="5387" max="5632" width="9.140625" style="43"/>
    <col min="5633" max="5633" width="4" style="43" customWidth="1"/>
    <col min="5634" max="5634" width="46.140625" style="43" customWidth="1"/>
    <col min="5635" max="5635" width="7.42578125" style="43" customWidth="1"/>
    <col min="5636" max="5636" width="9" style="43" customWidth="1"/>
    <col min="5637" max="5637" width="7.28515625" style="43" bestFit="1" customWidth="1"/>
    <col min="5638" max="5638" width="7.7109375" style="43" customWidth="1"/>
    <col min="5639" max="5639" width="11.7109375" style="43" customWidth="1"/>
    <col min="5640" max="5640" width="5.140625" style="43" customWidth="1"/>
    <col min="5641" max="5641" width="9.140625" style="43"/>
    <col min="5642" max="5642" width="25.42578125" style="43" customWidth="1"/>
    <col min="5643" max="5888" width="9.140625" style="43"/>
    <col min="5889" max="5889" width="4" style="43" customWidth="1"/>
    <col min="5890" max="5890" width="46.140625" style="43" customWidth="1"/>
    <col min="5891" max="5891" width="7.42578125" style="43" customWidth="1"/>
    <col min="5892" max="5892" width="9" style="43" customWidth="1"/>
    <col min="5893" max="5893" width="7.28515625" style="43" bestFit="1" customWidth="1"/>
    <col min="5894" max="5894" width="7.7109375" style="43" customWidth="1"/>
    <col min="5895" max="5895" width="11.7109375" style="43" customWidth="1"/>
    <col min="5896" max="5896" width="5.140625" style="43" customWidth="1"/>
    <col min="5897" max="5897" width="9.140625" style="43"/>
    <col min="5898" max="5898" width="25.42578125" style="43" customWidth="1"/>
    <col min="5899" max="6144" width="9.140625" style="43"/>
    <col min="6145" max="6145" width="4" style="43" customWidth="1"/>
    <col min="6146" max="6146" width="46.140625" style="43" customWidth="1"/>
    <col min="6147" max="6147" width="7.42578125" style="43" customWidth="1"/>
    <col min="6148" max="6148" width="9" style="43" customWidth="1"/>
    <col min="6149" max="6149" width="7.28515625" style="43" bestFit="1" customWidth="1"/>
    <col min="6150" max="6150" width="7.7109375" style="43" customWidth="1"/>
    <col min="6151" max="6151" width="11.7109375" style="43" customWidth="1"/>
    <col min="6152" max="6152" width="5.140625" style="43" customWidth="1"/>
    <col min="6153" max="6153" width="9.140625" style="43"/>
    <col min="6154" max="6154" width="25.42578125" style="43" customWidth="1"/>
    <col min="6155" max="6400" width="9.140625" style="43"/>
    <col min="6401" max="6401" width="4" style="43" customWidth="1"/>
    <col min="6402" max="6402" width="46.140625" style="43" customWidth="1"/>
    <col min="6403" max="6403" width="7.42578125" style="43" customWidth="1"/>
    <col min="6404" max="6404" width="9" style="43" customWidth="1"/>
    <col min="6405" max="6405" width="7.28515625" style="43" bestFit="1" customWidth="1"/>
    <col min="6406" max="6406" width="7.7109375" style="43" customWidth="1"/>
    <col min="6407" max="6407" width="11.7109375" style="43" customWidth="1"/>
    <col min="6408" max="6408" width="5.140625" style="43" customWidth="1"/>
    <col min="6409" max="6409" width="9.140625" style="43"/>
    <col min="6410" max="6410" width="25.42578125" style="43" customWidth="1"/>
    <col min="6411" max="6656" width="9.140625" style="43"/>
    <col min="6657" max="6657" width="4" style="43" customWidth="1"/>
    <col min="6658" max="6658" width="46.140625" style="43" customWidth="1"/>
    <col min="6659" max="6659" width="7.42578125" style="43" customWidth="1"/>
    <col min="6660" max="6660" width="9" style="43" customWidth="1"/>
    <col min="6661" max="6661" width="7.28515625" style="43" bestFit="1" customWidth="1"/>
    <col min="6662" max="6662" width="7.7109375" style="43" customWidth="1"/>
    <col min="6663" max="6663" width="11.7109375" style="43" customWidth="1"/>
    <col min="6664" max="6664" width="5.140625" style="43" customWidth="1"/>
    <col min="6665" max="6665" width="9.140625" style="43"/>
    <col min="6666" max="6666" width="25.42578125" style="43" customWidth="1"/>
    <col min="6667" max="6912" width="9.140625" style="43"/>
    <col min="6913" max="6913" width="4" style="43" customWidth="1"/>
    <col min="6914" max="6914" width="46.140625" style="43" customWidth="1"/>
    <col min="6915" max="6915" width="7.42578125" style="43" customWidth="1"/>
    <col min="6916" max="6916" width="9" style="43" customWidth="1"/>
    <col min="6917" max="6917" width="7.28515625" style="43" bestFit="1" customWidth="1"/>
    <col min="6918" max="6918" width="7.7109375" style="43" customWidth="1"/>
    <col min="6919" max="6919" width="11.7109375" style="43" customWidth="1"/>
    <col min="6920" max="6920" width="5.140625" style="43" customWidth="1"/>
    <col min="6921" max="6921" width="9.140625" style="43"/>
    <col min="6922" max="6922" width="25.42578125" style="43" customWidth="1"/>
    <col min="6923" max="7168" width="9.140625" style="43"/>
    <col min="7169" max="7169" width="4" style="43" customWidth="1"/>
    <col min="7170" max="7170" width="46.140625" style="43" customWidth="1"/>
    <col min="7171" max="7171" width="7.42578125" style="43" customWidth="1"/>
    <col min="7172" max="7172" width="9" style="43" customWidth="1"/>
    <col min="7173" max="7173" width="7.28515625" style="43" bestFit="1" customWidth="1"/>
    <col min="7174" max="7174" width="7.7109375" style="43" customWidth="1"/>
    <col min="7175" max="7175" width="11.7109375" style="43" customWidth="1"/>
    <col min="7176" max="7176" width="5.140625" style="43" customWidth="1"/>
    <col min="7177" max="7177" width="9.140625" style="43"/>
    <col min="7178" max="7178" width="25.42578125" style="43" customWidth="1"/>
    <col min="7179" max="7424" width="9.140625" style="43"/>
    <col min="7425" max="7425" width="4" style="43" customWidth="1"/>
    <col min="7426" max="7426" width="46.140625" style="43" customWidth="1"/>
    <col min="7427" max="7427" width="7.42578125" style="43" customWidth="1"/>
    <col min="7428" max="7428" width="9" style="43" customWidth="1"/>
    <col min="7429" max="7429" width="7.28515625" style="43" bestFit="1" customWidth="1"/>
    <col min="7430" max="7430" width="7.7109375" style="43" customWidth="1"/>
    <col min="7431" max="7431" width="11.7109375" style="43" customWidth="1"/>
    <col min="7432" max="7432" width="5.140625" style="43" customWidth="1"/>
    <col min="7433" max="7433" width="9.140625" style="43"/>
    <col min="7434" max="7434" width="25.42578125" style="43" customWidth="1"/>
    <col min="7435" max="7680" width="9.140625" style="43"/>
    <col min="7681" max="7681" width="4" style="43" customWidth="1"/>
    <col min="7682" max="7682" width="46.140625" style="43" customWidth="1"/>
    <col min="7683" max="7683" width="7.42578125" style="43" customWidth="1"/>
    <col min="7684" max="7684" width="9" style="43" customWidth="1"/>
    <col min="7685" max="7685" width="7.28515625" style="43" bestFit="1" customWidth="1"/>
    <col min="7686" max="7686" width="7.7109375" style="43" customWidth="1"/>
    <col min="7687" max="7687" width="11.7109375" style="43" customWidth="1"/>
    <col min="7688" max="7688" width="5.140625" style="43" customWidth="1"/>
    <col min="7689" max="7689" width="9.140625" style="43"/>
    <col min="7690" max="7690" width="25.42578125" style="43" customWidth="1"/>
    <col min="7691" max="7936" width="9.140625" style="43"/>
    <col min="7937" max="7937" width="4" style="43" customWidth="1"/>
    <col min="7938" max="7938" width="46.140625" style="43" customWidth="1"/>
    <col min="7939" max="7939" width="7.42578125" style="43" customWidth="1"/>
    <col min="7940" max="7940" width="9" style="43" customWidth="1"/>
    <col min="7941" max="7941" width="7.28515625" style="43" bestFit="1" customWidth="1"/>
    <col min="7942" max="7942" width="7.7109375" style="43" customWidth="1"/>
    <col min="7943" max="7943" width="11.7109375" style="43" customWidth="1"/>
    <col min="7944" max="7944" width="5.140625" style="43" customWidth="1"/>
    <col min="7945" max="7945" width="9.140625" style="43"/>
    <col min="7946" max="7946" width="25.42578125" style="43" customWidth="1"/>
    <col min="7947" max="8192" width="9.140625" style="43"/>
    <col min="8193" max="8193" width="4" style="43" customWidth="1"/>
    <col min="8194" max="8194" width="46.140625" style="43" customWidth="1"/>
    <col min="8195" max="8195" width="7.42578125" style="43" customWidth="1"/>
    <col min="8196" max="8196" width="9" style="43" customWidth="1"/>
    <col min="8197" max="8197" width="7.28515625" style="43" bestFit="1" customWidth="1"/>
    <col min="8198" max="8198" width="7.7109375" style="43" customWidth="1"/>
    <col min="8199" max="8199" width="11.7109375" style="43" customWidth="1"/>
    <col min="8200" max="8200" width="5.140625" style="43" customWidth="1"/>
    <col min="8201" max="8201" width="9.140625" style="43"/>
    <col min="8202" max="8202" width="25.42578125" style="43" customWidth="1"/>
    <col min="8203" max="8448" width="9.140625" style="43"/>
    <col min="8449" max="8449" width="4" style="43" customWidth="1"/>
    <col min="8450" max="8450" width="46.140625" style="43" customWidth="1"/>
    <col min="8451" max="8451" width="7.42578125" style="43" customWidth="1"/>
    <col min="8452" max="8452" width="9" style="43" customWidth="1"/>
    <col min="8453" max="8453" width="7.28515625" style="43" bestFit="1" customWidth="1"/>
    <col min="8454" max="8454" width="7.7109375" style="43" customWidth="1"/>
    <col min="8455" max="8455" width="11.7109375" style="43" customWidth="1"/>
    <col min="8456" max="8456" width="5.140625" style="43" customWidth="1"/>
    <col min="8457" max="8457" width="9.140625" style="43"/>
    <col min="8458" max="8458" width="25.42578125" style="43" customWidth="1"/>
    <col min="8459" max="8704" width="9.140625" style="43"/>
    <col min="8705" max="8705" width="4" style="43" customWidth="1"/>
    <col min="8706" max="8706" width="46.140625" style="43" customWidth="1"/>
    <col min="8707" max="8707" width="7.42578125" style="43" customWidth="1"/>
    <col min="8708" max="8708" width="9" style="43" customWidth="1"/>
    <col min="8709" max="8709" width="7.28515625" style="43" bestFit="1" customWidth="1"/>
    <col min="8710" max="8710" width="7.7109375" style="43" customWidth="1"/>
    <col min="8711" max="8711" width="11.7109375" style="43" customWidth="1"/>
    <col min="8712" max="8712" width="5.140625" style="43" customWidth="1"/>
    <col min="8713" max="8713" width="9.140625" style="43"/>
    <col min="8714" max="8714" width="25.42578125" style="43" customWidth="1"/>
    <col min="8715" max="8960" width="9.140625" style="43"/>
    <col min="8961" max="8961" width="4" style="43" customWidth="1"/>
    <col min="8962" max="8962" width="46.140625" style="43" customWidth="1"/>
    <col min="8963" max="8963" width="7.42578125" style="43" customWidth="1"/>
    <col min="8964" max="8964" width="9" style="43" customWidth="1"/>
    <col min="8965" max="8965" width="7.28515625" style="43" bestFit="1" customWidth="1"/>
    <col min="8966" max="8966" width="7.7109375" style="43" customWidth="1"/>
    <col min="8967" max="8967" width="11.7109375" style="43" customWidth="1"/>
    <col min="8968" max="8968" width="5.140625" style="43" customWidth="1"/>
    <col min="8969" max="8969" width="9.140625" style="43"/>
    <col min="8970" max="8970" width="25.42578125" style="43" customWidth="1"/>
    <col min="8971" max="9216" width="9.140625" style="43"/>
    <col min="9217" max="9217" width="4" style="43" customWidth="1"/>
    <col min="9218" max="9218" width="46.140625" style="43" customWidth="1"/>
    <col min="9219" max="9219" width="7.42578125" style="43" customWidth="1"/>
    <col min="9220" max="9220" width="9" style="43" customWidth="1"/>
    <col min="9221" max="9221" width="7.28515625" style="43" bestFit="1" customWidth="1"/>
    <col min="9222" max="9222" width="7.7109375" style="43" customWidth="1"/>
    <col min="9223" max="9223" width="11.7109375" style="43" customWidth="1"/>
    <col min="9224" max="9224" width="5.140625" style="43" customWidth="1"/>
    <col min="9225" max="9225" width="9.140625" style="43"/>
    <col min="9226" max="9226" width="25.42578125" style="43" customWidth="1"/>
    <col min="9227" max="9472" width="9.140625" style="43"/>
    <col min="9473" max="9473" width="4" style="43" customWidth="1"/>
    <col min="9474" max="9474" width="46.140625" style="43" customWidth="1"/>
    <col min="9475" max="9475" width="7.42578125" style="43" customWidth="1"/>
    <col min="9476" max="9476" width="9" style="43" customWidth="1"/>
    <col min="9477" max="9477" width="7.28515625" style="43" bestFit="1" customWidth="1"/>
    <col min="9478" max="9478" width="7.7109375" style="43" customWidth="1"/>
    <col min="9479" max="9479" width="11.7109375" style="43" customWidth="1"/>
    <col min="9480" max="9480" width="5.140625" style="43" customWidth="1"/>
    <col min="9481" max="9481" width="9.140625" style="43"/>
    <col min="9482" max="9482" width="25.42578125" style="43" customWidth="1"/>
    <col min="9483" max="9728" width="9.140625" style="43"/>
    <col min="9729" max="9729" width="4" style="43" customWidth="1"/>
    <col min="9730" max="9730" width="46.140625" style="43" customWidth="1"/>
    <col min="9731" max="9731" width="7.42578125" style="43" customWidth="1"/>
    <col min="9732" max="9732" width="9" style="43" customWidth="1"/>
    <col min="9733" max="9733" width="7.28515625" style="43" bestFit="1" customWidth="1"/>
    <col min="9734" max="9734" width="7.7109375" style="43" customWidth="1"/>
    <col min="9735" max="9735" width="11.7109375" style="43" customWidth="1"/>
    <col min="9736" max="9736" width="5.140625" style="43" customWidth="1"/>
    <col min="9737" max="9737" width="9.140625" style="43"/>
    <col min="9738" max="9738" width="25.42578125" style="43" customWidth="1"/>
    <col min="9739" max="9984" width="9.140625" style="43"/>
    <col min="9985" max="9985" width="4" style="43" customWidth="1"/>
    <col min="9986" max="9986" width="46.140625" style="43" customWidth="1"/>
    <col min="9987" max="9987" width="7.42578125" style="43" customWidth="1"/>
    <col min="9988" max="9988" width="9" style="43" customWidth="1"/>
    <col min="9989" max="9989" width="7.28515625" style="43" bestFit="1" customWidth="1"/>
    <col min="9990" max="9990" width="7.7109375" style="43" customWidth="1"/>
    <col min="9991" max="9991" width="11.7109375" style="43" customWidth="1"/>
    <col min="9992" max="9992" width="5.140625" style="43" customWidth="1"/>
    <col min="9993" max="9993" width="9.140625" style="43"/>
    <col min="9994" max="9994" width="25.42578125" style="43" customWidth="1"/>
    <col min="9995" max="10240" width="9.140625" style="43"/>
    <col min="10241" max="10241" width="4" style="43" customWidth="1"/>
    <col min="10242" max="10242" width="46.140625" style="43" customWidth="1"/>
    <col min="10243" max="10243" width="7.42578125" style="43" customWidth="1"/>
    <col min="10244" max="10244" width="9" style="43" customWidth="1"/>
    <col min="10245" max="10245" width="7.28515625" style="43" bestFit="1" customWidth="1"/>
    <col min="10246" max="10246" width="7.7109375" style="43" customWidth="1"/>
    <col min="10247" max="10247" width="11.7109375" style="43" customWidth="1"/>
    <col min="10248" max="10248" width="5.140625" style="43" customWidth="1"/>
    <col min="10249" max="10249" width="9.140625" style="43"/>
    <col min="10250" max="10250" width="25.42578125" style="43" customWidth="1"/>
    <col min="10251" max="10496" width="9.140625" style="43"/>
    <col min="10497" max="10497" width="4" style="43" customWidth="1"/>
    <col min="10498" max="10498" width="46.140625" style="43" customWidth="1"/>
    <col min="10499" max="10499" width="7.42578125" style="43" customWidth="1"/>
    <col min="10500" max="10500" width="9" style="43" customWidth="1"/>
    <col min="10501" max="10501" width="7.28515625" style="43" bestFit="1" customWidth="1"/>
    <col min="10502" max="10502" width="7.7109375" style="43" customWidth="1"/>
    <col min="10503" max="10503" width="11.7109375" style="43" customWidth="1"/>
    <col min="10504" max="10504" width="5.140625" style="43" customWidth="1"/>
    <col min="10505" max="10505" width="9.140625" style="43"/>
    <col min="10506" max="10506" width="25.42578125" style="43" customWidth="1"/>
    <col min="10507" max="10752" width="9.140625" style="43"/>
    <col min="10753" max="10753" width="4" style="43" customWidth="1"/>
    <col min="10754" max="10754" width="46.140625" style="43" customWidth="1"/>
    <col min="10755" max="10755" width="7.42578125" style="43" customWidth="1"/>
    <col min="10756" max="10756" width="9" style="43" customWidth="1"/>
    <col min="10757" max="10757" width="7.28515625" style="43" bestFit="1" customWidth="1"/>
    <col min="10758" max="10758" width="7.7109375" style="43" customWidth="1"/>
    <col min="10759" max="10759" width="11.7109375" style="43" customWidth="1"/>
    <col min="10760" max="10760" width="5.140625" style="43" customWidth="1"/>
    <col min="10761" max="10761" width="9.140625" style="43"/>
    <col min="10762" max="10762" width="25.42578125" style="43" customWidth="1"/>
    <col min="10763" max="11008" width="9.140625" style="43"/>
    <col min="11009" max="11009" width="4" style="43" customWidth="1"/>
    <col min="11010" max="11010" width="46.140625" style="43" customWidth="1"/>
    <col min="11011" max="11011" width="7.42578125" style="43" customWidth="1"/>
    <col min="11012" max="11012" width="9" style="43" customWidth="1"/>
    <col min="11013" max="11013" width="7.28515625" style="43" bestFit="1" customWidth="1"/>
    <col min="11014" max="11014" width="7.7109375" style="43" customWidth="1"/>
    <col min="11015" max="11015" width="11.7109375" style="43" customWidth="1"/>
    <col min="11016" max="11016" width="5.140625" style="43" customWidth="1"/>
    <col min="11017" max="11017" width="9.140625" style="43"/>
    <col min="11018" max="11018" width="25.42578125" style="43" customWidth="1"/>
    <col min="11019" max="11264" width="9.140625" style="43"/>
    <col min="11265" max="11265" width="4" style="43" customWidth="1"/>
    <col min="11266" max="11266" width="46.140625" style="43" customWidth="1"/>
    <col min="11267" max="11267" width="7.42578125" style="43" customWidth="1"/>
    <col min="11268" max="11268" width="9" style="43" customWidth="1"/>
    <col min="11269" max="11269" width="7.28515625" style="43" bestFit="1" customWidth="1"/>
    <col min="11270" max="11270" width="7.7109375" style="43" customWidth="1"/>
    <col min="11271" max="11271" width="11.7109375" style="43" customWidth="1"/>
    <col min="11272" max="11272" width="5.140625" style="43" customWidth="1"/>
    <col min="11273" max="11273" width="9.140625" style="43"/>
    <col min="11274" max="11274" width="25.42578125" style="43" customWidth="1"/>
    <col min="11275" max="11520" width="9.140625" style="43"/>
    <col min="11521" max="11521" width="4" style="43" customWidth="1"/>
    <col min="11522" max="11522" width="46.140625" style="43" customWidth="1"/>
    <col min="11523" max="11523" width="7.42578125" style="43" customWidth="1"/>
    <col min="11524" max="11524" width="9" style="43" customWidth="1"/>
    <col min="11525" max="11525" width="7.28515625" style="43" bestFit="1" customWidth="1"/>
    <col min="11526" max="11526" width="7.7109375" style="43" customWidth="1"/>
    <col min="11527" max="11527" width="11.7109375" style="43" customWidth="1"/>
    <col min="11528" max="11528" width="5.140625" style="43" customWidth="1"/>
    <col min="11529" max="11529" width="9.140625" style="43"/>
    <col min="11530" max="11530" width="25.42578125" style="43" customWidth="1"/>
    <col min="11531" max="11776" width="9.140625" style="43"/>
    <col min="11777" max="11777" width="4" style="43" customWidth="1"/>
    <col min="11778" max="11778" width="46.140625" style="43" customWidth="1"/>
    <col min="11779" max="11779" width="7.42578125" style="43" customWidth="1"/>
    <col min="11780" max="11780" width="9" style="43" customWidth="1"/>
    <col min="11781" max="11781" width="7.28515625" style="43" bestFit="1" customWidth="1"/>
    <col min="11782" max="11782" width="7.7109375" style="43" customWidth="1"/>
    <col min="11783" max="11783" width="11.7109375" style="43" customWidth="1"/>
    <col min="11784" max="11784" width="5.140625" style="43" customWidth="1"/>
    <col min="11785" max="11785" width="9.140625" style="43"/>
    <col min="11786" max="11786" width="25.42578125" style="43" customWidth="1"/>
    <col min="11787" max="12032" width="9.140625" style="43"/>
    <col min="12033" max="12033" width="4" style="43" customWidth="1"/>
    <col min="12034" max="12034" width="46.140625" style="43" customWidth="1"/>
    <col min="12035" max="12035" width="7.42578125" style="43" customWidth="1"/>
    <col min="12036" max="12036" width="9" style="43" customWidth="1"/>
    <col min="12037" max="12037" width="7.28515625" style="43" bestFit="1" customWidth="1"/>
    <col min="12038" max="12038" width="7.7109375" style="43" customWidth="1"/>
    <col min="12039" max="12039" width="11.7109375" style="43" customWidth="1"/>
    <col min="12040" max="12040" width="5.140625" style="43" customWidth="1"/>
    <col min="12041" max="12041" width="9.140625" style="43"/>
    <col min="12042" max="12042" width="25.42578125" style="43" customWidth="1"/>
    <col min="12043" max="12288" width="9.140625" style="43"/>
    <col min="12289" max="12289" width="4" style="43" customWidth="1"/>
    <col min="12290" max="12290" width="46.140625" style="43" customWidth="1"/>
    <col min="12291" max="12291" width="7.42578125" style="43" customWidth="1"/>
    <col min="12292" max="12292" width="9" style="43" customWidth="1"/>
    <col min="12293" max="12293" width="7.28515625" style="43" bestFit="1" customWidth="1"/>
    <col min="12294" max="12294" width="7.7109375" style="43" customWidth="1"/>
    <col min="12295" max="12295" width="11.7109375" style="43" customWidth="1"/>
    <col min="12296" max="12296" width="5.140625" style="43" customWidth="1"/>
    <col min="12297" max="12297" width="9.140625" style="43"/>
    <col min="12298" max="12298" width="25.42578125" style="43" customWidth="1"/>
    <col min="12299" max="12544" width="9.140625" style="43"/>
    <col min="12545" max="12545" width="4" style="43" customWidth="1"/>
    <col min="12546" max="12546" width="46.140625" style="43" customWidth="1"/>
    <col min="12547" max="12547" width="7.42578125" style="43" customWidth="1"/>
    <col min="12548" max="12548" width="9" style="43" customWidth="1"/>
    <col min="12549" max="12549" width="7.28515625" style="43" bestFit="1" customWidth="1"/>
    <col min="12550" max="12550" width="7.7109375" style="43" customWidth="1"/>
    <col min="12551" max="12551" width="11.7109375" style="43" customWidth="1"/>
    <col min="12552" max="12552" width="5.140625" style="43" customWidth="1"/>
    <col min="12553" max="12553" width="9.140625" style="43"/>
    <col min="12554" max="12554" width="25.42578125" style="43" customWidth="1"/>
    <col min="12555" max="12800" width="9.140625" style="43"/>
    <col min="12801" max="12801" width="4" style="43" customWidth="1"/>
    <col min="12802" max="12802" width="46.140625" style="43" customWidth="1"/>
    <col min="12803" max="12803" width="7.42578125" style="43" customWidth="1"/>
    <col min="12804" max="12804" width="9" style="43" customWidth="1"/>
    <col min="12805" max="12805" width="7.28515625" style="43" bestFit="1" customWidth="1"/>
    <col min="12806" max="12806" width="7.7109375" style="43" customWidth="1"/>
    <col min="12807" max="12807" width="11.7109375" style="43" customWidth="1"/>
    <col min="12808" max="12808" width="5.140625" style="43" customWidth="1"/>
    <col min="12809" max="12809" width="9.140625" style="43"/>
    <col min="12810" max="12810" width="25.42578125" style="43" customWidth="1"/>
    <col min="12811" max="13056" width="9.140625" style="43"/>
    <col min="13057" max="13057" width="4" style="43" customWidth="1"/>
    <col min="13058" max="13058" width="46.140625" style="43" customWidth="1"/>
    <col min="13059" max="13059" width="7.42578125" style="43" customWidth="1"/>
    <col min="13060" max="13060" width="9" style="43" customWidth="1"/>
    <col min="13061" max="13061" width="7.28515625" style="43" bestFit="1" customWidth="1"/>
    <col min="13062" max="13062" width="7.7109375" style="43" customWidth="1"/>
    <col min="13063" max="13063" width="11.7109375" style="43" customWidth="1"/>
    <col min="13064" max="13064" width="5.140625" style="43" customWidth="1"/>
    <col min="13065" max="13065" width="9.140625" style="43"/>
    <col min="13066" max="13066" width="25.42578125" style="43" customWidth="1"/>
    <col min="13067" max="13312" width="9.140625" style="43"/>
    <col min="13313" max="13313" width="4" style="43" customWidth="1"/>
    <col min="13314" max="13314" width="46.140625" style="43" customWidth="1"/>
    <col min="13315" max="13315" width="7.42578125" style="43" customWidth="1"/>
    <col min="13316" max="13316" width="9" style="43" customWidth="1"/>
    <col min="13317" max="13317" width="7.28515625" style="43" bestFit="1" customWidth="1"/>
    <col min="13318" max="13318" width="7.7109375" style="43" customWidth="1"/>
    <col min="13319" max="13319" width="11.7109375" style="43" customWidth="1"/>
    <col min="13320" max="13320" width="5.140625" style="43" customWidth="1"/>
    <col min="13321" max="13321" width="9.140625" style="43"/>
    <col min="13322" max="13322" width="25.42578125" style="43" customWidth="1"/>
    <col min="13323" max="13568" width="9.140625" style="43"/>
    <col min="13569" max="13569" width="4" style="43" customWidth="1"/>
    <col min="13570" max="13570" width="46.140625" style="43" customWidth="1"/>
    <col min="13571" max="13571" width="7.42578125" style="43" customWidth="1"/>
    <col min="13572" max="13572" width="9" style="43" customWidth="1"/>
    <col min="13573" max="13573" width="7.28515625" style="43" bestFit="1" customWidth="1"/>
    <col min="13574" max="13574" width="7.7109375" style="43" customWidth="1"/>
    <col min="13575" max="13575" width="11.7109375" style="43" customWidth="1"/>
    <col min="13576" max="13576" width="5.140625" style="43" customWidth="1"/>
    <col min="13577" max="13577" width="9.140625" style="43"/>
    <col min="13578" max="13578" width="25.42578125" style="43" customWidth="1"/>
    <col min="13579" max="13824" width="9.140625" style="43"/>
    <col min="13825" max="13825" width="4" style="43" customWidth="1"/>
    <col min="13826" max="13826" width="46.140625" style="43" customWidth="1"/>
    <col min="13827" max="13827" width="7.42578125" style="43" customWidth="1"/>
    <col min="13828" max="13828" width="9" style="43" customWidth="1"/>
    <col min="13829" max="13829" width="7.28515625" style="43" bestFit="1" customWidth="1"/>
    <col min="13830" max="13830" width="7.7109375" style="43" customWidth="1"/>
    <col min="13831" max="13831" width="11.7109375" style="43" customWidth="1"/>
    <col min="13832" max="13832" width="5.140625" style="43" customWidth="1"/>
    <col min="13833" max="13833" width="9.140625" style="43"/>
    <col min="13834" max="13834" width="25.42578125" style="43" customWidth="1"/>
    <col min="13835" max="14080" width="9.140625" style="43"/>
    <col min="14081" max="14081" width="4" style="43" customWidth="1"/>
    <col min="14082" max="14082" width="46.140625" style="43" customWidth="1"/>
    <col min="14083" max="14083" width="7.42578125" style="43" customWidth="1"/>
    <col min="14084" max="14084" width="9" style="43" customWidth="1"/>
    <col min="14085" max="14085" width="7.28515625" style="43" bestFit="1" customWidth="1"/>
    <col min="14086" max="14086" width="7.7109375" style="43" customWidth="1"/>
    <col min="14087" max="14087" width="11.7109375" style="43" customWidth="1"/>
    <col min="14088" max="14088" width="5.140625" style="43" customWidth="1"/>
    <col min="14089" max="14089" width="9.140625" style="43"/>
    <col min="14090" max="14090" width="25.42578125" style="43" customWidth="1"/>
    <col min="14091" max="14336" width="9.140625" style="43"/>
    <col min="14337" max="14337" width="4" style="43" customWidth="1"/>
    <col min="14338" max="14338" width="46.140625" style="43" customWidth="1"/>
    <col min="14339" max="14339" width="7.42578125" style="43" customWidth="1"/>
    <col min="14340" max="14340" width="9" style="43" customWidth="1"/>
    <col min="14341" max="14341" width="7.28515625" style="43" bestFit="1" customWidth="1"/>
    <col min="14342" max="14342" width="7.7109375" style="43" customWidth="1"/>
    <col min="14343" max="14343" width="11.7109375" style="43" customWidth="1"/>
    <col min="14344" max="14344" width="5.140625" style="43" customWidth="1"/>
    <col min="14345" max="14345" width="9.140625" style="43"/>
    <col min="14346" max="14346" width="25.42578125" style="43" customWidth="1"/>
    <col min="14347" max="14592" width="9.140625" style="43"/>
    <col min="14593" max="14593" width="4" style="43" customWidth="1"/>
    <col min="14594" max="14594" width="46.140625" style="43" customWidth="1"/>
    <col min="14595" max="14595" width="7.42578125" style="43" customWidth="1"/>
    <col min="14596" max="14596" width="9" style="43" customWidth="1"/>
    <col min="14597" max="14597" width="7.28515625" style="43" bestFit="1" customWidth="1"/>
    <col min="14598" max="14598" width="7.7109375" style="43" customWidth="1"/>
    <col min="14599" max="14599" width="11.7109375" style="43" customWidth="1"/>
    <col min="14600" max="14600" width="5.140625" style="43" customWidth="1"/>
    <col min="14601" max="14601" width="9.140625" style="43"/>
    <col min="14602" max="14602" width="25.42578125" style="43" customWidth="1"/>
    <col min="14603" max="14848" width="9.140625" style="43"/>
    <col min="14849" max="14849" width="4" style="43" customWidth="1"/>
    <col min="14850" max="14850" width="46.140625" style="43" customWidth="1"/>
    <col min="14851" max="14851" width="7.42578125" style="43" customWidth="1"/>
    <col min="14852" max="14852" width="9" style="43" customWidth="1"/>
    <col min="14853" max="14853" width="7.28515625" style="43" bestFit="1" customWidth="1"/>
    <col min="14854" max="14854" width="7.7109375" style="43" customWidth="1"/>
    <col min="14855" max="14855" width="11.7109375" style="43" customWidth="1"/>
    <col min="14856" max="14856" width="5.140625" style="43" customWidth="1"/>
    <col min="14857" max="14857" width="9.140625" style="43"/>
    <col min="14858" max="14858" width="25.42578125" style="43" customWidth="1"/>
    <col min="14859" max="15104" width="9.140625" style="43"/>
    <col min="15105" max="15105" width="4" style="43" customWidth="1"/>
    <col min="15106" max="15106" width="46.140625" style="43" customWidth="1"/>
    <col min="15107" max="15107" width="7.42578125" style="43" customWidth="1"/>
    <col min="15108" max="15108" width="9" style="43" customWidth="1"/>
    <col min="15109" max="15109" width="7.28515625" style="43" bestFit="1" customWidth="1"/>
    <col min="15110" max="15110" width="7.7109375" style="43" customWidth="1"/>
    <col min="15111" max="15111" width="11.7109375" style="43" customWidth="1"/>
    <col min="15112" max="15112" width="5.140625" style="43" customWidth="1"/>
    <col min="15113" max="15113" width="9.140625" style="43"/>
    <col min="15114" max="15114" width="25.42578125" style="43" customWidth="1"/>
    <col min="15115" max="15360" width="9.140625" style="43"/>
    <col min="15361" max="15361" width="4" style="43" customWidth="1"/>
    <col min="15362" max="15362" width="46.140625" style="43" customWidth="1"/>
    <col min="15363" max="15363" width="7.42578125" style="43" customWidth="1"/>
    <col min="15364" max="15364" width="9" style="43" customWidth="1"/>
    <col min="15365" max="15365" width="7.28515625" style="43" bestFit="1" customWidth="1"/>
    <col min="15366" max="15366" width="7.7109375" style="43" customWidth="1"/>
    <col min="15367" max="15367" width="11.7109375" style="43" customWidth="1"/>
    <col min="15368" max="15368" width="5.140625" style="43" customWidth="1"/>
    <col min="15369" max="15369" width="9.140625" style="43"/>
    <col min="15370" max="15370" width="25.42578125" style="43" customWidth="1"/>
    <col min="15371" max="15616" width="9.140625" style="43"/>
    <col min="15617" max="15617" width="4" style="43" customWidth="1"/>
    <col min="15618" max="15618" width="46.140625" style="43" customWidth="1"/>
    <col min="15619" max="15619" width="7.42578125" style="43" customWidth="1"/>
    <col min="15620" max="15620" width="9" style="43" customWidth="1"/>
    <col min="15621" max="15621" width="7.28515625" style="43" bestFit="1" customWidth="1"/>
    <col min="15622" max="15622" width="7.7109375" style="43" customWidth="1"/>
    <col min="15623" max="15623" width="11.7109375" style="43" customWidth="1"/>
    <col min="15624" max="15624" width="5.140625" style="43" customWidth="1"/>
    <col min="15625" max="15625" width="9.140625" style="43"/>
    <col min="15626" max="15626" width="25.42578125" style="43" customWidth="1"/>
    <col min="15627" max="15872" width="9.140625" style="43"/>
    <col min="15873" max="15873" width="4" style="43" customWidth="1"/>
    <col min="15874" max="15874" width="46.140625" style="43" customWidth="1"/>
    <col min="15875" max="15875" width="7.42578125" style="43" customWidth="1"/>
    <col min="15876" max="15876" width="9" style="43" customWidth="1"/>
    <col min="15877" max="15877" width="7.28515625" style="43" bestFit="1" customWidth="1"/>
    <col min="15878" max="15878" width="7.7109375" style="43" customWidth="1"/>
    <col min="15879" max="15879" width="11.7109375" style="43" customWidth="1"/>
    <col min="15880" max="15880" width="5.140625" style="43" customWidth="1"/>
    <col min="15881" max="15881" width="9.140625" style="43"/>
    <col min="15882" max="15882" width="25.42578125" style="43" customWidth="1"/>
    <col min="15883" max="16128" width="9.140625" style="43"/>
    <col min="16129" max="16129" width="4" style="43" customWidth="1"/>
    <col min="16130" max="16130" width="46.140625" style="43" customWidth="1"/>
    <col min="16131" max="16131" width="7.42578125" style="43" customWidth="1"/>
    <col min="16132" max="16132" width="9" style="43" customWidth="1"/>
    <col min="16133" max="16133" width="7.28515625" style="43" bestFit="1" customWidth="1"/>
    <col min="16134" max="16134" width="7.7109375" style="43" customWidth="1"/>
    <col min="16135" max="16135" width="11.7109375" style="43" customWidth="1"/>
    <col min="16136" max="16136" width="5.140625" style="43" customWidth="1"/>
    <col min="16137" max="16137" width="9.140625" style="43"/>
    <col min="16138" max="16138" width="25.42578125" style="43" customWidth="1"/>
    <col min="16139" max="16384" width="9.140625" style="43"/>
  </cols>
  <sheetData>
    <row r="1" spans="1:10" ht="20.100000000000001" customHeight="1" x14ac:dyDescent="0.25">
      <c r="A1" s="41"/>
      <c r="B1" s="42" t="s">
        <v>87</v>
      </c>
      <c r="C1" s="42"/>
      <c r="D1" s="41"/>
      <c r="E1" s="41"/>
      <c r="F1" s="41"/>
      <c r="G1" s="41"/>
      <c r="H1" s="41"/>
    </row>
    <row r="2" spans="1:10" ht="20.100000000000001" customHeight="1" x14ac:dyDescent="0.25">
      <c r="A2" s="41"/>
      <c r="B2" s="42" t="s">
        <v>88</v>
      </c>
      <c r="C2" s="42"/>
      <c r="D2" s="41"/>
      <c r="E2" s="41"/>
      <c r="F2" s="41"/>
      <c r="G2" s="41"/>
      <c r="H2" s="41"/>
    </row>
    <row r="3" spans="1:10" ht="24.75" customHeight="1" x14ac:dyDescent="0.25">
      <c r="A3" s="44"/>
      <c r="B3" s="44" t="s">
        <v>89</v>
      </c>
      <c r="C3" s="44"/>
      <c r="D3" s="44"/>
      <c r="E3" s="44"/>
      <c r="F3" s="44"/>
      <c r="G3" s="44"/>
      <c r="H3" s="44"/>
    </row>
    <row r="4" spans="1:10" ht="20.100000000000001" customHeight="1" x14ac:dyDescent="0.2">
      <c r="A4" s="92" t="s">
        <v>90</v>
      </c>
      <c r="B4" s="95" t="s">
        <v>91</v>
      </c>
      <c r="C4" s="96" t="s">
        <v>92</v>
      </c>
      <c r="D4" s="99" t="s">
        <v>93</v>
      </c>
      <c r="E4" s="99"/>
      <c r="F4" s="99"/>
      <c r="G4" s="95" t="s">
        <v>94</v>
      </c>
      <c r="H4" s="92"/>
      <c r="I4" s="45"/>
    </row>
    <row r="5" spans="1:10" ht="20.100000000000001" customHeight="1" x14ac:dyDescent="0.2">
      <c r="A5" s="93"/>
      <c r="B5" s="93"/>
      <c r="C5" s="97"/>
      <c r="D5" s="46" t="s">
        <v>95</v>
      </c>
      <c r="E5" s="46" t="s">
        <v>96</v>
      </c>
      <c r="F5" s="46" t="s">
        <v>97</v>
      </c>
      <c r="G5" s="93"/>
      <c r="H5" s="93"/>
      <c r="I5" s="45"/>
    </row>
    <row r="6" spans="1:10" ht="27" customHeight="1" x14ac:dyDescent="0.2">
      <c r="A6" s="94"/>
      <c r="B6" s="94"/>
      <c r="C6" s="98"/>
      <c r="D6" s="46" t="s">
        <v>98</v>
      </c>
      <c r="E6" s="46" t="s">
        <v>98</v>
      </c>
      <c r="F6" s="46" t="s">
        <v>99</v>
      </c>
      <c r="G6" s="94"/>
      <c r="H6" s="94"/>
      <c r="I6" s="45"/>
    </row>
    <row r="7" spans="1:10" ht="16.5" customHeight="1" x14ac:dyDescent="0.25">
      <c r="A7" s="47">
        <v>1</v>
      </c>
      <c r="B7" s="48" t="s">
        <v>100</v>
      </c>
      <c r="C7" s="49"/>
      <c r="D7" s="50"/>
      <c r="E7" s="50"/>
      <c r="F7" s="50"/>
      <c r="G7" s="51" t="s">
        <v>101</v>
      </c>
      <c r="H7" s="51"/>
      <c r="I7" s="45"/>
      <c r="J7" s="52"/>
    </row>
    <row r="8" spans="1:10" ht="16.5" customHeight="1" x14ac:dyDescent="0.2">
      <c r="A8" s="47"/>
      <c r="B8" s="49"/>
      <c r="C8" s="49"/>
      <c r="D8" s="50"/>
      <c r="E8" s="50"/>
      <c r="F8" s="50"/>
      <c r="G8" s="50"/>
      <c r="H8" s="50"/>
      <c r="I8" s="45"/>
      <c r="J8" s="52"/>
    </row>
    <row r="9" spans="1:10" ht="16.5" customHeight="1" x14ac:dyDescent="0.25">
      <c r="A9" s="47">
        <v>2</v>
      </c>
      <c r="B9" s="48" t="s">
        <v>102</v>
      </c>
      <c r="C9" s="49"/>
      <c r="D9" s="50"/>
      <c r="E9" s="50"/>
      <c r="F9" s="50"/>
      <c r="G9" s="50"/>
      <c r="H9" s="50"/>
      <c r="I9" s="45"/>
      <c r="J9" s="52"/>
    </row>
    <row r="10" spans="1:10" ht="16.5" customHeight="1" x14ac:dyDescent="0.2">
      <c r="A10" s="47"/>
      <c r="B10" s="50" t="s">
        <v>103</v>
      </c>
      <c r="C10" s="50">
        <v>41</v>
      </c>
      <c r="D10" s="53">
        <v>1.5</v>
      </c>
      <c r="E10" s="53">
        <v>1.5</v>
      </c>
      <c r="F10" s="53">
        <v>2.25</v>
      </c>
      <c r="G10" s="54">
        <f>F10*E10*D10*C10</f>
        <v>207.5625</v>
      </c>
      <c r="H10" s="50" t="s">
        <v>104</v>
      </c>
      <c r="I10" s="45"/>
      <c r="J10" s="52"/>
    </row>
    <row r="11" spans="1:10" ht="16.5" customHeight="1" x14ac:dyDescent="0.2">
      <c r="A11" s="47"/>
      <c r="B11" s="50"/>
      <c r="C11" s="50">
        <v>1</v>
      </c>
      <c r="D11" s="53">
        <v>40</v>
      </c>
      <c r="E11" s="53">
        <v>5</v>
      </c>
      <c r="F11" s="53">
        <v>0.25</v>
      </c>
      <c r="G11" s="54">
        <f>F11*E11*D11*C11</f>
        <v>50</v>
      </c>
      <c r="H11" s="50" t="s">
        <v>104</v>
      </c>
      <c r="I11" s="45"/>
      <c r="J11" s="52"/>
    </row>
    <row r="12" spans="1:10" ht="16.5" customHeight="1" thickBot="1" x14ac:dyDescent="0.25">
      <c r="A12" s="47"/>
      <c r="B12" s="50"/>
      <c r="C12" s="50"/>
      <c r="D12" s="53"/>
      <c r="E12" s="53"/>
      <c r="F12" s="53"/>
      <c r="G12" s="55"/>
      <c r="H12" s="50"/>
      <c r="I12" s="45"/>
      <c r="J12" s="52"/>
    </row>
    <row r="13" spans="1:10" ht="16.5" customHeight="1" thickBot="1" x14ac:dyDescent="0.25">
      <c r="A13" s="47"/>
      <c r="B13" s="50"/>
      <c r="C13" s="50"/>
      <c r="D13" s="53"/>
      <c r="E13" s="53"/>
      <c r="F13" s="56"/>
      <c r="G13" s="57">
        <f>SUM(G10:G12)</f>
        <v>257.5625</v>
      </c>
      <c r="H13" s="58"/>
      <c r="I13" s="45"/>
      <c r="J13" s="52"/>
    </row>
    <row r="14" spans="1:10" ht="16.5" customHeight="1" x14ac:dyDescent="0.2">
      <c r="A14" s="47"/>
      <c r="B14" s="50"/>
      <c r="C14" s="50"/>
      <c r="D14" s="53"/>
      <c r="E14" s="53"/>
      <c r="F14" s="53"/>
      <c r="G14" s="59"/>
      <c r="H14" s="50"/>
      <c r="I14" s="45"/>
      <c r="J14" s="52"/>
    </row>
    <row r="15" spans="1:10" ht="16.5" customHeight="1" x14ac:dyDescent="0.2">
      <c r="A15" s="47"/>
      <c r="B15" s="60" t="s">
        <v>105</v>
      </c>
      <c r="C15" s="53">
        <f>1.5*G13/100</f>
        <v>3.8634374999999999</v>
      </c>
      <c r="D15" s="53" t="s">
        <v>106</v>
      </c>
      <c r="E15" s="53"/>
      <c r="F15" s="53"/>
      <c r="G15" s="54"/>
      <c r="H15" s="50"/>
      <c r="I15" s="45"/>
      <c r="J15" s="52"/>
    </row>
    <row r="16" spans="1:10" ht="16.5" customHeight="1" x14ac:dyDescent="0.2">
      <c r="A16" s="47"/>
      <c r="B16" s="50"/>
      <c r="C16" s="50"/>
      <c r="D16" s="53"/>
      <c r="E16" s="53"/>
      <c r="F16" s="53"/>
      <c r="G16" s="54"/>
      <c r="H16" s="50"/>
      <c r="I16" s="45"/>
      <c r="J16" s="52"/>
    </row>
    <row r="17" spans="1:10" ht="16.5" customHeight="1" x14ac:dyDescent="0.25">
      <c r="A17" s="47">
        <v>3</v>
      </c>
      <c r="B17" s="48" t="s">
        <v>107</v>
      </c>
      <c r="C17" s="50"/>
      <c r="D17" s="53"/>
      <c r="E17" s="53"/>
      <c r="F17" s="53"/>
      <c r="G17" s="61"/>
      <c r="H17" s="50"/>
      <c r="I17" s="45"/>
      <c r="J17" s="52"/>
    </row>
    <row r="18" spans="1:10" ht="16.5" customHeight="1" x14ac:dyDescent="0.25">
      <c r="A18" s="47"/>
      <c r="B18" s="48"/>
      <c r="C18" s="50">
        <v>41</v>
      </c>
      <c r="D18" s="53">
        <v>1.5</v>
      </c>
      <c r="E18" s="53">
        <v>1.5</v>
      </c>
      <c r="F18" s="56">
        <v>0.25</v>
      </c>
      <c r="G18" s="61">
        <f>F18*E18*D18*C18</f>
        <v>23.0625</v>
      </c>
      <c r="H18" s="58"/>
      <c r="I18" s="45"/>
      <c r="J18" s="52"/>
    </row>
    <row r="19" spans="1:10" ht="16.5" customHeight="1" thickBot="1" x14ac:dyDescent="0.25">
      <c r="A19" s="47"/>
      <c r="B19" s="50"/>
      <c r="C19" s="50"/>
      <c r="D19" s="53"/>
      <c r="E19" s="53"/>
      <c r="F19" s="56"/>
      <c r="G19" s="61"/>
      <c r="H19" s="58"/>
      <c r="I19" s="45"/>
      <c r="J19" s="52"/>
    </row>
    <row r="20" spans="1:10" ht="16.5" customHeight="1" thickBot="1" x14ac:dyDescent="0.3">
      <c r="A20" s="47"/>
      <c r="B20" s="48"/>
      <c r="C20" s="50"/>
      <c r="D20" s="53"/>
      <c r="E20" s="53"/>
      <c r="F20" s="56"/>
      <c r="G20" s="62">
        <f>G18</f>
        <v>23.0625</v>
      </c>
      <c r="H20" s="58" t="s">
        <v>104</v>
      </c>
      <c r="I20" s="45"/>
      <c r="J20" s="52"/>
    </row>
    <row r="21" spans="1:10" ht="16.5" customHeight="1" x14ac:dyDescent="0.25">
      <c r="A21" s="47"/>
      <c r="B21" s="48"/>
      <c r="C21" s="50"/>
      <c r="D21" s="53"/>
      <c r="E21" s="53"/>
      <c r="F21" s="53"/>
      <c r="G21" s="63"/>
      <c r="H21" s="50"/>
      <c r="I21" s="45"/>
      <c r="J21" s="52"/>
    </row>
    <row r="22" spans="1:10" ht="16.5" customHeight="1" x14ac:dyDescent="0.2">
      <c r="A22" s="47"/>
      <c r="B22" s="50" t="s">
        <v>108</v>
      </c>
      <c r="C22" s="50">
        <f>116*G20/100</f>
        <v>26.752500000000001</v>
      </c>
      <c r="D22" s="53" t="s">
        <v>104</v>
      </c>
      <c r="E22" s="53"/>
      <c r="F22" s="53"/>
      <c r="G22" s="50"/>
      <c r="H22" s="50"/>
      <c r="I22" s="45"/>
      <c r="J22" s="52"/>
    </row>
    <row r="23" spans="1:10" ht="16.5" customHeight="1" x14ac:dyDescent="0.2">
      <c r="A23" s="47"/>
      <c r="B23" s="50" t="s">
        <v>109</v>
      </c>
      <c r="C23" s="50">
        <f>2*G20/100</f>
        <v>0.46124999999999999</v>
      </c>
      <c r="D23" s="53" t="s">
        <v>110</v>
      </c>
      <c r="E23" s="53"/>
      <c r="F23" s="53"/>
      <c r="G23" s="50"/>
      <c r="H23" s="50"/>
      <c r="I23" s="45"/>
      <c r="J23" s="52"/>
    </row>
    <row r="24" spans="1:10" ht="16.5" customHeight="1" x14ac:dyDescent="0.25">
      <c r="A24" s="47"/>
      <c r="B24" s="48"/>
      <c r="C24" s="50"/>
      <c r="D24" s="53"/>
      <c r="E24" s="53"/>
      <c r="F24" s="53"/>
      <c r="G24" s="50"/>
      <c r="H24" s="50"/>
      <c r="I24" s="45"/>
      <c r="J24" s="52"/>
    </row>
    <row r="25" spans="1:10" ht="16.5" customHeight="1" x14ac:dyDescent="0.25">
      <c r="A25" s="47">
        <v>4</v>
      </c>
      <c r="B25" s="48" t="s">
        <v>111</v>
      </c>
      <c r="C25" s="50"/>
      <c r="D25" s="53"/>
      <c r="E25" s="53"/>
      <c r="F25" s="53"/>
      <c r="G25" s="50"/>
      <c r="H25" s="50"/>
      <c r="I25" s="45"/>
      <c r="J25" s="52"/>
    </row>
    <row r="26" spans="1:10" ht="16.5" customHeight="1" x14ac:dyDescent="0.2">
      <c r="A26" s="47"/>
      <c r="B26" s="49"/>
      <c r="C26" s="50">
        <v>41</v>
      </c>
      <c r="D26" s="53">
        <v>1</v>
      </c>
      <c r="E26" s="53">
        <v>1</v>
      </c>
      <c r="F26" s="53">
        <v>2.5</v>
      </c>
      <c r="G26" s="64">
        <f>F26*E26*D26*C26</f>
        <v>102.5</v>
      </c>
      <c r="H26" s="50" t="s">
        <v>104</v>
      </c>
      <c r="I26" s="45"/>
      <c r="J26" s="52"/>
    </row>
    <row r="27" spans="1:10" ht="16.5" customHeight="1" thickBot="1" x14ac:dyDescent="0.25">
      <c r="A27" s="47"/>
      <c r="B27" s="49"/>
      <c r="C27" s="50"/>
      <c r="D27" s="53"/>
      <c r="E27" s="53"/>
      <c r="F27" s="53"/>
      <c r="G27" s="63"/>
      <c r="H27" s="50"/>
      <c r="I27" s="45"/>
      <c r="J27" s="52"/>
    </row>
    <row r="28" spans="1:10" ht="16.5" customHeight="1" thickBot="1" x14ac:dyDescent="0.25">
      <c r="A28" s="47"/>
      <c r="B28" s="49"/>
      <c r="C28" s="50"/>
      <c r="D28" s="53"/>
      <c r="E28" s="53"/>
      <c r="F28" s="56"/>
      <c r="G28" s="62">
        <f>G26</f>
        <v>102.5</v>
      </c>
      <c r="H28" s="58" t="s">
        <v>104</v>
      </c>
      <c r="I28" s="45"/>
      <c r="J28" s="52"/>
    </row>
    <row r="29" spans="1:10" ht="16.5" customHeight="1" x14ac:dyDescent="0.2">
      <c r="A29" s="47"/>
      <c r="B29" s="49"/>
      <c r="C29" s="50"/>
      <c r="D29" s="53"/>
      <c r="E29" s="53"/>
      <c r="F29" s="56"/>
      <c r="G29" s="53"/>
      <c r="H29" s="58"/>
      <c r="I29" s="45"/>
      <c r="J29" s="52"/>
    </row>
    <row r="30" spans="1:10" ht="16.5" customHeight="1" x14ac:dyDescent="0.2">
      <c r="A30" s="47"/>
      <c r="B30" s="50" t="s">
        <v>112</v>
      </c>
      <c r="C30" s="53">
        <f>(1440*30/100)/112</f>
        <v>3.8571428571428572</v>
      </c>
      <c r="D30" s="53" t="s">
        <v>113</v>
      </c>
      <c r="E30" s="53"/>
      <c r="F30" s="56"/>
      <c r="G30" s="53"/>
      <c r="H30" s="58"/>
      <c r="I30" s="45"/>
      <c r="J30" s="52"/>
    </row>
    <row r="31" spans="1:10" ht="16.5" customHeight="1" x14ac:dyDescent="0.2">
      <c r="A31" s="47"/>
      <c r="B31" s="50" t="s">
        <v>27</v>
      </c>
      <c r="C31" s="53">
        <f>(52*G28/100)</f>
        <v>53.3</v>
      </c>
      <c r="D31" s="53" t="s">
        <v>104</v>
      </c>
      <c r="E31" s="53"/>
      <c r="F31" s="56"/>
      <c r="G31" s="65"/>
      <c r="H31" s="58"/>
      <c r="I31" s="45"/>
      <c r="J31" s="52"/>
    </row>
    <row r="32" spans="1:10" ht="16.5" customHeight="1" x14ac:dyDescent="0.2">
      <c r="A32" s="47"/>
      <c r="B32" s="50" t="s">
        <v>30</v>
      </c>
      <c r="C32" s="53">
        <f>104*G28/100</f>
        <v>106.6</v>
      </c>
      <c r="D32" s="53" t="s">
        <v>104</v>
      </c>
      <c r="E32" s="53"/>
      <c r="F32" s="56"/>
      <c r="G32" s="65"/>
      <c r="H32" s="58"/>
      <c r="I32" s="45"/>
      <c r="J32" s="52"/>
    </row>
    <row r="33" spans="1:10" ht="16.5" customHeight="1" x14ac:dyDescent="0.2">
      <c r="A33" s="47"/>
      <c r="B33" s="50" t="s">
        <v>114</v>
      </c>
      <c r="C33" s="53">
        <v>20</v>
      </c>
      <c r="D33" s="53" t="s">
        <v>106</v>
      </c>
      <c r="E33" s="53"/>
      <c r="F33" s="56"/>
      <c r="G33" s="65"/>
      <c r="H33" s="58"/>
      <c r="I33" s="45"/>
      <c r="J33" s="52"/>
    </row>
    <row r="34" spans="1:10" ht="16.5" customHeight="1" x14ac:dyDescent="0.2">
      <c r="A34" s="47"/>
      <c r="B34" s="50" t="s">
        <v>78</v>
      </c>
      <c r="C34" s="50">
        <f>1*G28/100</f>
        <v>1.0249999999999999</v>
      </c>
      <c r="D34" s="53" t="s">
        <v>110</v>
      </c>
      <c r="E34" s="53"/>
      <c r="F34" s="56"/>
      <c r="G34" s="65"/>
      <c r="H34" s="58"/>
      <c r="I34" s="45"/>
      <c r="J34" s="52"/>
    </row>
    <row r="35" spans="1:10" ht="16.5" customHeight="1" x14ac:dyDescent="0.2">
      <c r="A35" s="47"/>
      <c r="B35" s="50" t="s">
        <v>109</v>
      </c>
      <c r="C35" s="50">
        <f>8*G28/100</f>
        <v>8.1999999999999993</v>
      </c>
      <c r="D35" s="53" t="s">
        <v>110</v>
      </c>
      <c r="E35" s="53"/>
      <c r="F35" s="56"/>
      <c r="G35" s="65"/>
      <c r="H35" s="58"/>
      <c r="I35" s="45"/>
      <c r="J35" s="52"/>
    </row>
    <row r="36" spans="1:10" ht="16.5" customHeight="1" x14ac:dyDescent="0.2">
      <c r="A36" s="47"/>
      <c r="B36" s="61"/>
      <c r="C36" s="61"/>
      <c r="D36" s="53"/>
      <c r="E36" s="53"/>
      <c r="F36" s="56"/>
      <c r="G36" s="65"/>
      <c r="H36" s="58"/>
      <c r="I36" s="45"/>
      <c r="J36" s="52"/>
    </row>
    <row r="37" spans="1:10" ht="16.5" customHeight="1" x14ac:dyDescent="0.25">
      <c r="A37" s="47">
        <v>5</v>
      </c>
      <c r="B37" s="66" t="s">
        <v>115</v>
      </c>
      <c r="C37" s="61"/>
      <c r="D37" s="53"/>
      <c r="E37" s="53"/>
      <c r="F37" s="56"/>
      <c r="G37" s="65"/>
      <c r="H37" s="58"/>
      <c r="I37" s="45"/>
      <c r="J37" s="52"/>
    </row>
    <row r="38" spans="1:10" ht="16.5" customHeight="1" thickBot="1" x14ac:dyDescent="0.25">
      <c r="A38" s="47"/>
      <c r="B38" s="61"/>
      <c r="C38" s="61">
        <v>1</v>
      </c>
      <c r="D38" s="53">
        <v>40</v>
      </c>
      <c r="E38" s="53">
        <v>5</v>
      </c>
      <c r="F38" s="56">
        <f>4.5/12</f>
        <v>0.375</v>
      </c>
      <c r="G38" s="67">
        <f>F38*E38*D38*C38</f>
        <v>75</v>
      </c>
      <c r="H38" s="58"/>
      <c r="I38" s="45"/>
      <c r="J38" s="52"/>
    </row>
    <row r="39" spans="1:10" ht="16.5" customHeight="1" thickBot="1" x14ac:dyDescent="0.25">
      <c r="A39" s="47"/>
      <c r="B39" s="61"/>
      <c r="C39" s="61"/>
      <c r="D39" s="53"/>
      <c r="E39" s="53"/>
      <c r="F39" s="56"/>
      <c r="G39" s="68">
        <f>G38</f>
        <v>75</v>
      </c>
      <c r="H39" s="58" t="s">
        <v>28</v>
      </c>
      <c r="I39" s="45"/>
      <c r="J39" s="52"/>
    </row>
    <row r="40" spans="1:10" ht="16.5" customHeight="1" x14ac:dyDescent="0.2">
      <c r="A40" s="47"/>
      <c r="B40" s="61" t="s">
        <v>112</v>
      </c>
      <c r="C40" s="69">
        <f>(1180*G39/100)/112</f>
        <v>7.9017857142857144</v>
      </c>
      <c r="D40" s="53" t="s">
        <v>113</v>
      </c>
      <c r="E40" s="53"/>
      <c r="F40" s="56"/>
      <c r="G40" s="65"/>
      <c r="H40" s="58"/>
      <c r="I40" s="45"/>
      <c r="J40" s="52"/>
    </row>
    <row r="41" spans="1:10" ht="16.5" customHeight="1" x14ac:dyDescent="0.2">
      <c r="A41" s="47"/>
      <c r="B41" s="61" t="s">
        <v>116</v>
      </c>
      <c r="C41" s="69">
        <f>48*G39/100</f>
        <v>36</v>
      </c>
      <c r="D41" s="53" t="s">
        <v>28</v>
      </c>
      <c r="E41" s="53"/>
      <c r="F41" s="56"/>
      <c r="G41" s="65"/>
      <c r="H41" s="58"/>
      <c r="I41" s="45"/>
      <c r="J41" s="52"/>
    </row>
    <row r="42" spans="1:10" ht="16.5" customHeight="1" x14ac:dyDescent="0.2">
      <c r="A42" s="47"/>
      <c r="B42" s="61" t="s">
        <v>108</v>
      </c>
      <c r="C42" s="69">
        <f>96*G39/100</f>
        <v>72</v>
      </c>
      <c r="D42" s="53" t="s">
        <v>28</v>
      </c>
      <c r="E42" s="53"/>
      <c r="F42" s="56"/>
      <c r="G42" s="65"/>
      <c r="H42" s="58"/>
      <c r="I42" s="45"/>
      <c r="J42" s="52"/>
    </row>
    <row r="43" spans="1:10" ht="16.5" customHeight="1" x14ac:dyDescent="0.2">
      <c r="A43" s="47"/>
      <c r="B43" s="61" t="s">
        <v>78</v>
      </c>
      <c r="C43" s="69">
        <f>1*G39/100</f>
        <v>0.75</v>
      </c>
      <c r="D43" s="53" t="s">
        <v>28</v>
      </c>
      <c r="E43" s="53"/>
      <c r="F43" s="56"/>
      <c r="G43" s="65"/>
      <c r="H43" s="58"/>
      <c r="I43" s="45"/>
      <c r="J43" s="52"/>
    </row>
    <row r="44" spans="1:10" ht="16.5" customHeight="1" x14ac:dyDescent="0.2">
      <c r="A44" s="47"/>
      <c r="B44" s="61" t="s">
        <v>109</v>
      </c>
      <c r="C44" s="69">
        <f>8*G39/100</f>
        <v>6</v>
      </c>
      <c r="D44" s="53" t="s">
        <v>28</v>
      </c>
      <c r="E44" s="53"/>
      <c r="F44" s="56"/>
      <c r="G44" s="65"/>
      <c r="H44" s="58"/>
      <c r="I44" s="45"/>
      <c r="J44" s="52"/>
    </row>
    <row r="45" spans="1:10" ht="16.5" customHeight="1" x14ac:dyDescent="0.2">
      <c r="A45" s="47"/>
      <c r="B45" s="61"/>
      <c r="C45" s="61"/>
      <c r="D45" s="53"/>
      <c r="E45" s="53"/>
      <c r="F45" s="56"/>
      <c r="G45" s="65"/>
      <c r="H45" s="58"/>
      <c r="I45" s="45"/>
      <c r="J45" s="52"/>
    </row>
    <row r="46" spans="1:10" ht="16.5" customHeight="1" x14ac:dyDescent="0.25">
      <c r="A46" s="47">
        <v>6</v>
      </c>
      <c r="B46" s="66" t="s">
        <v>117</v>
      </c>
      <c r="C46" s="61"/>
      <c r="D46" s="53"/>
      <c r="E46" s="53"/>
      <c r="F46" s="56"/>
      <c r="G46" s="65"/>
      <c r="H46" s="58"/>
      <c r="I46" s="45"/>
      <c r="J46" s="52"/>
    </row>
    <row r="47" spans="1:10" ht="16.5" customHeight="1" thickBot="1" x14ac:dyDescent="0.25">
      <c r="A47" s="47"/>
      <c r="B47" s="61"/>
      <c r="C47" s="61">
        <v>1</v>
      </c>
      <c r="D47" s="53">
        <v>41</v>
      </c>
      <c r="E47" s="53">
        <v>5</v>
      </c>
      <c r="F47" s="56">
        <f>1.5/12</f>
        <v>0.125</v>
      </c>
      <c r="G47" s="67">
        <f>F47*E47*D47*C47</f>
        <v>25.625</v>
      </c>
      <c r="H47" s="58"/>
      <c r="I47" s="45"/>
      <c r="J47" s="52"/>
    </row>
    <row r="48" spans="1:10" ht="16.5" customHeight="1" thickBot="1" x14ac:dyDescent="0.25">
      <c r="A48" s="47"/>
      <c r="B48" s="61"/>
      <c r="C48" s="61"/>
      <c r="D48" s="53"/>
      <c r="E48" s="53"/>
      <c r="F48" s="56"/>
      <c r="G48" s="68">
        <f>G47</f>
        <v>25.625</v>
      </c>
      <c r="H48" s="58" t="s">
        <v>28</v>
      </c>
      <c r="I48" s="45"/>
      <c r="J48" s="52"/>
    </row>
    <row r="49" spans="1:10" ht="16.5" customHeight="1" x14ac:dyDescent="0.2">
      <c r="A49" s="47"/>
      <c r="B49" s="61" t="s">
        <v>112</v>
      </c>
      <c r="C49" s="69">
        <f>(1440*G48/100)/112</f>
        <v>3.2946428571428572</v>
      </c>
      <c r="D49" s="53" t="s">
        <v>113</v>
      </c>
      <c r="E49" s="53"/>
      <c r="F49" s="56"/>
      <c r="G49" s="65"/>
      <c r="H49" s="58"/>
      <c r="I49" s="45"/>
      <c r="J49" s="52"/>
    </row>
    <row r="50" spans="1:10" ht="16.5" customHeight="1" x14ac:dyDescent="0.2">
      <c r="A50" s="47"/>
      <c r="B50" s="61" t="s">
        <v>116</v>
      </c>
      <c r="C50" s="69">
        <f>48*G48/100</f>
        <v>12.3</v>
      </c>
      <c r="D50" s="53" t="s">
        <v>28</v>
      </c>
      <c r="E50" s="53"/>
      <c r="F50" s="56"/>
      <c r="G50" s="65"/>
      <c r="H50" s="58"/>
      <c r="I50" s="45"/>
      <c r="J50" s="52"/>
    </row>
    <row r="51" spans="1:10" ht="16.5" customHeight="1" x14ac:dyDescent="0.2">
      <c r="A51" s="47"/>
      <c r="B51" s="61" t="s">
        <v>108</v>
      </c>
      <c r="C51" s="69">
        <f>96*G48/100</f>
        <v>24.6</v>
      </c>
      <c r="D51" s="53" t="s">
        <v>28</v>
      </c>
      <c r="E51" s="53"/>
      <c r="F51" s="56"/>
      <c r="G51" s="65"/>
      <c r="H51" s="58"/>
      <c r="I51" s="45"/>
      <c r="J51" s="52"/>
    </row>
    <row r="52" spans="1:10" ht="16.5" customHeight="1" x14ac:dyDescent="0.2">
      <c r="A52" s="47"/>
      <c r="B52" s="61" t="s">
        <v>78</v>
      </c>
      <c r="C52" s="69">
        <f>1*G48/100</f>
        <v>0.25624999999999998</v>
      </c>
      <c r="D52" s="53" t="s">
        <v>28</v>
      </c>
      <c r="E52" s="53"/>
      <c r="F52" s="56"/>
      <c r="G52" s="65"/>
      <c r="H52" s="58"/>
      <c r="I52" s="45"/>
      <c r="J52" s="52"/>
    </row>
    <row r="53" spans="1:10" ht="16.5" customHeight="1" x14ac:dyDescent="0.2">
      <c r="A53" s="47"/>
      <c r="B53" s="61" t="s">
        <v>109</v>
      </c>
      <c r="C53" s="69">
        <f>8*G48/100</f>
        <v>2.0499999999999998</v>
      </c>
      <c r="D53" s="53" t="s">
        <v>28</v>
      </c>
      <c r="E53" s="53"/>
      <c r="F53" s="56"/>
      <c r="G53" s="65"/>
      <c r="H53" s="58"/>
      <c r="I53" s="45"/>
      <c r="J53" s="52"/>
    </row>
    <row r="54" spans="1:10" ht="16.5" customHeight="1" x14ac:dyDescent="0.2">
      <c r="A54" s="47"/>
      <c r="B54" s="61"/>
      <c r="C54" s="69"/>
      <c r="D54" s="53"/>
      <c r="E54" s="53"/>
      <c r="F54" s="56"/>
      <c r="G54" s="65"/>
      <c r="H54" s="58"/>
      <c r="I54" s="45"/>
      <c r="J54" s="52"/>
    </row>
    <row r="55" spans="1:10" ht="16.5" customHeight="1" x14ac:dyDescent="0.25">
      <c r="A55" s="47">
        <v>7</v>
      </c>
      <c r="B55" s="66" t="s">
        <v>118</v>
      </c>
      <c r="C55" s="61"/>
      <c r="D55" s="53"/>
      <c r="E55" s="53"/>
      <c r="F55" s="56"/>
      <c r="G55" s="65"/>
      <c r="H55" s="58"/>
      <c r="I55" s="45"/>
      <c r="J55" s="52"/>
    </row>
    <row r="56" spans="1:10" ht="16.5" customHeight="1" x14ac:dyDescent="0.2">
      <c r="A56" s="47"/>
      <c r="B56" s="61"/>
      <c r="C56" s="69">
        <v>1</v>
      </c>
      <c r="D56" s="53">
        <v>5</v>
      </c>
      <c r="E56" s="53">
        <v>3</v>
      </c>
      <c r="F56" s="56">
        <v>0.5</v>
      </c>
      <c r="G56" s="65">
        <f>F56*E56*D56*C56</f>
        <v>7.5</v>
      </c>
      <c r="H56" s="58"/>
      <c r="I56" s="45"/>
      <c r="J56" s="52"/>
    </row>
    <row r="57" spans="1:10" ht="16.5" customHeight="1" x14ac:dyDescent="0.2">
      <c r="A57" s="47"/>
      <c r="B57" s="61"/>
      <c r="C57" s="69">
        <v>1</v>
      </c>
      <c r="D57" s="53">
        <v>5</v>
      </c>
      <c r="E57" s="53">
        <v>2</v>
      </c>
      <c r="F57" s="56">
        <v>0.5</v>
      </c>
      <c r="G57" s="65">
        <f>F57*E57*D57*C57</f>
        <v>5</v>
      </c>
      <c r="H57" s="58"/>
      <c r="I57" s="45"/>
      <c r="J57" s="52"/>
    </row>
    <row r="58" spans="1:10" ht="16.5" customHeight="1" thickBot="1" x14ac:dyDescent="0.25">
      <c r="A58" s="47"/>
      <c r="B58" s="61"/>
      <c r="C58" s="69">
        <v>1</v>
      </c>
      <c r="D58" s="53">
        <v>5</v>
      </c>
      <c r="E58" s="53">
        <v>1</v>
      </c>
      <c r="F58" s="56">
        <v>0.5</v>
      </c>
      <c r="G58" s="67">
        <f>F58*E58*D58*C58</f>
        <v>2.5</v>
      </c>
      <c r="H58" s="58"/>
      <c r="I58" s="45"/>
      <c r="J58" s="52"/>
    </row>
    <row r="59" spans="1:10" ht="16.5" customHeight="1" thickBot="1" x14ac:dyDescent="0.25">
      <c r="A59" s="47"/>
      <c r="B59" s="61"/>
      <c r="C59" s="69"/>
      <c r="D59" s="53"/>
      <c r="E59" s="53"/>
      <c r="F59" s="56"/>
      <c r="G59" s="68">
        <f>SUM(G56:G58)</f>
        <v>15</v>
      </c>
      <c r="H59" s="58" t="s">
        <v>28</v>
      </c>
      <c r="I59" s="45"/>
      <c r="J59" s="52"/>
    </row>
    <row r="60" spans="1:10" ht="16.5" customHeight="1" x14ac:dyDescent="0.2">
      <c r="A60" s="47"/>
      <c r="B60" s="61" t="s">
        <v>119</v>
      </c>
      <c r="C60" s="70">
        <f>1350*G59/100</f>
        <v>202.5</v>
      </c>
      <c r="D60" s="53"/>
      <c r="E60" s="53"/>
      <c r="F60" s="56"/>
      <c r="G60" s="65"/>
      <c r="H60" s="58"/>
      <c r="I60" s="45"/>
      <c r="J60" s="52"/>
    </row>
    <row r="61" spans="1:10" ht="16.5" customHeight="1" x14ac:dyDescent="0.2">
      <c r="A61" s="47"/>
      <c r="B61" s="61" t="s">
        <v>112</v>
      </c>
      <c r="C61" s="69">
        <f>(630*G59/100)/112</f>
        <v>0.84375</v>
      </c>
      <c r="D61" s="53"/>
      <c r="E61" s="53"/>
      <c r="F61" s="56"/>
      <c r="G61" s="65"/>
      <c r="H61" s="58"/>
      <c r="I61" s="45"/>
      <c r="J61" s="52"/>
    </row>
    <row r="62" spans="1:10" ht="16.5" customHeight="1" x14ac:dyDescent="0.2">
      <c r="A62" s="47"/>
      <c r="B62" s="61" t="s">
        <v>27</v>
      </c>
      <c r="C62" s="69">
        <f>28*G59/100</f>
        <v>4.2</v>
      </c>
      <c r="D62" s="53"/>
      <c r="E62" s="53"/>
      <c r="F62" s="56"/>
      <c r="G62" s="65"/>
      <c r="H62" s="58"/>
      <c r="I62" s="45"/>
      <c r="J62" s="52"/>
    </row>
    <row r="63" spans="1:10" ht="16.5" customHeight="1" x14ac:dyDescent="0.2">
      <c r="A63" s="47"/>
      <c r="B63" s="61" t="s">
        <v>78</v>
      </c>
      <c r="C63" s="69">
        <f>4*G59/100</f>
        <v>0.6</v>
      </c>
      <c r="D63" s="53"/>
      <c r="E63" s="53"/>
      <c r="F63" s="56"/>
      <c r="G63" s="65"/>
      <c r="H63" s="58"/>
      <c r="I63" s="45"/>
      <c r="J63" s="52"/>
    </row>
    <row r="64" spans="1:10" ht="16.5" customHeight="1" x14ac:dyDescent="0.2">
      <c r="A64" s="47"/>
      <c r="B64" s="61" t="s">
        <v>109</v>
      </c>
      <c r="C64" s="69">
        <f>6*G59/100</f>
        <v>0.9</v>
      </c>
      <c r="D64" s="53"/>
      <c r="E64" s="53"/>
      <c r="F64" s="56"/>
      <c r="G64" s="65"/>
      <c r="H64" s="58"/>
      <c r="I64" s="45"/>
      <c r="J64" s="52"/>
    </row>
    <row r="65" spans="1:10" ht="16.5" customHeight="1" x14ac:dyDescent="0.2">
      <c r="A65" s="47"/>
      <c r="B65" s="61"/>
      <c r="C65" s="69"/>
      <c r="D65" s="53"/>
      <c r="E65" s="53"/>
      <c r="F65" s="56"/>
      <c r="G65" s="65"/>
      <c r="H65" s="58"/>
      <c r="I65" s="45"/>
      <c r="J65" s="52"/>
    </row>
    <row r="66" spans="1:10" ht="16.5" customHeight="1" x14ac:dyDescent="0.25">
      <c r="A66" s="47">
        <v>8</v>
      </c>
      <c r="B66" s="66" t="s">
        <v>120</v>
      </c>
      <c r="C66" s="61"/>
      <c r="D66" s="53"/>
      <c r="E66" s="53"/>
      <c r="F66" s="56"/>
      <c r="G66" s="65"/>
      <c r="H66" s="58"/>
      <c r="I66" s="45"/>
      <c r="J66" s="52"/>
    </row>
    <row r="67" spans="1:10" ht="16.5" customHeight="1" thickBot="1" x14ac:dyDescent="0.25">
      <c r="A67" s="47"/>
      <c r="B67" s="61"/>
      <c r="C67" s="69">
        <v>0.5</v>
      </c>
      <c r="D67" s="53">
        <v>5.5</v>
      </c>
      <c r="E67" s="53">
        <v>5</v>
      </c>
      <c r="F67" s="56">
        <v>2</v>
      </c>
      <c r="G67" s="67">
        <f>F67*E67*D67*C67</f>
        <v>27.5</v>
      </c>
      <c r="H67" s="58"/>
      <c r="I67" s="45"/>
      <c r="J67" s="52"/>
    </row>
    <row r="68" spans="1:10" ht="16.5" customHeight="1" thickBot="1" x14ac:dyDescent="0.25">
      <c r="A68" s="47"/>
      <c r="B68" s="61"/>
      <c r="C68" s="69"/>
      <c r="D68" s="53"/>
      <c r="E68" s="53"/>
      <c r="F68" s="56"/>
      <c r="G68" s="68">
        <f>G67</f>
        <v>27.5</v>
      </c>
      <c r="H68" s="58" t="s">
        <v>28</v>
      </c>
      <c r="I68" s="45"/>
      <c r="J68" s="52"/>
    </row>
    <row r="69" spans="1:10" ht="16.5" customHeight="1" x14ac:dyDescent="0.2">
      <c r="A69" s="47"/>
      <c r="B69" s="61" t="s">
        <v>119</v>
      </c>
      <c r="C69" s="70">
        <f>1350*G68/100</f>
        <v>371.25</v>
      </c>
      <c r="D69" s="53"/>
      <c r="E69" s="53"/>
      <c r="F69" s="56"/>
      <c r="G69" s="65"/>
      <c r="H69" s="58"/>
      <c r="I69" s="45"/>
      <c r="J69" s="52"/>
    </row>
    <row r="70" spans="1:10" ht="16.5" customHeight="1" x14ac:dyDescent="0.2">
      <c r="A70" s="47"/>
      <c r="B70" s="61" t="s">
        <v>112</v>
      </c>
      <c r="C70" s="69">
        <f>(630*G68/100)/112</f>
        <v>1.546875</v>
      </c>
      <c r="D70" s="53"/>
      <c r="E70" s="53"/>
      <c r="F70" s="56"/>
      <c r="G70" s="65"/>
      <c r="H70" s="58"/>
      <c r="I70" s="45"/>
      <c r="J70" s="52"/>
    </row>
    <row r="71" spans="1:10" ht="16.5" customHeight="1" x14ac:dyDescent="0.2">
      <c r="A71" s="47"/>
      <c r="B71" s="61" t="s">
        <v>27</v>
      </c>
      <c r="C71" s="69">
        <f>28*G68/100</f>
        <v>7.7</v>
      </c>
      <c r="D71" s="53"/>
      <c r="E71" s="53"/>
      <c r="F71" s="56"/>
      <c r="G71" s="65"/>
      <c r="H71" s="58"/>
      <c r="I71" s="45"/>
      <c r="J71" s="52"/>
    </row>
    <row r="72" spans="1:10" ht="16.5" customHeight="1" x14ac:dyDescent="0.2">
      <c r="A72" s="47"/>
      <c r="B72" s="61" t="s">
        <v>78</v>
      </c>
      <c r="C72" s="69">
        <f>4*G68/100</f>
        <v>1.1000000000000001</v>
      </c>
      <c r="D72" s="53"/>
      <c r="E72" s="53"/>
      <c r="F72" s="56"/>
      <c r="G72" s="65"/>
      <c r="H72" s="58"/>
      <c r="I72" s="45"/>
      <c r="J72" s="52"/>
    </row>
    <row r="73" spans="1:10" ht="16.5" customHeight="1" x14ac:dyDescent="0.2">
      <c r="A73" s="47"/>
      <c r="B73" s="61" t="s">
        <v>109</v>
      </c>
      <c r="C73" s="69">
        <f>6*G68/100</f>
        <v>1.65</v>
      </c>
      <c r="D73" s="53"/>
      <c r="E73" s="53"/>
      <c r="F73" s="56"/>
      <c r="G73" s="65"/>
      <c r="H73" s="58"/>
      <c r="I73" s="45"/>
      <c r="J73" s="52"/>
    </row>
    <row r="74" spans="1:10" ht="16.5" customHeight="1" x14ac:dyDescent="0.2">
      <c r="A74" s="47"/>
      <c r="B74" s="61"/>
      <c r="C74" s="69"/>
      <c r="D74" s="53"/>
      <c r="E74" s="53"/>
      <c r="F74" s="56"/>
      <c r="G74" s="65"/>
      <c r="H74" s="58"/>
      <c r="I74" s="45"/>
      <c r="J74" s="52"/>
    </row>
    <row r="75" spans="1:10" ht="16.5" customHeight="1" x14ac:dyDescent="0.25">
      <c r="A75" s="47">
        <v>9</v>
      </c>
      <c r="B75" s="66" t="s">
        <v>121</v>
      </c>
      <c r="C75" s="61"/>
      <c r="D75" s="53"/>
      <c r="E75" s="53"/>
      <c r="F75" s="56"/>
      <c r="G75" s="65"/>
      <c r="H75" s="58"/>
      <c r="I75" s="45"/>
      <c r="J75" s="52"/>
    </row>
    <row r="76" spans="1:10" ht="16.5" customHeight="1" x14ac:dyDescent="0.2">
      <c r="A76" s="47"/>
      <c r="B76" s="61" t="s">
        <v>122</v>
      </c>
      <c r="C76" s="69">
        <v>12</v>
      </c>
      <c r="D76" s="53"/>
      <c r="E76" s="53"/>
      <c r="F76" s="56">
        <v>3.5</v>
      </c>
      <c r="G76" s="65">
        <f>F76*C76</f>
        <v>42</v>
      </c>
      <c r="H76" s="58"/>
      <c r="I76" s="45"/>
      <c r="J76" s="52"/>
    </row>
    <row r="77" spans="1:10" ht="16.5" customHeight="1" thickBot="1" x14ac:dyDescent="0.25">
      <c r="A77" s="47"/>
      <c r="B77" s="61" t="s">
        <v>123</v>
      </c>
      <c r="C77" s="69">
        <v>8</v>
      </c>
      <c r="D77" s="53"/>
      <c r="E77" s="53"/>
      <c r="F77" s="56">
        <v>6</v>
      </c>
      <c r="G77" s="67">
        <f>F77*C77</f>
        <v>48</v>
      </c>
      <c r="H77" s="58"/>
      <c r="I77" s="45"/>
      <c r="J77" s="52"/>
    </row>
    <row r="78" spans="1:10" ht="16.5" customHeight="1" thickBot="1" x14ac:dyDescent="0.25">
      <c r="A78" s="47"/>
      <c r="B78" s="61"/>
      <c r="C78" s="69"/>
      <c r="D78" s="53"/>
      <c r="E78" s="53"/>
      <c r="F78" s="56"/>
      <c r="G78" s="68">
        <f>SUM(G76:G77)</f>
        <v>90</v>
      </c>
      <c r="H78" s="58" t="s">
        <v>45</v>
      </c>
      <c r="I78" s="45"/>
      <c r="J78" s="52"/>
    </row>
    <row r="79" spans="1:10" ht="16.5" customHeight="1" x14ac:dyDescent="0.2">
      <c r="A79" s="47"/>
      <c r="B79" s="61"/>
      <c r="C79" s="69"/>
      <c r="D79" s="53"/>
      <c r="E79" s="53"/>
      <c r="F79" s="56"/>
      <c r="G79" s="65"/>
      <c r="H79" s="58"/>
      <c r="I79" s="45"/>
      <c r="J79" s="52"/>
    </row>
    <row r="80" spans="1:10" ht="16.5" customHeight="1" x14ac:dyDescent="0.25">
      <c r="A80" s="47">
        <v>10</v>
      </c>
      <c r="B80" s="66" t="s">
        <v>124</v>
      </c>
      <c r="C80" s="61"/>
      <c r="D80" s="53"/>
      <c r="E80" s="53"/>
      <c r="F80" s="56"/>
      <c r="G80" s="65"/>
      <c r="H80" s="58"/>
      <c r="I80" s="45"/>
      <c r="J80" s="52"/>
    </row>
    <row r="81" spans="1:10" ht="16.5" customHeight="1" x14ac:dyDescent="0.25">
      <c r="A81" s="71"/>
      <c r="B81" s="61" t="s">
        <v>125</v>
      </c>
      <c r="C81" s="61">
        <v>3</v>
      </c>
      <c r="D81" s="53">
        <f t="shared" ref="D81:E84" si="0">4/12</f>
        <v>0.33333333333333331</v>
      </c>
      <c r="E81" s="53">
        <f t="shared" si="0"/>
        <v>0.33333333333333331</v>
      </c>
      <c r="F81" s="56">
        <v>14</v>
      </c>
      <c r="G81" s="69">
        <f>F81*E81*D81*C81</f>
        <v>4.6666666666666661</v>
      </c>
      <c r="H81" s="58"/>
      <c r="I81" s="45"/>
      <c r="J81" s="52"/>
    </row>
    <row r="82" spans="1:10" ht="16.5" customHeight="1" x14ac:dyDescent="0.2">
      <c r="A82" s="47"/>
      <c r="B82" s="61" t="s">
        <v>126</v>
      </c>
      <c r="C82" s="61">
        <v>14</v>
      </c>
      <c r="D82" s="53">
        <f t="shared" si="0"/>
        <v>0.33333333333333331</v>
      </c>
      <c r="E82" s="53">
        <f t="shared" si="0"/>
        <v>0.33333333333333331</v>
      </c>
      <c r="F82" s="56">
        <v>11</v>
      </c>
      <c r="G82" s="69">
        <f t="shared" ref="G82:G120" si="1">F82*E82*D82*C82</f>
        <v>17.111111111111111</v>
      </c>
      <c r="H82" s="58"/>
      <c r="I82" s="45"/>
      <c r="J82" s="52"/>
    </row>
    <row r="83" spans="1:10" ht="16.5" customHeight="1" x14ac:dyDescent="0.2">
      <c r="A83" s="47"/>
      <c r="B83" s="61" t="s">
        <v>127</v>
      </c>
      <c r="C83" s="61">
        <v>14</v>
      </c>
      <c r="D83" s="53">
        <f t="shared" si="0"/>
        <v>0.33333333333333331</v>
      </c>
      <c r="E83" s="53">
        <f t="shared" si="0"/>
        <v>0.33333333333333331</v>
      </c>
      <c r="F83" s="56">
        <v>10</v>
      </c>
      <c r="G83" s="69">
        <f t="shared" si="1"/>
        <v>15.555555555555554</v>
      </c>
      <c r="H83" s="58"/>
      <c r="I83" s="45"/>
      <c r="J83" s="52"/>
    </row>
    <row r="84" spans="1:10" ht="16.5" customHeight="1" x14ac:dyDescent="0.2">
      <c r="A84" s="47"/>
      <c r="B84" s="61" t="s">
        <v>128</v>
      </c>
      <c r="C84" s="61">
        <v>5</v>
      </c>
      <c r="D84" s="53">
        <f t="shared" si="0"/>
        <v>0.33333333333333331</v>
      </c>
      <c r="E84" s="53">
        <f t="shared" si="0"/>
        <v>0.33333333333333331</v>
      </c>
      <c r="F84" s="56">
        <v>8</v>
      </c>
      <c r="G84" s="69">
        <f t="shared" si="1"/>
        <v>4.4444444444444446</v>
      </c>
      <c r="H84" s="58"/>
      <c r="I84" s="45"/>
      <c r="J84" s="52"/>
    </row>
    <row r="85" spans="1:10" ht="16.5" customHeight="1" x14ac:dyDescent="0.2">
      <c r="A85" s="47"/>
      <c r="B85" s="61" t="s">
        <v>129</v>
      </c>
      <c r="C85" s="61">
        <v>42</v>
      </c>
      <c r="D85" s="53">
        <v>0.25</v>
      </c>
      <c r="E85" s="53">
        <v>0.25</v>
      </c>
      <c r="F85" s="56">
        <v>5</v>
      </c>
      <c r="G85" s="69">
        <f t="shared" si="1"/>
        <v>13.125</v>
      </c>
      <c r="H85" s="58"/>
      <c r="I85" s="45"/>
      <c r="J85" s="52"/>
    </row>
    <row r="86" spans="1:10" ht="16.5" customHeight="1" x14ac:dyDescent="0.2">
      <c r="A86" s="47"/>
      <c r="B86" s="61" t="s">
        <v>129</v>
      </c>
      <c r="C86" s="61">
        <v>18</v>
      </c>
      <c r="D86" s="53">
        <v>0.25</v>
      </c>
      <c r="E86" s="53">
        <v>0.25</v>
      </c>
      <c r="F86" s="56">
        <v>7.5</v>
      </c>
      <c r="G86" s="69">
        <f t="shared" si="1"/>
        <v>8.4375</v>
      </c>
      <c r="H86" s="58"/>
      <c r="I86" s="45"/>
      <c r="J86" s="52"/>
    </row>
    <row r="87" spans="1:10" ht="16.5" customHeight="1" x14ac:dyDescent="0.2">
      <c r="A87" s="47"/>
      <c r="B87" s="61" t="s">
        <v>130</v>
      </c>
      <c r="C87" s="70">
        <v>5</v>
      </c>
      <c r="D87" s="53">
        <f>4/12</f>
        <v>0.33333333333333331</v>
      </c>
      <c r="E87" s="53">
        <f>2/12</f>
        <v>0.16666666666666666</v>
      </c>
      <c r="F87" s="56">
        <v>30</v>
      </c>
      <c r="G87" s="69">
        <f t="shared" si="1"/>
        <v>8.3333333333333321</v>
      </c>
      <c r="H87" s="58"/>
      <c r="I87" s="45"/>
      <c r="J87" s="52"/>
    </row>
    <row r="88" spans="1:10" ht="16.5" customHeight="1" x14ac:dyDescent="0.2">
      <c r="A88" s="47"/>
      <c r="B88" s="61" t="s">
        <v>131</v>
      </c>
      <c r="C88" s="70">
        <v>2</v>
      </c>
      <c r="D88" s="53">
        <f>4/12</f>
        <v>0.33333333333333331</v>
      </c>
      <c r="E88" s="53">
        <f>2/12</f>
        <v>0.16666666666666666</v>
      </c>
      <c r="F88" s="56">
        <v>30</v>
      </c>
      <c r="G88" s="69">
        <f t="shared" si="1"/>
        <v>3.333333333333333</v>
      </c>
      <c r="H88" s="58"/>
      <c r="I88" s="45"/>
      <c r="J88" s="52"/>
    </row>
    <row r="89" spans="1:10" ht="16.5" customHeight="1" x14ac:dyDescent="0.2">
      <c r="A89" s="47"/>
      <c r="B89" s="61" t="s">
        <v>131</v>
      </c>
      <c r="C89" s="70">
        <v>2</v>
      </c>
      <c r="D89" s="53">
        <f>4/12</f>
        <v>0.33333333333333331</v>
      </c>
      <c r="E89" s="53">
        <f>2/12</f>
        <v>0.16666666666666666</v>
      </c>
      <c r="F89" s="56">
        <v>46.5</v>
      </c>
      <c r="G89" s="69">
        <f t="shared" si="1"/>
        <v>5.1666666666666661</v>
      </c>
      <c r="H89" s="58"/>
      <c r="I89" s="45"/>
      <c r="J89" s="52"/>
    </row>
    <row r="90" spans="1:10" ht="16.5" customHeight="1" x14ac:dyDescent="0.2">
      <c r="A90" s="47"/>
      <c r="B90" s="61" t="s">
        <v>132</v>
      </c>
      <c r="C90" s="61">
        <v>5</v>
      </c>
      <c r="D90" s="53">
        <f t="shared" ref="D90:D98" si="2">4/12</f>
        <v>0.33333333333333331</v>
      </c>
      <c r="E90" s="53">
        <f t="shared" ref="E90:E112" si="3">2/12</f>
        <v>0.16666666666666666</v>
      </c>
      <c r="F90" s="56">
        <v>30</v>
      </c>
      <c r="G90" s="69">
        <f t="shared" si="1"/>
        <v>8.3333333333333321</v>
      </c>
      <c r="H90" s="58"/>
      <c r="I90" s="45"/>
      <c r="J90" s="52"/>
    </row>
    <row r="91" spans="1:10" ht="16.5" customHeight="1" x14ac:dyDescent="0.2">
      <c r="A91" s="47"/>
      <c r="B91" s="61" t="s">
        <v>133</v>
      </c>
      <c r="C91" s="61">
        <v>18</v>
      </c>
      <c r="D91" s="53">
        <f t="shared" si="2"/>
        <v>0.33333333333333331</v>
      </c>
      <c r="E91" s="53">
        <f t="shared" si="3"/>
        <v>0.16666666666666666</v>
      </c>
      <c r="F91" s="56">
        <v>3.25</v>
      </c>
      <c r="G91" s="69">
        <f t="shared" si="1"/>
        <v>3.2499999999999996</v>
      </c>
      <c r="H91" s="58"/>
      <c r="I91" s="45"/>
      <c r="J91" s="52"/>
    </row>
    <row r="92" spans="1:10" ht="16.5" customHeight="1" x14ac:dyDescent="0.2">
      <c r="A92" s="47"/>
      <c r="B92" s="61" t="s">
        <v>134</v>
      </c>
      <c r="C92" s="61">
        <v>2</v>
      </c>
      <c r="D92" s="53">
        <f t="shared" si="2"/>
        <v>0.33333333333333331</v>
      </c>
      <c r="E92" s="53">
        <f t="shared" si="3"/>
        <v>0.16666666666666666</v>
      </c>
      <c r="F92" s="56">
        <v>6</v>
      </c>
      <c r="G92" s="69">
        <f t="shared" si="1"/>
        <v>0.66666666666666663</v>
      </c>
      <c r="H92" s="58"/>
      <c r="I92" s="45"/>
      <c r="J92" s="52"/>
    </row>
    <row r="93" spans="1:10" ht="16.5" customHeight="1" x14ac:dyDescent="0.2">
      <c r="A93" s="47"/>
      <c r="B93" s="61" t="s">
        <v>135</v>
      </c>
      <c r="C93" s="61">
        <v>2</v>
      </c>
      <c r="D93" s="53">
        <f t="shared" si="2"/>
        <v>0.33333333333333331</v>
      </c>
      <c r="E93" s="53">
        <f t="shared" si="3"/>
        <v>0.16666666666666666</v>
      </c>
      <c r="F93" s="56">
        <v>40</v>
      </c>
      <c r="G93" s="69">
        <f t="shared" si="1"/>
        <v>4.4444444444444438</v>
      </c>
      <c r="H93" s="58"/>
      <c r="I93" s="45"/>
      <c r="J93" s="52"/>
    </row>
    <row r="94" spans="1:10" ht="16.5" customHeight="1" x14ac:dyDescent="0.2">
      <c r="A94" s="47"/>
      <c r="B94" s="61" t="s">
        <v>136</v>
      </c>
      <c r="C94" s="61">
        <v>10</v>
      </c>
      <c r="D94" s="53">
        <f t="shared" si="2"/>
        <v>0.33333333333333331</v>
      </c>
      <c r="E94" s="53">
        <f t="shared" si="3"/>
        <v>0.16666666666666666</v>
      </c>
      <c r="F94" s="56">
        <v>16</v>
      </c>
      <c r="G94" s="69">
        <f t="shared" si="1"/>
        <v>8.8888888888888893</v>
      </c>
      <c r="H94" s="58"/>
      <c r="I94" s="45"/>
      <c r="J94" s="52"/>
    </row>
    <row r="95" spans="1:10" ht="16.5" customHeight="1" x14ac:dyDescent="0.2">
      <c r="A95" s="47"/>
      <c r="B95" s="61" t="s">
        <v>137</v>
      </c>
      <c r="C95" s="61">
        <v>13</v>
      </c>
      <c r="D95" s="53">
        <f t="shared" si="2"/>
        <v>0.33333333333333331</v>
      </c>
      <c r="E95" s="53">
        <f t="shared" si="3"/>
        <v>0.16666666666666666</v>
      </c>
      <c r="F95" s="56">
        <v>5.25</v>
      </c>
      <c r="G95" s="69">
        <f t="shared" si="1"/>
        <v>3.7916666666666661</v>
      </c>
      <c r="H95" s="58"/>
      <c r="I95" s="45"/>
      <c r="J95" s="52"/>
    </row>
    <row r="96" spans="1:10" ht="16.5" customHeight="1" x14ac:dyDescent="0.2">
      <c r="A96" s="47"/>
      <c r="B96" s="61" t="s">
        <v>138</v>
      </c>
      <c r="C96" s="61">
        <v>5</v>
      </c>
      <c r="D96" s="53">
        <f t="shared" si="2"/>
        <v>0.33333333333333331</v>
      </c>
      <c r="E96" s="53">
        <f t="shared" si="3"/>
        <v>0.16666666666666666</v>
      </c>
      <c r="F96" s="56">
        <v>11</v>
      </c>
      <c r="G96" s="69">
        <f t="shared" si="1"/>
        <v>3.0555555555555554</v>
      </c>
      <c r="H96" s="58"/>
      <c r="I96" s="45"/>
      <c r="J96" s="52"/>
    </row>
    <row r="97" spans="1:10" ht="16.5" customHeight="1" x14ac:dyDescent="0.2">
      <c r="A97" s="47"/>
      <c r="B97" s="61" t="s">
        <v>139</v>
      </c>
      <c r="C97" s="61">
        <v>2</v>
      </c>
      <c r="D97" s="53">
        <f t="shared" si="2"/>
        <v>0.33333333333333331</v>
      </c>
      <c r="E97" s="53">
        <f t="shared" si="3"/>
        <v>0.16666666666666666</v>
      </c>
      <c r="F97" s="56">
        <v>3</v>
      </c>
      <c r="G97" s="69">
        <f t="shared" si="1"/>
        <v>0.33333333333333331</v>
      </c>
      <c r="H97" s="58"/>
      <c r="I97" s="45"/>
      <c r="J97" s="52"/>
    </row>
    <row r="98" spans="1:10" ht="16.5" customHeight="1" x14ac:dyDescent="0.2">
      <c r="A98" s="47"/>
      <c r="B98" s="61" t="s">
        <v>140</v>
      </c>
      <c r="C98" s="61">
        <v>5</v>
      </c>
      <c r="D98" s="53">
        <f t="shared" si="2"/>
        <v>0.33333333333333331</v>
      </c>
      <c r="E98" s="53">
        <f t="shared" si="3"/>
        <v>0.16666666666666666</v>
      </c>
      <c r="F98" s="56">
        <v>14</v>
      </c>
      <c r="G98" s="69">
        <f t="shared" si="1"/>
        <v>3.8888888888888884</v>
      </c>
      <c r="H98" s="58"/>
      <c r="I98" s="45"/>
      <c r="J98" s="52"/>
    </row>
    <row r="99" spans="1:10" ht="16.5" customHeight="1" x14ac:dyDescent="0.2">
      <c r="A99" s="47"/>
      <c r="B99" s="61" t="s">
        <v>141</v>
      </c>
      <c r="C99" s="61">
        <v>4</v>
      </c>
      <c r="D99" s="53">
        <v>0.25</v>
      </c>
      <c r="E99" s="53">
        <f t="shared" si="3"/>
        <v>0.16666666666666666</v>
      </c>
      <c r="F99" s="56">
        <v>30</v>
      </c>
      <c r="G99" s="69">
        <f t="shared" si="1"/>
        <v>5</v>
      </c>
      <c r="H99" s="58"/>
      <c r="I99" s="45"/>
      <c r="J99" s="52"/>
    </row>
    <row r="100" spans="1:10" ht="16.5" customHeight="1" x14ac:dyDescent="0.25">
      <c r="A100" s="71"/>
      <c r="B100" s="61" t="s">
        <v>142</v>
      </c>
      <c r="C100" s="61">
        <v>31</v>
      </c>
      <c r="D100" s="53">
        <v>0.25</v>
      </c>
      <c r="E100" s="53">
        <f t="shared" si="3"/>
        <v>0.16666666666666666</v>
      </c>
      <c r="F100" s="56">
        <v>40</v>
      </c>
      <c r="G100" s="69">
        <f t="shared" si="1"/>
        <v>51.666666666666664</v>
      </c>
      <c r="H100" s="58"/>
      <c r="I100" s="45"/>
      <c r="J100" s="52"/>
    </row>
    <row r="101" spans="1:10" ht="16.5" customHeight="1" x14ac:dyDescent="0.25">
      <c r="A101" s="71"/>
      <c r="B101" s="61" t="s">
        <v>143</v>
      </c>
      <c r="C101" s="61">
        <v>8</v>
      </c>
      <c r="D101" s="53">
        <v>0.25</v>
      </c>
      <c r="E101" s="53">
        <f t="shared" si="3"/>
        <v>0.16666666666666666</v>
      </c>
      <c r="F101" s="56">
        <v>30</v>
      </c>
      <c r="G101" s="69">
        <f t="shared" si="1"/>
        <v>10</v>
      </c>
      <c r="H101" s="58"/>
      <c r="I101" s="45"/>
      <c r="J101" s="52"/>
    </row>
    <row r="102" spans="1:10" ht="16.5" customHeight="1" x14ac:dyDescent="0.25">
      <c r="A102" s="71"/>
      <c r="B102" s="61" t="s">
        <v>143</v>
      </c>
      <c r="C102" s="61">
        <v>8</v>
      </c>
      <c r="D102" s="53">
        <v>0.25</v>
      </c>
      <c r="E102" s="53">
        <f t="shared" si="3"/>
        <v>0.16666666666666666</v>
      </c>
      <c r="F102" s="56">
        <v>46.5</v>
      </c>
      <c r="G102" s="69">
        <f t="shared" si="1"/>
        <v>15.5</v>
      </c>
      <c r="H102" s="58"/>
      <c r="I102" s="45"/>
      <c r="J102" s="52"/>
    </row>
    <row r="103" spans="1:10" ht="16.5" customHeight="1" x14ac:dyDescent="0.2">
      <c r="A103" s="47"/>
      <c r="B103" s="61" t="s">
        <v>144</v>
      </c>
      <c r="C103" s="61">
        <v>12</v>
      </c>
      <c r="D103" s="53">
        <v>0.25</v>
      </c>
      <c r="E103" s="53">
        <f t="shared" si="3"/>
        <v>0.16666666666666666</v>
      </c>
      <c r="F103" s="56">
        <v>43</v>
      </c>
      <c r="G103" s="69">
        <f t="shared" si="1"/>
        <v>21.5</v>
      </c>
      <c r="H103" s="58"/>
      <c r="I103" s="45"/>
      <c r="J103" s="52"/>
    </row>
    <row r="104" spans="1:10" ht="16.5" customHeight="1" x14ac:dyDescent="0.2">
      <c r="A104" s="47"/>
      <c r="B104" s="61" t="s">
        <v>145</v>
      </c>
      <c r="C104" s="61">
        <v>2</v>
      </c>
      <c r="D104" s="53">
        <v>0.25</v>
      </c>
      <c r="E104" s="53">
        <f t="shared" si="3"/>
        <v>0.16666666666666666</v>
      </c>
      <c r="F104" s="56">
        <v>32</v>
      </c>
      <c r="G104" s="69">
        <f t="shared" si="1"/>
        <v>2.6666666666666665</v>
      </c>
      <c r="H104" s="58"/>
      <c r="I104" s="45"/>
      <c r="J104" s="52"/>
    </row>
    <row r="105" spans="1:10" ht="16.5" customHeight="1" x14ac:dyDescent="0.2">
      <c r="A105" s="47"/>
      <c r="B105" s="61" t="s">
        <v>145</v>
      </c>
      <c r="C105" s="61">
        <v>2</v>
      </c>
      <c r="D105" s="53">
        <v>0.25</v>
      </c>
      <c r="E105" s="53">
        <f t="shared" si="3"/>
        <v>0.16666666666666666</v>
      </c>
      <c r="F105" s="56">
        <v>36.5</v>
      </c>
      <c r="G105" s="69">
        <f t="shared" si="1"/>
        <v>3.0416666666666665</v>
      </c>
      <c r="H105" s="58"/>
      <c r="I105" s="45"/>
      <c r="J105" s="52"/>
    </row>
    <row r="106" spans="1:10" ht="16.5" customHeight="1" x14ac:dyDescent="0.2">
      <c r="A106" s="47"/>
      <c r="B106" s="61" t="s">
        <v>146</v>
      </c>
      <c r="C106" s="61">
        <v>2</v>
      </c>
      <c r="D106" s="53">
        <v>0.25</v>
      </c>
      <c r="E106" s="53">
        <f t="shared" si="3"/>
        <v>0.16666666666666666</v>
      </c>
      <c r="F106" s="56">
        <v>40</v>
      </c>
      <c r="G106" s="69">
        <f t="shared" si="1"/>
        <v>3.333333333333333</v>
      </c>
      <c r="H106" s="58"/>
      <c r="I106" s="45"/>
      <c r="J106" s="52"/>
    </row>
    <row r="107" spans="1:10" ht="16.5" customHeight="1" x14ac:dyDescent="0.2">
      <c r="A107" s="47"/>
      <c r="B107" s="61" t="s">
        <v>146</v>
      </c>
      <c r="C107" s="61">
        <v>2</v>
      </c>
      <c r="D107" s="53">
        <v>0.25</v>
      </c>
      <c r="E107" s="53">
        <f t="shared" si="3"/>
        <v>0.16666666666666666</v>
      </c>
      <c r="F107" s="56">
        <v>30</v>
      </c>
      <c r="G107" s="69">
        <f t="shared" si="1"/>
        <v>2.5</v>
      </c>
      <c r="H107" s="58"/>
      <c r="I107" s="45"/>
      <c r="J107" s="52"/>
    </row>
    <row r="108" spans="1:10" ht="16.5" customHeight="1" x14ac:dyDescent="0.2">
      <c r="A108" s="47"/>
      <c r="B108" s="61" t="s">
        <v>147</v>
      </c>
      <c r="C108" s="61">
        <v>28</v>
      </c>
      <c r="D108" s="53">
        <v>0.25</v>
      </c>
      <c r="E108" s="53">
        <v>0.17</v>
      </c>
      <c r="F108" s="56">
        <v>8</v>
      </c>
      <c r="G108" s="69">
        <f t="shared" si="1"/>
        <v>9.5200000000000014</v>
      </c>
      <c r="H108" s="58"/>
      <c r="I108" s="45"/>
      <c r="J108" s="52"/>
    </row>
    <row r="109" spans="1:10" ht="16.5" customHeight="1" x14ac:dyDescent="0.2">
      <c r="A109" s="47"/>
      <c r="B109" s="61" t="s">
        <v>148</v>
      </c>
      <c r="C109" s="61">
        <v>16</v>
      </c>
      <c r="D109" s="53">
        <v>0.25</v>
      </c>
      <c r="E109" s="53">
        <f t="shared" si="3"/>
        <v>0.16666666666666666</v>
      </c>
      <c r="F109" s="56">
        <v>10</v>
      </c>
      <c r="G109" s="69">
        <f t="shared" si="1"/>
        <v>6.6666666666666661</v>
      </c>
      <c r="H109" s="58"/>
      <c r="I109" s="45"/>
      <c r="J109" s="52"/>
    </row>
    <row r="110" spans="1:10" ht="16.5" customHeight="1" x14ac:dyDescent="0.2">
      <c r="A110" s="47"/>
      <c r="B110" s="61" t="s">
        <v>148</v>
      </c>
      <c r="C110" s="61">
        <v>24</v>
      </c>
      <c r="D110" s="53">
        <v>0.25</v>
      </c>
      <c r="E110" s="53">
        <f t="shared" si="3"/>
        <v>0.16666666666666666</v>
      </c>
      <c r="F110" s="56">
        <v>8</v>
      </c>
      <c r="G110" s="69">
        <f t="shared" si="1"/>
        <v>8</v>
      </c>
      <c r="H110" s="58"/>
      <c r="I110" s="45"/>
      <c r="J110" s="52"/>
    </row>
    <row r="111" spans="1:10" ht="16.5" customHeight="1" x14ac:dyDescent="0.2">
      <c r="A111" s="47"/>
      <c r="B111" s="61" t="s">
        <v>149</v>
      </c>
      <c r="C111" s="61">
        <v>3</v>
      </c>
      <c r="D111" s="53">
        <v>0.25</v>
      </c>
      <c r="E111" s="53">
        <f t="shared" si="3"/>
        <v>0.16666666666666666</v>
      </c>
      <c r="F111" s="56">
        <v>46.5</v>
      </c>
      <c r="G111" s="69">
        <f t="shared" si="1"/>
        <v>5.8125</v>
      </c>
      <c r="H111" s="58"/>
      <c r="I111" s="45"/>
      <c r="J111" s="52"/>
    </row>
    <row r="112" spans="1:10" ht="16.5" customHeight="1" x14ac:dyDescent="0.2">
      <c r="A112" s="47"/>
      <c r="B112" s="61" t="s">
        <v>149</v>
      </c>
      <c r="C112" s="61">
        <v>3</v>
      </c>
      <c r="D112" s="53">
        <v>0.25</v>
      </c>
      <c r="E112" s="53">
        <f t="shared" si="3"/>
        <v>0.16666666666666666</v>
      </c>
      <c r="F112" s="56">
        <v>30</v>
      </c>
      <c r="G112" s="69">
        <f t="shared" si="1"/>
        <v>3.75</v>
      </c>
      <c r="H112" s="58"/>
      <c r="I112" s="45"/>
      <c r="J112" s="52"/>
    </row>
    <row r="113" spans="1:10" ht="16.5" customHeight="1" x14ac:dyDescent="0.2">
      <c r="A113" s="47"/>
      <c r="B113" s="61" t="s">
        <v>150</v>
      </c>
      <c r="C113" s="61">
        <v>81</v>
      </c>
      <c r="D113" s="53">
        <v>0.5</v>
      </c>
      <c r="E113" s="53">
        <f>1/12</f>
        <v>8.3333333333333329E-2</v>
      </c>
      <c r="F113" s="56">
        <v>30</v>
      </c>
      <c r="G113" s="69">
        <f t="shared" si="1"/>
        <v>101.25</v>
      </c>
      <c r="H113" s="58"/>
      <c r="I113" s="45"/>
      <c r="J113" s="52"/>
    </row>
    <row r="114" spans="1:10" ht="16.5" customHeight="1" x14ac:dyDescent="0.2">
      <c r="A114" s="47"/>
      <c r="B114" s="61" t="s">
        <v>151</v>
      </c>
      <c r="C114" s="61">
        <v>4</v>
      </c>
      <c r="D114" s="53">
        <v>0.5</v>
      </c>
      <c r="E114" s="53">
        <f>1/12</f>
        <v>8.3333333333333329E-2</v>
      </c>
      <c r="F114" s="56">
        <v>16</v>
      </c>
      <c r="G114" s="69">
        <f t="shared" si="1"/>
        <v>2.6666666666666665</v>
      </c>
      <c r="H114" s="58"/>
      <c r="I114" s="45"/>
      <c r="J114" s="52"/>
    </row>
    <row r="115" spans="1:10" ht="16.5" customHeight="1" x14ac:dyDescent="0.2">
      <c r="A115" s="47"/>
      <c r="B115" s="61" t="s">
        <v>152</v>
      </c>
      <c r="C115" s="61">
        <v>3</v>
      </c>
      <c r="D115" s="53">
        <v>0.25</v>
      </c>
      <c r="E115" s="53">
        <f>1.5/12</f>
        <v>0.125</v>
      </c>
      <c r="F115" s="56">
        <v>38</v>
      </c>
      <c r="G115" s="69">
        <f t="shared" si="1"/>
        <v>3.5625</v>
      </c>
      <c r="H115" s="58"/>
      <c r="I115" s="45"/>
      <c r="J115" s="52"/>
    </row>
    <row r="116" spans="1:10" ht="16.5" customHeight="1" x14ac:dyDescent="0.25">
      <c r="A116" s="71"/>
      <c r="B116" s="61" t="s">
        <v>153</v>
      </c>
      <c r="C116" s="61">
        <v>2</v>
      </c>
      <c r="D116" s="53">
        <v>0.25</v>
      </c>
      <c r="E116" s="53">
        <f>0.5/12</f>
        <v>4.1666666666666664E-2</v>
      </c>
      <c r="F116" s="56">
        <v>80</v>
      </c>
      <c r="G116" s="69">
        <f t="shared" si="1"/>
        <v>1.6666666666666665</v>
      </c>
      <c r="H116" s="58"/>
      <c r="I116" s="45"/>
      <c r="J116" s="52"/>
    </row>
    <row r="117" spans="1:10" ht="16.5" customHeight="1" x14ac:dyDescent="0.2">
      <c r="A117" s="47"/>
      <c r="B117" s="61" t="s">
        <v>153</v>
      </c>
      <c r="C117" s="61">
        <v>2</v>
      </c>
      <c r="D117" s="53">
        <v>0.25</v>
      </c>
      <c r="E117" s="53">
        <f>0.5/12</f>
        <v>4.1666666666666664E-2</v>
      </c>
      <c r="F117" s="56">
        <v>60</v>
      </c>
      <c r="G117" s="69">
        <f t="shared" si="1"/>
        <v>1.25</v>
      </c>
      <c r="H117" s="58"/>
      <c r="I117" s="45"/>
      <c r="J117" s="52"/>
    </row>
    <row r="118" spans="1:10" ht="16.5" customHeight="1" x14ac:dyDescent="0.2">
      <c r="A118" s="47"/>
      <c r="B118" s="61" t="s">
        <v>153</v>
      </c>
      <c r="C118" s="61">
        <v>52</v>
      </c>
      <c r="D118" s="53">
        <v>0.25</v>
      </c>
      <c r="E118" s="53">
        <f>0.5/12</f>
        <v>4.1666666666666664E-2</v>
      </c>
      <c r="F118" s="56">
        <v>8</v>
      </c>
      <c r="G118" s="69">
        <f t="shared" si="1"/>
        <v>4.333333333333333</v>
      </c>
      <c r="H118" s="58"/>
      <c r="I118" s="45"/>
      <c r="J118" s="52"/>
    </row>
    <row r="119" spans="1:10" ht="16.5" customHeight="1" x14ac:dyDescent="0.2">
      <c r="A119" s="47"/>
      <c r="B119" s="61" t="s">
        <v>153</v>
      </c>
      <c r="C119" s="61">
        <v>10</v>
      </c>
      <c r="D119" s="53">
        <v>0.25</v>
      </c>
      <c r="E119" s="53">
        <f>0.5/12</f>
        <v>4.1666666666666664E-2</v>
      </c>
      <c r="F119" s="56">
        <v>8</v>
      </c>
      <c r="G119" s="69">
        <f t="shared" si="1"/>
        <v>0.83333333333333326</v>
      </c>
      <c r="H119" s="58"/>
      <c r="I119" s="45"/>
      <c r="J119" s="52"/>
    </row>
    <row r="120" spans="1:10" ht="16.5" customHeight="1" thickBot="1" x14ac:dyDescent="0.25">
      <c r="A120" s="47"/>
      <c r="B120" s="61" t="s">
        <v>154</v>
      </c>
      <c r="C120" s="61">
        <v>60</v>
      </c>
      <c r="D120" s="53">
        <v>0.25</v>
      </c>
      <c r="E120" s="53">
        <f>2/12</f>
        <v>0.16666666666666666</v>
      </c>
      <c r="F120" s="56">
        <v>3</v>
      </c>
      <c r="G120" s="72">
        <f t="shared" si="1"/>
        <v>7.5</v>
      </c>
      <c r="H120" s="58"/>
      <c r="I120" s="45"/>
      <c r="J120" s="52"/>
    </row>
    <row r="121" spans="1:10" ht="16.5" customHeight="1" thickBot="1" x14ac:dyDescent="0.25">
      <c r="A121" s="47"/>
      <c r="B121" s="61"/>
      <c r="C121" s="61"/>
      <c r="D121" s="53"/>
      <c r="E121" s="53"/>
      <c r="F121" s="56"/>
      <c r="G121" s="68">
        <f>SUM(G81:G120)</f>
        <v>388.8463888888889</v>
      </c>
      <c r="H121" s="58" t="s">
        <v>28</v>
      </c>
      <c r="I121" s="45"/>
      <c r="J121" s="73"/>
    </row>
    <row r="122" spans="1:10" ht="16.5" customHeight="1" x14ac:dyDescent="0.2">
      <c r="A122" s="47"/>
      <c r="B122" s="61"/>
      <c r="C122" s="69"/>
      <c r="D122" s="53"/>
      <c r="E122" s="53"/>
      <c r="F122" s="56"/>
      <c r="G122" s="65"/>
      <c r="H122" s="58"/>
      <c r="I122" s="45"/>
      <c r="J122" s="73"/>
    </row>
    <row r="123" spans="1:10" ht="16.5" customHeight="1" x14ac:dyDescent="0.2">
      <c r="A123" s="47"/>
      <c r="B123" s="61" t="s">
        <v>33</v>
      </c>
      <c r="C123" s="69">
        <f>G121*55/50</f>
        <v>427.7310277777778</v>
      </c>
      <c r="D123" s="53" t="s">
        <v>104</v>
      </c>
      <c r="E123" s="53"/>
      <c r="F123" s="56"/>
      <c r="G123" s="65"/>
      <c r="H123" s="58"/>
      <c r="I123" s="45"/>
      <c r="J123" s="52"/>
    </row>
    <row r="124" spans="1:10" ht="16.5" customHeight="1" x14ac:dyDescent="0.2">
      <c r="A124" s="47"/>
      <c r="B124" s="61" t="s">
        <v>50</v>
      </c>
      <c r="C124" s="69">
        <f>(14*G121/50)/3.6</f>
        <v>30.243608024691358</v>
      </c>
      <c r="D124" s="53" t="s">
        <v>155</v>
      </c>
      <c r="E124" s="53"/>
      <c r="F124" s="56"/>
      <c r="G124" s="65"/>
      <c r="H124" s="58"/>
      <c r="I124" s="45"/>
      <c r="J124" s="52"/>
    </row>
    <row r="125" spans="1:10" ht="16.5" customHeight="1" x14ac:dyDescent="0.2">
      <c r="A125" s="47"/>
      <c r="B125" s="61" t="s">
        <v>76</v>
      </c>
      <c r="C125" s="69">
        <f>10*G121/50</f>
        <v>77.769277777777774</v>
      </c>
      <c r="D125" s="53" t="s">
        <v>110</v>
      </c>
      <c r="E125" s="53"/>
      <c r="F125" s="56"/>
      <c r="G125" s="65"/>
      <c r="H125" s="58"/>
      <c r="I125" s="45"/>
      <c r="J125" s="52"/>
    </row>
    <row r="126" spans="1:10" ht="16.5" customHeight="1" x14ac:dyDescent="0.25">
      <c r="A126" s="71"/>
      <c r="B126" s="66"/>
      <c r="C126" s="66"/>
      <c r="D126" s="53"/>
      <c r="E126" s="53"/>
      <c r="F126" s="56"/>
      <c r="G126" s="65"/>
      <c r="H126" s="58"/>
      <c r="I126" s="45"/>
      <c r="J126" s="52"/>
    </row>
    <row r="127" spans="1:10" ht="16.5" customHeight="1" x14ac:dyDescent="0.25">
      <c r="A127" s="47">
        <v>11</v>
      </c>
      <c r="B127" s="66" t="s">
        <v>156</v>
      </c>
      <c r="C127" s="61"/>
      <c r="D127" s="53"/>
      <c r="E127" s="53"/>
      <c r="F127" s="56"/>
      <c r="G127" s="65"/>
      <c r="H127" s="58"/>
      <c r="I127" s="45"/>
      <c r="J127" s="52"/>
    </row>
    <row r="128" spans="1:10" ht="16.5" customHeight="1" x14ac:dyDescent="0.2">
      <c r="A128" s="47"/>
      <c r="B128" s="61" t="s">
        <v>157</v>
      </c>
      <c r="C128" s="61">
        <v>2</v>
      </c>
      <c r="D128" s="53">
        <v>30</v>
      </c>
      <c r="E128" s="53"/>
      <c r="F128" s="56">
        <v>4</v>
      </c>
      <c r="G128" s="65">
        <f>F128*D128*C128</f>
        <v>240</v>
      </c>
      <c r="H128" s="58"/>
      <c r="I128" s="45"/>
      <c r="J128" s="52"/>
    </row>
    <row r="129" spans="1:10" ht="16.5" customHeight="1" x14ac:dyDescent="0.2">
      <c r="A129" s="47"/>
      <c r="B129" s="61" t="s">
        <v>158</v>
      </c>
      <c r="C129" s="70">
        <v>2</v>
      </c>
      <c r="D129" s="53">
        <v>40</v>
      </c>
      <c r="E129" s="53"/>
      <c r="F129" s="56">
        <v>4</v>
      </c>
      <c r="G129" s="65">
        <f>F129*D129*C129</f>
        <v>320</v>
      </c>
      <c r="H129" s="58"/>
      <c r="I129" s="45"/>
      <c r="J129" s="52"/>
    </row>
    <row r="130" spans="1:10" ht="16.5" customHeight="1" thickBot="1" x14ac:dyDescent="0.25">
      <c r="A130" s="47"/>
      <c r="B130" s="61" t="s">
        <v>159</v>
      </c>
      <c r="C130" s="61">
        <v>2</v>
      </c>
      <c r="D130" s="53">
        <v>0.5</v>
      </c>
      <c r="E130" s="53">
        <v>30</v>
      </c>
      <c r="F130" s="56">
        <v>3</v>
      </c>
      <c r="G130" s="67">
        <f>F130*E130*D130*C130</f>
        <v>90</v>
      </c>
      <c r="H130" s="58"/>
      <c r="I130" s="45"/>
      <c r="J130" s="52"/>
    </row>
    <row r="131" spans="1:10" ht="16.5" customHeight="1" thickBot="1" x14ac:dyDescent="0.25">
      <c r="A131" s="47"/>
      <c r="B131" s="61"/>
      <c r="C131" s="61"/>
      <c r="D131" s="53"/>
      <c r="E131" s="53"/>
      <c r="F131" s="56"/>
      <c r="G131" s="68">
        <f>SUM(G128:G130)</f>
        <v>650</v>
      </c>
      <c r="H131" s="58" t="s">
        <v>160</v>
      </c>
      <c r="I131" s="45"/>
      <c r="J131" s="52"/>
    </row>
    <row r="132" spans="1:10" ht="16.5" customHeight="1" x14ac:dyDescent="0.2">
      <c r="A132" s="47"/>
      <c r="B132" s="61"/>
      <c r="C132" s="61"/>
      <c r="D132" s="53"/>
      <c r="E132" s="53"/>
      <c r="F132" s="56"/>
      <c r="G132" s="65"/>
      <c r="H132" s="58"/>
      <c r="I132" s="45"/>
      <c r="J132" s="52"/>
    </row>
    <row r="133" spans="1:10" ht="16.5" customHeight="1" x14ac:dyDescent="0.2">
      <c r="A133" s="47"/>
      <c r="B133" s="61" t="s">
        <v>37</v>
      </c>
      <c r="C133" s="61">
        <f>G131*110%</f>
        <v>715.00000000000011</v>
      </c>
      <c r="D133" s="53" t="s">
        <v>160</v>
      </c>
      <c r="E133" s="53"/>
      <c r="F133" s="56"/>
      <c r="G133" s="65"/>
      <c r="H133" s="58"/>
      <c r="I133" s="45"/>
      <c r="J133" s="52"/>
    </row>
    <row r="134" spans="1:10" ht="16.5" customHeight="1" x14ac:dyDescent="0.2">
      <c r="A134" s="47"/>
      <c r="B134" s="61" t="s">
        <v>50</v>
      </c>
      <c r="C134" s="61">
        <v>3</v>
      </c>
      <c r="D134" s="53" t="s">
        <v>155</v>
      </c>
      <c r="E134" s="53"/>
      <c r="F134" s="56"/>
      <c r="G134" s="65"/>
      <c r="H134" s="58"/>
      <c r="I134" s="45"/>
      <c r="J134" s="52"/>
    </row>
    <row r="135" spans="1:10" ht="16.5" customHeight="1" x14ac:dyDescent="0.2">
      <c r="A135" s="47"/>
      <c r="B135" s="61" t="s">
        <v>76</v>
      </c>
      <c r="C135" s="61">
        <f>0.75*G131/100</f>
        <v>4.875</v>
      </c>
      <c r="D135" s="53" t="s">
        <v>110</v>
      </c>
      <c r="E135" s="53"/>
      <c r="F135" s="56"/>
      <c r="G135" s="65"/>
      <c r="H135" s="58"/>
      <c r="I135" s="45"/>
      <c r="J135" s="52"/>
    </row>
    <row r="136" spans="1:10" ht="16.5" customHeight="1" x14ac:dyDescent="0.2">
      <c r="A136" s="47"/>
      <c r="B136" s="61"/>
      <c r="C136" s="61"/>
      <c r="D136" s="53"/>
      <c r="E136" s="53"/>
      <c r="F136" s="56"/>
      <c r="G136" s="65"/>
      <c r="H136" s="58"/>
      <c r="I136" s="45"/>
      <c r="J136" s="52"/>
    </row>
    <row r="137" spans="1:10" ht="16.5" customHeight="1" x14ac:dyDescent="0.25">
      <c r="A137" s="47">
        <v>12</v>
      </c>
      <c r="B137" s="66" t="s">
        <v>161</v>
      </c>
      <c r="C137" s="61"/>
      <c r="D137" s="53"/>
      <c r="E137" s="53"/>
      <c r="F137" s="56"/>
      <c r="G137" s="65"/>
      <c r="H137" s="58"/>
      <c r="I137" s="45"/>
      <c r="J137" s="52"/>
    </row>
    <row r="138" spans="1:10" ht="16.5" customHeight="1" x14ac:dyDescent="0.2">
      <c r="A138" s="47"/>
      <c r="B138" s="61"/>
      <c r="C138" s="61">
        <v>2</v>
      </c>
      <c r="D138" s="53">
        <v>40</v>
      </c>
      <c r="E138" s="53"/>
      <c r="F138" s="56">
        <v>4</v>
      </c>
      <c r="G138" s="65">
        <f>F138*D138*C138</f>
        <v>320</v>
      </c>
      <c r="H138" s="58"/>
      <c r="I138" s="45"/>
      <c r="J138" s="52"/>
    </row>
    <row r="139" spans="1:10" ht="16.5" customHeight="1" thickBot="1" x14ac:dyDescent="0.25">
      <c r="A139" s="47"/>
      <c r="B139" s="61"/>
      <c r="C139" s="61">
        <v>2</v>
      </c>
      <c r="D139" s="53">
        <v>30</v>
      </c>
      <c r="E139" s="53"/>
      <c r="F139" s="56">
        <v>4</v>
      </c>
      <c r="G139" s="67">
        <f>F139*D139*C139</f>
        <v>240</v>
      </c>
      <c r="H139" s="58"/>
      <c r="I139" s="45"/>
      <c r="J139" s="52"/>
    </row>
    <row r="140" spans="1:10" ht="16.5" customHeight="1" thickBot="1" x14ac:dyDescent="0.25">
      <c r="A140" s="47"/>
      <c r="B140" s="61"/>
      <c r="C140" s="61"/>
      <c r="D140" s="53"/>
      <c r="E140" s="53"/>
      <c r="F140" s="56"/>
      <c r="G140" s="68">
        <f>SUM(G138:G139)</f>
        <v>560</v>
      </c>
      <c r="H140" s="58" t="s">
        <v>38</v>
      </c>
      <c r="I140" s="45"/>
      <c r="J140" s="52"/>
    </row>
    <row r="141" spans="1:10" ht="16.5" customHeight="1" x14ac:dyDescent="0.2">
      <c r="A141" s="47"/>
      <c r="B141" s="61"/>
      <c r="C141" s="61"/>
      <c r="D141" s="53"/>
      <c r="E141" s="53"/>
      <c r="F141" s="56"/>
      <c r="G141" s="65"/>
      <c r="H141" s="58"/>
      <c r="I141" s="45"/>
      <c r="J141" s="52"/>
    </row>
    <row r="142" spans="1:10" ht="16.5" customHeight="1" x14ac:dyDescent="0.2">
      <c r="A142" s="47"/>
      <c r="B142" s="61"/>
      <c r="C142" s="61"/>
      <c r="D142" s="53"/>
      <c r="E142" s="53"/>
      <c r="F142" s="56"/>
      <c r="G142" s="65"/>
      <c r="H142" s="58"/>
      <c r="I142" s="45"/>
      <c r="J142" s="52"/>
    </row>
    <row r="143" spans="1:10" ht="16.5" customHeight="1" x14ac:dyDescent="0.25">
      <c r="A143" s="47">
        <v>13</v>
      </c>
      <c r="B143" s="66" t="s">
        <v>162</v>
      </c>
      <c r="C143" s="61"/>
      <c r="D143" s="53"/>
      <c r="E143" s="53"/>
      <c r="F143" s="56"/>
      <c r="G143" s="65"/>
      <c r="H143" s="58"/>
      <c r="I143" s="45"/>
      <c r="J143" s="52"/>
    </row>
    <row r="144" spans="1:10" ht="16.5" customHeight="1" x14ac:dyDescent="0.2">
      <c r="A144" s="47"/>
      <c r="B144" s="61"/>
      <c r="C144" s="61">
        <v>2</v>
      </c>
      <c r="D144" s="53">
        <v>43</v>
      </c>
      <c r="E144" s="53">
        <v>16</v>
      </c>
      <c r="F144" s="56"/>
      <c r="G144" s="65">
        <f>E144*D144*C144</f>
        <v>1376</v>
      </c>
      <c r="H144" s="58"/>
      <c r="I144" s="45"/>
      <c r="J144" s="52"/>
    </row>
    <row r="145" spans="1:10" ht="16.5" customHeight="1" x14ac:dyDescent="0.2">
      <c r="A145" s="47"/>
      <c r="B145" s="61"/>
      <c r="C145" s="61">
        <v>2</v>
      </c>
      <c r="D145" s="53">
        <v>32</v>
      </c>
      <c r="E145" s="53">
        <v>6.25</v>
      </c>
      <c r="F145" s="56"/>
      <c r="G145" s="65">
        <f>E145*D145*C145</f>
        <v>400</v>
      </c>
      <c r="H145" s="58"/>
      <c r="I145" s="45"/>
      <c r="J145" s="52"/>
    </row>
    <row r="146" spans="1:10" ht="16.5" customHeight="1" x14ac:dyDescent="0.2">
      <c r="A146" s="47"/>
      <c r="B146" s="61"/>
      <c r="C146" s="61">
        <v>1</v>
      </c>
      <c r="D146" s="53">
        <v>43</v>
      </c>
      <c r="E146" s="53">
        <v>11</v>
      </c>
      <c r="F146" s="56"/>
      <c r="G146" s="65">
        <f>E146*D146*C146</f>
        <v>473</v>
      </c>
      <c r="H146" s="58"/>
      <c r="I146" s="45"/>
      <c r="J146" s="52"/>
    </row>
    <row r="147" spans="1:10" ht="16.5" customHeight="1" thickBot="1" x14ac:dyDescent="0.25">
      <c r="A147" s="47"/>
      <c r="B147" s="61"/>
      <c r="C147" s="61">
        <v>1</v>
      </c>
      <c r="D147" s="53">
        <v>32</v>
      </c>
      <c r="E147" s="53">
        <v>43</v>
      </c>
      <c r="F147" s="56"/>
      <c r="G147" s="65">
        <f>E147*D147*C147</f>
        <v>1376</v>
      </c>
      <c r="H147" s="58"/>
      <c r="I147" s="45"/>
      <c r="J147" s="52"/>
    </row>
    <row r="148" spans="1:10" ht="16.5" customHeight="1" thickBot="1" x14ac:dyDescent="0.25">
      <c r="A148" s="47"/>
      <c r="B148" s="61"/>
      <c r="C148" s="61"/>
      <c r="D148" s="53"/>
      <c r="E148" s="53"/>
      <c r="F148" s="56"/>
      <c r="G148" s="68">
        <f>SUM(G144:G145)</f>
        <v>1776</v>
      </c>
      <c r="H148" s="58" t="s">
        <v>38</v>
      </c>
      <c r="I148" s="45"/>
      <c r="J148" s="52"/>
    </row>
    <row r="149" spans="1:10" ht="16.5" customHeight="1" x14ac:dyDescent="0.2">
      <c r="A149" s="47"/>
      <c r="B149" s="61" t="s">
        <v>163</v>
      </c>
      <c r="C149" s="70">
        <f>8*G148/100</f>
        <v>142.08000000000001</v>
      </c>
      <c r="D149" s="53" t="s">
        <v>164</v>
      </c>
      <c r="E149" s="53"/>
      <c r="F149" s="56"/>
      <c r="G149" s="65"/>
      <c r="H149" s="58"/>
      <c r="I149" s="45"/>
      <c r="J149" s="52"/>
    </row>
    <row r="150" spans="1:10" ht="16.5" customHeight="1" x14ac:dyDescent="0.2">
      <c r="A150" s="47"/>
      <c r="B150" s="61" t="s">
        <v>47</v>
      </c>
      <c r="C150" s="61">
        <v>45</v>
      </c>
      <c r="D150" s="53" t="s">
        <v>165</v>
      </c>
      <c r="E150" s="53"/>
      <c r="F150" s="56"/>
      <c r="G150" s="65"/>
      <c r="H150" s="58"/>
      <c r="I150" s="45"/>
      <c r="J150" s="52"/>
    </row>
    <row r="151" spans="1:10" ht="16.5" customHeight="1" x14ac:dyDescent="0.2">
      <c r="A151" s="47"/>
      <c r="B151" s="61" t="s">
        <v>53</v>
      </c>
      <c r="C151" s="69">
        <f>(1.5*G148/100)/3.6</f>
        <v>7.4</v>
      </c>
      <c r="D151" s="53" t="s">
        <v>155</v>
      </c>
      <c r="E151" s="53"/>
      <c r="F151" s="56"/>
      <c r="G151" s="65"/>
      <c r="H151" s="58"/>
      <c r="I151" s="45"/>
      <c r="J151" s="52"/>
    </row>
    <row r="152" spans="1:10" ht="16.5" customHeight="1" x14ac:dyDescent="0.2">
      <c r="A152" s="47"/>
      <c r="B152" s="61" t="s">
        <v>166</v>
      </c>
      <c r="C152" s="61">
        <f>1.5*G148/100</f>
        <v>26.64</v>
      </c>
      <c r="D152" s="53"/>
      <c r="E152" s="53"/>
      <c r="F152" s="56"/>
      <c r="G152" s="65"/>
      <c r="H152" s="58"/>
      <c r="I152" s="45"/>
      <c r="J152" s="52"/>
    </row>
    <row r="153" spans="1:10" ht="16.5" customHeight="1" x14ac:dyDescent="0.2">
      <c r="A153" s="47"/>
      <c r="B153" s="61" t="s">
        <v>109</v>
      </c>
      <c r="C153" s="61">
        <f>2*G148/100</f>
        <v>35.520000000000003</v>
      </c>
      <c r="D153" s="53"/>
      <c r="E153" s="53"/>
      <c r="F153" s="56"/>
      <c r="G153" s="65"/>
      <c r="H153" s="58"/>
      <c r="I153" s="45"/>
      <c r="J153" s="52"/>
    </row>
    <row r="154" spans="1:10" ht="16.5" customHeight="1" x14ac:dyDescent="0.2">
      <c r="A154" s="47"/>
      <c r="B154" s="61"/>
      <c r="C154" s="61"/>
      <c r="D154" s="53"/>
      <c r="E154" s="53"/>
      <c r="F154" s="56"/>
      <c r="G154" s="65"/>
      <c r="H154" s="58"/>
      <c r="I154" s="45"/>
      <c r="J154" s="52"/>
    </row>
    <row r="155" spans="1:10" ht="16.5" customHeight="1" x14ac:dyDescent="0.25">
      <c r="A155" s="71">
        <v>14</v>
      </c>
      <c r="B155" s="66" t="s">
        <v>167</v>
      </c>
      <c r="C155" s="66"/>
      <c r="D155" s="53"/>
      <c r="E155" s="53"/>
      <c r="F155" s="56"/>
      <c r="G155" s="65"/>
      <c r="H155" s="58"/>
      <c r="I155" s="45"/>
      <c r="J155" s="52"/>
    </row>
    <row r="156" spans="1:10" ht="16.5" customHeight="1" x14ac:dyDescent="0.2">
      <c r="A156" s="47"/>
      <c r="B156" s="61"/>
      <c r="C156" s="61">
        <v>2</v>
      </c>
      <c r="D156" s="53">
        <v>32</v>
      </c>
      <c r="E156" s="53"/>
      <c r="F156" s="56"/>
      <c r="G156" s="67">
        <f>D156*C156</f>
        <v>64</v>
      </c>
      <c r="H156" s="58"/>
      <c r="I156" s="45"/>
      <c r="J156" s="52"/>
    </row>
    <row r="157" spans="1:10" ht="16.5" customHeight="1" thickBot="1" x14ac:dyDescent="0.25">
      <c r="A157" s="47"/>
      <c r="B157" s="61"/>
      <c r="C157" s="61">
        <v>2</v>
      </c>
      <c r="D157" s="53">
        <v>46</v>
      </c>
      <c r="E157" s="53"/>
      <c r="F157" s="56"/>
      <c r="G157" s="67">
        <f>D157*C157</f>
        <v>92</v>
      </c>
      <c r="H157" s="58"/>
      <c r="I157" s="45"/>
      <c r="J157" s="52"/>
    </row>
    <row r="158" spans="1:10" ht="16.5" customHeight="1" thickBot="1" x14ac:dyDescent="0.25">
      <c r="A158" s="47"/>
      <c r="B158" s="61"/>
      <c r="C158" s="61"/>
      <c r="D158" s="53"/>
      <c r="E158" s="53"/>
      <c r="F158" s="56"/>
      <c r="G158" s="68">
        <f>SUM(G156:G157)</f>
        <v>156</v>
      </c>
      <c r="H158" s="58" t="s">
        <v>45</v>
      </c>
      <c r="I158" s="45"/>
      <c r="J158" s="52"/>
    </row>
    <row r="159" spans="1:10" ht="16.5" customHeight="1" x14ac:dyDescent="0.2">
      <c r="A159" s="47"/>
      <c r="B159" s="61"/>
      <c r="C159" s="61"/>
      <c r="D159" s="53"/>
      <c r="E159" s="53"/>
      <c r="F159" s="56"/>
      <c r="G159" s="65"/>
      <c r="H159" s="58"/>
      <c r="I159" s="45"/>
      <c r="J159" s="52"/>
    </row>
    <row r="160" spans="1:10" ht="16.5" customHeight="1" x14ac:dyDescent="0.2">
      <c r="A160" s="47"/>
      <c r="B160" s="61" t="s">
        <v>168</v>
      </c>
      <c r="C160" s="70">
        <f>G158*110%</f>
        <v>171.60000000000002</v>
      </c>
      <c r="D160" s="53" t="s">
        <v>165</v>
      </c>
      <c r="E160" s="53"/>
      <c r="F160" s="56"/>
      <c r="G160" s="65"/>
      <c r="H160" s="58"/>
      <c r="I160" s="45"/>
      <c r="J160" s="52">
        <f>1</f>
        <v>1</v>
      </c>
    </row>
    <row r="161" spans="1:10" ht="16.5" customHeight="1" x14ac:dyDescent="0.2">
      <c r="A161" s="47"/>
      <c r="B161" s="61" t="s">
        <v>169</v>
      </c>
      <c r="C161" s="61">
        <v>57</v>
      </c>
      <c r="D161" s="53" t="s">
        <v>106</v>
      </c>
      <c r="E161" s="53"/>
      <c r="F161" s="56"/>
      <c r="G161" s="65"/>
      <c r="H161" s="58"/>
      <c r="I161" s="45"/>
      <c r="J161" s="52"/>
    </row>
    <row r="162" spans="1:10" ht="16.5" customHeight="1" x14ac:dyDescent="0.2">
      <c r="A162" s="47"/>
      <c r="B162" s="61" t="s">
        <v>170</v>
      </c>
      <c r="C162" s="61">
        <v>4</v>
      </c>
      <c r="D162" s="53" t="s">
        <v>106</v>
      </c>
      <c r="E162" s="53"/>
      <c r="F162" s="56"/>
      <c r="G162" s="65"/>
      <c r="H162" s="58"/>
      <c r="I162" s="45"/>
      <c r="J162" s="52"/>
    </row>
    <row r="163" spans="1:10" ht="16.5" customHeight="1" x14ac:dyDescent="0.2">
      <c r="A163" s="47"/>
      <c r="B163" s="61" t="s">
        <v>171</v>
      </c>
      <c r="C163" s="61">
        <v>1</v>
      </c>
      <c r="D163" s="53" t="s">
        <v>110</v>
      </c>
      <c r="E163" s="53"/>
      <c r="F163" s="56"/>
      <c r="G163" s="65"/>
      <c r="H163" s="58"/>
      <c r="I163" s="45"/>
      <c r="J163" s="52"/>
    </row>
    <row r="164" spans="1:10" ht="16.5" customHeight="1" x14ac:dyDescent="0.2">
      <c r="A164" s="47"/>
      <c r="B164" s="61" t="s">
        <v>109</v>
      </c>
      <c r="C164" s="61">
        <v>1</v>
      </c>
      <c r="D164" s="53" t="s">
        <v>110</v>
      </c>
      <c r="E164" s="53"/>
      <c r="F164" s="56"/>
      <c r="G164" s="65"/>
      <c r="H164" s="58"/>
      <c r="I164" s="45"/>
      <c r="J164" s="52"/>
    </row>
    <row r="165" spans="1:10" ht="16.5" customHeight="1" x14ac:dyDescent="0.2">
      <c r="A165" s="47"/>
      <c r="B165" s="61"/>
      <c r="C165" s="69"/>
      <c r="D165" s="53"/>
      <c r="E165" s="53"/>
      <c r="F165" s="56"/>
      <c r="G165" s="65"/>
      <c r="H165" s="58"/>
      <c r="I165" s="45"/>
      <c r="J165" s="52"/>
    </row>
    <row r="166" spans="1:10" ht="16.5" customHeight="1" x14ac:dyDescent="0.2">
      <c r="A166" s="47"/>
      <c r="B166" s="61" t="s">
        <v>112</v>
      </c>
      <c r="C166" s="69">
        <f>C70+C61+C49+C40+C30</f>
        <v>17.444196428571431</v>
      </c>
      <c r="D166" s="53" t="s">
        <v>24</v>
      </c>
      <c r="E166" s="53"/>
      <c r="F166" s="56"/>
      <c r="G166" s="65"/>
      <c r="H166" s="58"/>
      <c r="I166" s="45"/>
      <c r="J166" s="52"/>
    </row>
    <row r="167" spans="1:10" ht="16.5" customHeight="1" x14ac:dyDescent="0.2">
      <c r="A167" s="47"/>
      <c r="B167" s="61" t="s">
        <v>27</v>
      </c>
      <c r="C167" s="69">
        <f>C71+C62+C50+C41+C31</f>
        <v>113.5</v>
      </c>
      <c r="D167" s="53" t="s">
        <v>28</v>
      </c>
      <c r="E167" s="53"/>
      <c r="F167" s="56"/>
      <c r="G167" s="65"/>
      <c r="H167" s="58"/>
      <c r="I167" s="45"/>
      <c r="J167" s="52"/>
    </row>
    <row r="168" spans="1:10" ht="16.5" customHeight="1" x14ac:dyDescent="0.2">
      <c r="A168" s="47"/>
      <c r="B168" s="61" t="s">
        <v>30</v>
      </c>
      <c r="C168" s="69">
        <f>C51+C42+C32+C22</f>
        <v>229.95249999999999</v>
      </c>
      <c r="D168" s="53" t="s">
        <v>28</v>
      </c>
      <c r="E168" s="53"/>
      <c r="F168" s="56"/>
      <c r="G168" s="65"/>
      <c r="H168" s="58"/>
      <c r="I168" s="45"/>
      <c r="J168" s="52"/>
    </row>
    <row r="169" spans="1:10" ht="16.5" customHeight="1" x14ac:dyDescent="0.2">
      <c r="A169" s="47"/>
      <c r="B169" s="61" t="s">
        <v>172</v>
      </c>
      <c r="C169" s="69">
        <f>C123</f>
        <v>427.7310277777778</v>
      </c>
      <c r="D169" s="53" t="s">
        <v>28</v>
      </c>
      <c r="E169" s="53"/>
      <c r="F169" s="56"/>
      <c r="G169" s="65"/>
      <c r="H169" s="58"/>
      <c r="I169" s="45"/>
      <c r="J169" s="52"/>
    </row>
    <row r="170" spans="1:10" ht="16.5" customHeight="1" x14ac:dyDescent="0.2">
      <c r="A170" s="47"/>
      <c r="B170" s="61" t="s">
        <v>37</v>
      </c>
      <c r="C170" s="69">
        <f>C133</f>
        <v>715.00000000000011</v>
      </c>
      <c r="D170" s="53" t="s">
        <v>38</v>
      </c>
      <c r="E170" s="53"/>
      <c r="F170" s="56"/>
      <c r="G170" s="65"/>
      <c r="H170" s="58"/>
      <c r="I170" s="45"/>
      <c r="J170" s="52"/>
    </row>
    <row r="171" spans="1:10" ht="16.5" customHeight="1" x14ac:dyDescent="0.2">
      <c r="A171" s="47"/>
      <c r="B171" s="61" t="s">
        <v>50</v>
      </c>
      <c r="C171" s="69">
        <f>C134+C124</f>
        <v>33.243608024691355</v>
      </c>
      <c r="D171" s="53" t="s">
        <v>51</v>
      </c>
      <c r="E171" s="53"/>
      <c r="F171" s="56"/>
      <c r="G171" s="65"/>
      <c r="H171" s="58"/>
      <c r="I171" s="45"/>
      <c r="J171" s="52"/>
    </row>
    <row r="172" spans="1:10" ht="16.5" customHeight="1" x14ac:dyDescent="0.2">
      <c r="A172" s="74"/>
      <c r="B172" s="61" t="s">
        <v>173</v>
      </c>
      <c r="C172" s="55">
        <f>G140/32</f>
        <v>17.5</v>
      </c>
      <c r="D172" s="50" t="s">
        <v>38</v>
      </c>
      <c r="E172" s="50"/>
      <c r="F172" s="50"/>
      <c r="G172" s="54"/>
      <c r="H172" s="75"/>
      <c r="I172" s="45"/>
    </row>
    <row r="173" spans="1:10" ht="16.5" customHeight="1" x14ac:dyDescent="0.2">
      <c r="A173" s="74"/>
      <c r="B173" s="61" t="s">
        <v>44</v>
      </c>
      <c r="C173" s="76">
        <f>C149</f>
        <v>142.08000000000001</v>
      </c>
      <c r="D173" s="50" t="s">
        <v>42</v>
      </c>
      <c r="E173" s="50"/>
      <c r="F173" s="50"/>
      <c r="G173" s="54"/>
      <c r="H173" s="75"/>
      <c r="I173" s="45"/>
    </row>
    <row r="174" spans="1:10" ht="16.5" customHeight="1" x14ac:dyDescent="0.2">
      <c r="A174" s="74"/>
      <c r="B174" s="61" t="s">
        <v>47</v>
      </c>
      <c r="C174" s="77">
        <f>C150</f>
        <v>45</v>
      </c>
      <c r="D174" s="50" t="s">
        <v>45</v>
      </c>
      <c r="E174" s="50"/>
      <c r="F174" s="50"/>
      <c r="G174" s="54"/>
      <c r="H174" s="75"/>
      <c r="I174" s="45"/>
    </row>
    <row r="175" spans="1:10" ht="16.5" customHeight="1" x14ac:dyDescent="0.2">
      <c r="A175" s="74"/>
      <c r="B175" s="61" t="s">
        <v>53</v>
      </c>
      <c r="C175" s="55">
        <f>C151</f>
        <v>7.4</v>
      </c>
      <c r="D175" s="50" t="s">
        <v>51</v>
      </c>
      <c r="E175" s="50"/>
      <c r="F175" s="50"/>
      <c r="G175" s="54"/>
      <c r="H175" s="75"/>
      <c r="I175" s="45"/>
    </row>
    <row r="176" spans="1:10" ht="16.5" customHeight="1" x14ac:dyDescent="0.2">
      <c r="A176" s="74"/>
      <c r="B176" s="61" t="s">
        <v>174</v>
      </c>
      <c r="C176" s="76">
        <f>C160</f>
        <v>171.60000000000002</v>
      </c>
      <c r="D176" s="50" t="s">
        <v>45</v>
      </c>
      <c r="E176" s="50"/>
      <c r="F176" s="50"/>
      <c r="G176" s="54"/>
      <c r="H176" s="75"/>
      <c r="I176" s="45"/>
    </row>
    <row r="177" spans="1:9" ht="16.5" customHeight="1" x14ac:dyDescent="0.2">
      <c r="A177" s="74"/>
      <c r="B177" s="61" t="s">
        <v>175</v>
      </c>
      <c r="C177" s="77">
        <f>C162</f>
        <v>4</v>
      </c>
      <c r="D177" s="50" t="s">
        <v>57</v>
      </c>
      <c r="E177" s="50"/>
      <c r="F177" s="50"/>
      <c r="G177" s="54"/>
      <c r="H177" s="75"/>
      <c r="I177" s="45"/>
    </row>
    <row r="178" spans="1:9" ht="16.5" customHeight="1" x14ac:dyDescent="0.2">
      <c r="A178" s="74"/>
      <c r="B178" s="61" t="s">
        <v>176</v>
      </c>
      <c r="C178" s="77">
        <f>C161</f>
        <v>57</v>
      </c>
      <c r="D178" s="50" t="s">
        <v>57</v>
      </c>
      <c r="E178" s="50"/>
      <c r="F178" s="50"/>
      <c r="G178" s="54"/>
      <c r="H178" s="75"/>
      <c r="I178" s="45"/>
    </row>
    <row r="179" spans="1:9" ht="16.5" customHeight="1" x14ac:dyDescent="0.2">
      <c r="A179" s="74"/>
      <c r="B179" s="61" t="s">
        <v>177</v>
      </c>
      <c r="C179" s="77">
        <v>26</v>
      </c>
      <c r="D179" s="50" t="s">
        <v>57</v>
      </c>
      <c r="E179" s="50"/>
      <c r="F179" s="50"/>
      <c r="G179" s="54"/>
      <c r="H179" s="75"/>
      <c r="I179" s="45"/>
    </row>
    <row r="180" spans="1:9" ht="16.5" customHeight="1" x14ac:dyDescent="0.2">
      <c r="A180" s="74"/>
      <c r="B180" s="61" t="s">
        <v>178</v>
      </c>
      <c r="C180" s="55">
        <f>G78</f>
        <v>90</v>
      </c>
      <c r="D180" s="50" t="s">
        <v>45</v>
      </c>
      <c r="E180" s="50"/>
      <c r="F180" s="50"/>
      <c r="G180" s="54"/>
      <c r="H180" s="75"/>
      <c r="I180" s="45"/>
    </row>
    <row r="181" spans="1:9" ht="16.5" customHeight="1" x14ac:dyDescent="0.2">
      <c r="A181" s="74"/>
      <c r="B181" s="61" t="s">
        <v>78</v>
      </c>
      <c r="C181" s="55">
        <f>C72+C63+C52+C43+C34</f>
        <v>3.7312500000000002</v>
      </c>
      <c r="D181" s="50" t="s">
        <v>179</v>
      </c>
      <c r="E181" s="50"/>
      <c r="F181" s="50"/>
      <c r="G181" s="54"/>
      <c r="H181" s="75"/>
      <c r="I181" s="45"/>
    </row>
    <row r="182" spans="1:9" ht="16.5" customHeight="1" x14ac:dyDescent="0.2">
      <c r="A182" s="74"/>
      <c r="B182" s="61" t="s">
        <v>76</v>
      </c>
      <c r="C182" s="55">
        <f>C152+C135+C125</f>
        <v>109.28427777777777</v>
      </c>
      <c r="D182" s="50" t="s">
        <v>179</v>
      </c>
      <c r="E182" s="50"/>
      <c r="F182" s="50"/>
      <c r="G182" s="54"/>
      <c r="H182" s="75"/>
      <c r="I182" s="45"/>
    </row>
    <row r="183" spans="1:9" ht="16.5" customHeight="1" x14ac:dyDescent="0.2">
      <c r="A183" s="74"/>
      <c r="B183" s="61" t="s">
        <v>171</v>
      </c>
      <c r="C183" s="55">
        <f>C163</f>
        <v>1</v>
      </c>
      <c r="D183" s="50" t="s">
        <v>179</v>
      </c>
      <c r="E183" s="78"/>
      <c r="F183" s="50"/>
      <c r="G183" s="54"/>
      <c r="H183" s="75"/>
      <c r="I183" s="45"/>
    </row>
    <row r="184" spans="1:9" ht="16.5" customHeight="1" x14ac:dyDescent="0.2">
      <c r="A184" s="74"/>
      <c r="B184" s="61" t="s">
        <v>109</v>
      </c>
      <c r="C184" s="55">
        <f>C164+C153+C73+C64+C53+C44+C35+C23+C15</f>
        <v>59.644687499999989</v>
      </c>
      <c r="D184" s="50" t="s">
        <v>179</v>
      </c>
      <c r="E184" s="50"/>
      <c r="F184" s="50"/>
      <c r="G184" s="54"/>
      <c r="H184" s="75"/>
      <c r="I184" s="45"/>
    </row>
    <row r="185" spans="1:9" ht="16.5" customHeight="1" x14ac:dyDescent="0.25">
      <c r="A185" s="74"/>
      <c r="B185" s="79"/>
      <c r="C185" s="54"/>
      <c r="D185" s="50"/>
      <c r="E185" s="50"/>
      <c r="F185" s="50"/>
      <c r="G185" s="80"/>
      <c r="H185" s="75"/>
      <c r="I185" s="45"/>
    </row>
    <row r="186" spans="1:9" s="45" customFormat="1" ht="16.5" customHeight="1" x14ac:dyDescent="0.25">
      <c r="A186" s="81"/>
      <c r="B186" s="82"/>
      <c r="C186" s="83"/>
      <c r="D186" s="84"/>
      <c r="E186" s="84"/>
      <c r="F186" s="84"/>
      <c r="G186" s="84"/>
      <c r="H186" s="84"/>
    </row>
    <row r="187" spans="1:9" s="45" customFormat="1" ht="16.5" customHeight="1" x14ac:dyDescent="0.25">
      <c r="A187" s="81"/>
      <c r="B187" s="85"/>
      <c r="C187" s="85"/>
      <c r="D187" s="84"/>
      <c r="E187" s="84"/>
      <c r="F187" s="84"/>
      <c r="G187" s="84"/>
      <c r="H187" s="84"/>
    </row>
    <row r="188" spans="1:9" s="45" customFormat="1" ht="16.5" customHeight="1" x14ac:dyDescent="0.25">
      <c r="A188" s="81"/>
      <c r="B188" s="85"/>
      <c r="C188" s="72"/>
      <c r="D188" s="84"/>
      <c r="E188" s="84"/>
      <c r="F188" s="84"/>
      <c r="G188" s="84"/>
      <c r="H188" s="84"/>
    </row>
    <row r="189" spans="1:9" s="45" customFormat="1" ht="16.5" customHeight="1" x14ac:dyDescent="0.25">
      <c r="A189" s="81"/>
      <c r="B189" s="85"/>
      <c r="C189" s="72"/>
      <c r="D189" s="84"/>
      <c r="E189" s="84"/>
      <c r="F189" s="84"/>
      <c r="G189" s="84"/>
      <c r="H189" s="84"/>
    </row>
    <row r="190" spans="1:9" s="45" customFormat="1" ht="20.100000000000001" customHeight="1" x14ac:dyDescent="0.3">
      <c r="A190" s="86"/>
      <c r="B190" s="87"/>
      <c r="C190" s="87"/>
      <c r="D190" s="84"/>
      <c r="E190" s="86"/>
      <c r="F190" s="86"/>
      <c r="G190" s="86"/>
      <c r="H190" s="86"/>
    </row>
    <row r="191" spans="1:9" s="45" customFormat="1" ht="20.100000000000001" customHeight="1" x14ac:dyDescent="0.25">
      <c r="A191" s="86"/>
      <c r="B191" s="86"/>
      <c r="C191" s="86"/>
      <c r="D191" s="84"/>
      <c r="E191" s="86"/>
      <c r="F191" s="86"/>
      <c r="G191" s="86"/>
      <c r="H191" s="86"/>
    </row>
    <row r="192" spans="1:9" s="45" customFormat="1" ht="20.100000000000001" customHeight="1" x14ac:dyDescent="0.3">
      <c r="A192" s="86"/>
      <c r="B192" s="88"/>
      <c r="C192" s="88"/>
      <c r="D192" s="84"/>
      <c r="E192" s="86"/>
      <c r="F192" s="86"/>
      <c r="G192" s="86"/>
      <c r="H192" s="86"/>
    </row>
    <row r="193" spans="1:9" s="45" customFormat="1" ht="20.100000000000001" customHeight="1" x14ac:dyDescent="0.25">
      <c r="A193" s="86"/>
      <c r="B193" s="86"/>
      <c r="C193" s="86"/>
      <c r="D193" s="84"/>
      <c r="E193" s="86"/>
      <c r="F193" s="86"/>
      <c r="G193" s="86"/>
      <c r="H193" s="86"/>
    </row>
    <row r="194" spans="1:9" s="45" customFormat="1" ht="20.100000000000001" customHeight="1" x14ac:dyDescent="0.3">
      <c r="A194" s="86"/>
      <c r="B194" s="88"/>
      <c r="C194" s="88"/>
      <c r="D194" s="84"/>
      <c r="E194" s="86"/>
      <c r="F194" s="86"/>
      <c r="G194" s="86"/>
      <c r="H194" s="86"/>
    </row>
    <row r="195" spans="1:9" s="45" customFormat="1" ht="20.100000000000001" customHeight="1" x14ac:dyDescent="0.25">
      <c r="A195" s="86"/>
      <c r="B195" s="86"/>
      <c r="C195" s="86"/>
      <c r="D195" s="84"/>
      <c r="E195" s="86"/>
      <c r="F195" s="86"/>
      <c r="G195" s="86"/>
      <c r="H195" s="86"/>
    </row>
    <row r="196" spans="1:9" s="45" customFormat="1" ht="20.100000000000001" customHeight="1" x14ac:dyDescent="0.2"/>
    <row r="197" spans="1:9" s="45" customFormat="1" ht="20.100000000000001" customHeight="1" x14ac:dyDescent="0.2"/>
    <row r="198" spans="1:9" ht="20.100000000000001" customHeight="1" x14ac:dyDescent="0.2">
      <c r="A198" s="45"/>
      <c r="B198" s="45"/>
      <c r="C198" s="45"/>
      <c r="D198" s="45"/>
      <c r="E198" s="45"/>
      <c r="F198" s="45"/>
      <c r="G198" s="45"/>
      <c r="H198" s="45"/>
      <c r="I198" s="45"/>
    </row>
    <row r="199" spans="1:9" ht="20.100000000000001" customHeight="1" x14ac:dyDescent="0.2">
      <c r="A199" s="45"/>
      <c r="B199" s="45"/>
      <c r="C199" s="45"/>
      <c r="D199" s="45"/>
      <c r="E199" s="45"/>
      <c r="F199" s="45"/>
      <c r="G199" s="45"/>
      <c r="H199" s="45"/>
      <c r="I199" s="45"/>
    </row>
    <row r="200" spans="1:9" ht="20.100000000000001" customHeight="1" x14ac:dyDescent="0.2">
      <c r="A200" s="45"/>
      <c r="B200" s="45"/>
      <c r="C200" s="45"/>
      <c r="D200" s="45"/>
      <c r="E200" s="45"/>
      <c r="F200" s="45"/>
      <c r="G200" s="45"/>
      <c r="H200" s="45"/>
      <c r="I200" s="45"/>
    </row>
    <row r="201" spans="1:9" ht="20.100000000000001" customHeight="1" x14ac:dyDescent="0.2">
      <c r="A201" s="45"/>
      <c r="B201" s="45"/>
      <c r="C201" s="45"/>
      <c r="D201" s="45"/>
      <c r="E201" s="45"/>
      <c r="F201" s="45"/>
      <c r="G201" s="45"/>
      <c r="H201" s="45"/>
      <c r="I201" s="45"/>
    </row>
    <row r="202" spans="1:9" ht="20.100000000000001" customHeight="1" x14ac:dyDescent="0.2">
      <c r="A202" s="45"/>
      <c r="B202" s="45"/>
      <c r="C202" s="45"/>
      <c r="D202" s="45"/>
      <c r="E202" s="45"/>
      <c r="F202" s="45"/>
      <c r="G202" s="45"/>
      <c r="H202" s="45"/>
      <c r="I202" s="45"/>
    </row>
    <row r="203" spans="1:9" ht="20.100000000000001" customHeight="1" x14ac:dyDescent="0.2"/>
    <row r="204" spans="1:9" ht="20.100000000000001" customHeight="1" x14ac:dyDescent="0.2"/>
    <row r="205" spans="1:9" ht="20.100000000000001" customHeight="1" x14ac:dyDescent="0.2"/>
    <row r="206" spans="1:9" ht="20.100000000000001" customHeight="1" x14ac:dyDescent="0.2"/>
    <row r="207" spans="1:9" ht="20.100000000000001" customHeight="1" x14ac:dyDescent="0.2"/>
    <row r="208" spans="1:9" ht="20.100000000000001" customHeight="1" x14ac:dyDescent="0.2">
      <c r="B208" s="89"/>
      <c r="C208" s="89"/>
    </row>
    <row r="209" spans="2:3" ht="20.100000000000001" customHeight="1" x14ac:dyDescent="0.2">
      <c r="B209" s="90"/>
      <c r="C209" s="90"/>
    </row>
    <row r="210" spans="2:3" ht="20.100000000000001" customHeight="1" x14ac:dyDescent="0.2">
      <c r="B210" s="91"/>
      <c r="C210" s="91"/>
    </row>
    <row r="211" spans="2:3" ht="20.100000000000001" customHeight="1" x14ac:dyDescent="0.2"/>
    <row r="212" spans="2:3" ht="20.100000000000001" customHeight="1" x14ac:dyDescent="0.2"/>
    <row r="213" spans="2:3" ht="20.100000000000001" customHeight="1" x14ac:dyDescent="0.2"/>
    <row r="214" spans="2:3" ht="20.100000000000001" customHeight="1" x14ac:dyDescent="0.2"/>
    <row r="215" spans="2:3" ht="20.100000000000001" customHeight="1" x14ac:dyDescent="0.2"/>
    <row r="216" spans="2:3" ht="20.100000000000001" customHeight="1" x14ac:dyDescent="0.2"/>
    <row r="217" spans="2:3" ht="20.100000000000001" customHeight="1" x14ac:dyDescent="0.2"/>
    <row r="218" spans="2:3" ht="20.100000000000001" customHeight="1" x14ac:dyDescent="0.2"/>
    <row r="219" spans="2:3" ht="20.100000000000001" customHeight="1" x14ac:dyDescent="0.2"/>
    <row r="220" spans="2:3" ht="20.100000000000001" customHeight="1" x14ac:dyDescent="0.2"/>
    <row r="221" spans="2:3" ht="20.100000000000001" customHeight="1" x14ac:dyDescent="0.2"/>
    <row r="222" spans="2:3" ht="20.100000000000001" customHeight="1" x14ac:dyDescent="0.2"/>
    <row r="223" spans="2:3" ht="20.100000000000001" customHeight="1" x14ac:dyDescent="0.2"/>
    <row r="224" spans="2:3" ht="20.100000000000001" customHeight="1" x14ac:dyDescent="0.2"/>
    <row r="225" ht="20.100000000000001" customHeight="1" x14ac:dyDescent="0.2"/>
    <row r="226" ht="20.100000000000001" customHeight="1" x14ac:dyDescent="0.2"/>
    <row r="227" ht="20.100000000000001" customHeight="1" x14ac:dyDescent="0.2"/>
    <row r="228" ht="20.100000000000001" customHeight="1" x14ac:dyDescent="0.2"/>
    <row r="229" ht="20.100000000000001" customHeight="1" x14ac:dyDescent="0.2"/>
    <row r="230" ht="20.100000000000001" customHeight="1" x14ac:dyDescent="0.2"/>
  </sheetData>
  <mergeCells count="6">
    <mergeCell ref="H4:H6"/>
    <mergeCell ref="A4:A6"/>
    <mergeCell ref="B4:B6"/>
    <mergeCell ref="C4:C6"/>
    <mergeCell ref="D4:F4"/>
    <mergeCell ref="G4:G6"/>
  </mergeCells>
  <pageMargins left="0.25" right="0.21" top="0.75" bottom="0.38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33"/>
  <sheetViews>
    <sheetView topLeftCell="A6" zoomScale="120" zoomScaleNormal="120" workbookViewId="0">
      <selection activeCell="U31" sqref="U31"/>
    </sheetView>
  </sheetViews>
  <sheetFormatPr defaultRowHeight="15" x14ac:dyDescent="0.2"/>
  <cols>
    <col min="1" max="1" width="3.85546875" customWidth="1"/>
    <col min="2" max="2" width="20" customWidth="1"/>
    <col min="3" max="3" width="9.5703125" customWidth="1"/>
    <col min="4" max="4" width="14.7109375" customWidth="1"/>
    <col min="5" max="5" width="18.5703125" hidden="1" customWidth="1"/>
    <col min="6" max="6" width="17.5703125" hidden="1" customWidth="1"/>
    <col min="7" max="7" width="22.42578125" style="37" customWidth="1"/>
    <col min="8" max="8" width="8.42578125" hidden="1" customWidth="1"/>
    <col min="9" max="9" width="9.28515625" hidden="1" customWidth="1"/>
    <col min="10" max="10" width="9.42578125" hidden="1" customWidth="1"/>
    <col min="11" max="11" width="8.85546875" hidden="1" customWidth="1"/>
    <col min="12" max="14" width="8.7109375" hidden="1" customWidth="1"/>
    <col min="15" max="15" width="7.42578125" hidden="1" customWidth="1"/>
    <col min="16" max="16" width="14.85546875" customWidth="1"/>
    <col min="17" max="17" width="17.42578125" customWidth="1"/>
    <col min="18" max="18" width="15.5703125" style="38" customWidth="1"/>
    <col min="19" max="19" width="14.42578125" customWidth="1"/>
    <col min="20" max="20" width="9.7109375" bestFit="1" customWidth="1"/>
  </cols>
  <sheetData>
    <row r="1" spans="1:20" ht="22.5" x14ac:dyDescent="0.2">
      <c r="A1" s="120" t="s">
        <v>0</v>
      </c>
      <c r="B1" s="120"/>
      <c r="C1" s="120"/>
      <c r="D1" s="120"/>
      <c r="E1" s="120"/>
      <c r="F1" s="121"/>
      <c r="G1" s="122" t="s">
        <v>1</v>
      </c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20" ht="15.75" customHeight="1" x14ac:dyDescent="0.2">
      <c r="A2" s="124" t="s">
        <v>2</v>
      </c>
      <c r="B2" s="124" t="s">
        <v>3</v>
      </c>
      <c r="C2" s="125" t="s">
        <v>4</v>
      </c>
      <c r="D2" s="125" t="s">
        <v>5</v>
      </c>
      <c r="E2" s="125" t="s">
        <v>6</v>
      </c>
      <c r="F2" s="125" t="s">
        <v>7</v>
      </c>
      <c r="G2" s="127" t="s">
        <v>8</v>
      </c>
      <c r="H2" s="119" t="s">
        <v>9</v>
      </c>
      <c r="I2" s="119" t="s">
        <v>10</v>
      </c>
      <c r="J2" s="119" t="s">
        <v>11</v>
      </c>
      <c r="K2" s="119" t="s">
        <v>12</v>
      </c>
      <c r="L2" s="119" t="s">
        <v>13</v>
      </c>
      <c r="M2" s="113" t="s">
        <v>14</v>
      </c>
      <c r="N2" s="113" t="s">
        <v>15</v>
      </c>
      <c r="O2" s="112" t="s">
        <v>16</v>
      </c>
      <c r="P2" s="113" t="s">
        <v>17</v>
      </c>
      <c r="Q2" s="113" t="s">
        <v>18</v>
      </c>
      <c r="R2" s="115" t="s">
        <v>19</v>
      </c>
      <c r="S2" s="113" t="s">
        <v>20</v>
      </c>
    </row>
    <row r="3" spans="1:20" ht="15.75" customHeight="1" x14ac:dyDescent="0.2">
      <c r="A3" s="124"/>
      <c r="B3" s="124"/>
      <c r="C3" s="126"/>
      <c r="D3" s="126"/>
      <c r="E3" s="126"/>
      <c r="F3" s="126"/>
      <c r="G3" s="128"/>
      <c r="H3" s="119"/>
      <c r="I3" s="119"/>
      <c r="J3" s="119"/>
      <c r="K3" s="119"/>
      <c r="L3" s="119"/>
      <c r="M3" s="114"/>
      <c r="N3" s="114"/>
      <c r="O3" s="112"/>
      <c r="P3" s="114"/>
      <c r="Q3" s="114"/>
      <c r="R3" s="115"/>
      <c r="S3" s="114"/>
    </row>
    <row r="4" spans="1:20" ht="21.75" x14ac:dyDescent="0.2">
      <c r="A4" s="1">
        <v>1</v>
      </c>
      <c r="B4" s="2" t="s">
        <v>21</v>
      </c>
      <c r="C4" s="3" t="s">
        <v>22</v>
      </c>
      <c r="D4" s="3">
        <v>17</v>
      </c>
      <c r="E4" s="4"/>
      <c r="F4" s="4">
        <f>D4*E4</f>
        <v>0</v>
      </c>
      <c r="G4" s="5" t="s">
        <v>23</v>
      </c>
      <c r="H4" s="6">
        <v>8000</v>
      </c>
      <c r="I4" s="6">
        <v>7500</v>
      </c>
      <c r="J4" s="6">
        <v>7200</v>
      </c>
      <c r="K4" s="6">
        <v>8000</v>
      </c>
      <c r="L4" s="7">
        <v>7300</v>
      </c>
      <c r="M4" s="8">
        <v>7500</v>
      </c>
      <c r="N4" s="8">
        <v>6900</v>
      </c>
      <c r="O4" s="8">
        <v>7200</v>
      </c>
      <c r="P4" s="8" t="s">
        <v>24</v>
      </c>
      <c r="Q4" s="8">
        <v>17</v>
      </c>
      <c r="R4" s="9">
        <v>7200</v>
      </c>
      <c r="S4" s="10">
        <f t="shared" ref="S4:S19" si="0">D4*R4</f>
        <v>122400</v>
      </c>
    </row>
    <row r="5" spans="1:20" ht="21.75" x14ac:dyDescent="0.2">
      <c r="A5" s="1">
        <v>2</v>
      </c>
      <c r="B5" s="2" t="s">
        <v>25</v>
      </c>
      <c r="C5" s="3" t="s">
        <v>26</v>
      </c>
      <c r="D5" s="3">
        <v>2</v>
      </c>
      <c r="E5" s="4"/>
      <c r="F5" s="4">
        <f t="shared" ref="F5:F19" si="1">D5*E5</f>
        <v>0</v>
      </c>
      <c r="G5" s="5" t="s">
        <v>27</v>
      </c>
      <c r="H5" s="6">
        <v>30000</v>
      </c>
      <c r="I5" s="6">
        <v>30000</v>
      </c>
      <c r="J5" s="6">
        <v>20000</v>
      </c>
      <c r="K5" s="6"/>
      <c r="L5" s="7">
        <v>12500</v>
      </c>
      <c r="M5" s="8">
        <v>8000</v>
      </c>
      <c r="N5" s="8">
        <v>10500</v>
      </c>
      <c r="O5" s="8">
        <v>40000</v>
      </c>
      <c r="P5" s="8" t="s">
        <v>28</v>
      </c>
      <c r="Q5" s="8">
        <v>2</v>
      </c>
      <c r="R5" s="9">
        <v>250000</v>
      </c>
      <c r="S5" s="10">
        <f t="shared" si="0"/>
        <v>500000</v>
      </c>
    </row>
    <row r="6" spans="1:20" ht="21.75" x14ac:dyDescent="0.2">
      <c r="A6" s="1">
        <v>3</v>
      </c>
      <c r="B6" s="2" t="s">
        <v>29</v>
      </c>
      <c r="C6" s="3" t="s">
        <v>26</v>
      </c>
      <c r="D6" s="3">
        <v>3</v>
      </c>
      <c r="E6" s="4"/>
      <c r="F6" s="4">
        <f t="shared" si="1"/>
        <v>0</v>
      </c>
      <c r="G6" s="11" t="s">
        <v>30</v>
      </c>
      <c r="H6" s="6">
        <v>125000</v>
      </c>
      <c r="I6" s="6">
        <v>95000</v>
      </c>
      <c r="J6" s="6">
        <v>85500</v>
      </c>
      <c r="K6" s="6"/>
      <c r="L6" s="7">
        <v>66000</v>
      </c>
      <c r="M6" s="8">
        <v>8000</v>
      </c>
      <c r="N6" s="8">
        <v>70000</v>
      </c>
      <c r="O6" s="8">
        <v>95000</v>
      </c>
      <c r="P6" s="8" t="s">
        <v>28</v>
      </c>
      <c r="Q6" s="8">
        <v>3</v>
      </c>
      <c r="R6" s="9">
        <v>70000</v>
      </c>
      <c r="S6" s="10">
        <f t="shared" si="0"/>
        <v>210000</v>
      </c>
    </row>
    <row r="7" spans="1:20" ht="21.75" x14ac:dyDescent="0.2">
      <c r="A7" s="1">
        <v>4</v>
      </c>
      <c r="B7" s="2" t="s">
        <v>31</v>
      </c>
      <c r="C7" s="3" t="s">
        <v>32</v>
      </c>
      <c r="D7" s="3">
        <v>8</v>
      </c>
      <c r="E7" s="4"/>
      <c r="F7" s="4">
        <f t="shared" si="1"/>
        <v>0</v>
      </c>
      <c r="G7" s="11" t="s">
        <v>33</v>
      </c>
      <c r="H7" s="6">
        <v>320000</v>
      </c>
      <c r="I7" s="6">
        <v>350000</v>
      </c>
      <c r="J7" s="6">
        <v>300000</v>
      </c>
      <c r="K7" s="6">
        <v>410000</v>
      </c>
      <c r="L7" s="7">
        <v>400000</v>
      </c>
      <c r="M7" s="8">
        <v>320000</v>
      </c>
      <c r="N7" s="8">
        <v>350000</v>
      </c>
      <c r="O7" s="8">
        <v>350000</v>
      </c>
      <c r="P7" s="8" t="s">
        <v>34</v>
      </c>
      <c r="Q7" s="8">
        <v>8</v>
      </c>
      <c r="R7" s="9">
        <v>330000</v>
      </c>
      <c r="S7" s="10">
        <f t="shared" si="0"/>
        <v>2640000</v>
      </c>
    </row>
    <row r="8" spans="1:20" ht="21.75" x14ac:dyDescent="0.2">
      <c r="A8" s="1">
        <v>5</v>
      </c>
      <c r="B8" s="2" t="s">
        <v>35</v>
      </c>
      <c r="C8" s="3" t="s">
        <v>36</v>
      </c>
      <c r="D8" s="3">
        <v>560</v>
      </c>
      <c r="E8" s="4"/>
      <c r="F8" s="4">
        <f t="shared" si="1"/>
        <v>0</v>
      </c>
      <c r="G8" s="11" t="s">
        <v>37</v>
      </c>
      <c r="H8" s="12">
        <f>189000/560</f>
        <v>337.5</v>
      </c>
      <c r="I8" s="12">
        <f>200000/560</f>
        <v>357.14285714285717</v>
      </c>
      <c r="J8" s="12">
        <f>660000/560</f>
        <v>1178.5714285714287</v>
      </c>
      <c r="K8" s="12">
        <f>304000/560</f>
        <v>542.85714285714289</v>
      </c>
      <c r="L8" s="13">
        <f>792000/560</f>
        <v>1414.2857142857142</v>
      </c>
      <c r="M8" s="14"/>
      <c r="N8" s="14">
        <f>450000/560</f>
        <v>803.57142857142856</v>
      </c>
      <c r="O8" s="15"/>
      <c r="P8" s="15" t="s">
        <v>38</v>
      </c>
      <c r="Q8" s="15">
        <v>560</v>
      </c>
      <c r="R8" s="9">
        <v>400</v>
      </c>
      <c r="S8" s="10">
        <f t="shared" si="0"/>
        <v>224000</v>
      </c>
    </row>
    <row r="9" spans="1:20" ht="42" customHeight="1" x14ac:dyDescent="0.2">
      <c r="A9" s="1">
        <v>6</v>
      </c>
      <c r="B9" s="2" t="s">
        <v>39</v>
      </c>
      <c r="C9" s="3" t="s">
        <v>40</v>
      </c>
      <c r="D9" s="3">
        <v>18</v>
      </c>
      <c r="E9" s="4"/>
      <c r="F9" s="4">
        <f t="shared" si="1"/>
        <v>0</v>
      </c>
      <c r="G9" s="11" t="s">
        <v>41</v>
      </c>
      <c r="H9" s="6">
        <v>7000</v>
      </c>
      <c r="I9" s="6">
        <v>7000</v>
      </c>
      <c r="J9" s="12">
        <f>133500/18</f>
        <v>7416.666666666667</v>
      </c>
      <c r="K9" s="6">
        <v>7000</v>
      </c>
      <c r="L9" s="6"/>
      <c r="M9" s="15">
        <v>16000</v>
      </c>
      <c r="N9" s="15">
        <v>6520</v>
      </c>
      <c r="O9" s="15">
        <v>15000</v>
      </c>
      <c r="P9" s="16" t="s">
        <v>42</v>
      </c>
      <c r="Q9" s="15">
        <v>18</v>
      </c>
      <c r="R9" s="9">
        <v>7500</v>
      </c>
      <c r="S9" s="10">
        <f t="shared" si="0"/>
        <v>135000</v>
      </c>
    </row>
    <row r="10" spans="1:20" ht="21.75" x14ac:dyDescent="0.2">
      <c r="A10" s="1">
        <v>8</v>
      </c>
      <c r="B10" s="2" t="s">
        <v>43</v>
      </c>
      <c r="C10" s="3" t="s">
        <v>40</v>
      </c>
      <c r="D10" s="3">
        <v>2367</v>
      </c>
      <c r="E10" s="4"/>
      <c r="F10" s="4">
        <f>D10*E10</f>
        <v>0</v>
      </c>
      <c r="G10" s="11" t="s">
        <v>44</v>
      </c>
      <c r="H10" s="6"/>
      <c r="I10" s="6">
        <v>3000</v>
      </c>
      <c r="J10" s="6">
        <f>7*360</f>
        <v>2520</v>
      </c>
      <c r="K10" s="6">
        <v>3900</v>
      </c>
      <c r="L10" s="6"/>
      <c r="M10" s="15"/>
      <c r="N10" s="15">
        <v>3234</v>
      </c>
      <c r="O10" s="15">
        <v>3500</v>
      </c>
      <c r="P10" s="16" t="s">
        <v>45</v>
      </c>
      <c r="Q10" s="15">
        <v>2367</v>
      </c>
      <c r="R10" s="9">
        <v>200</v>
      </c>
      <c r="S10" s="10">
        <f t="shared" si="0"/>
        <v>473400</v>
      </c>
      <c r="T10" s="17"/>
    </row>
    <row r="11" spans="1:20" ht="21.75" x14ac:dyDescent="0.2">
      <c r="A11" s="1">
        <v>9</v>
      </c>
      <c r="B11" s="2" t="s">
        <v>46</v>
      </c>
      <c r="C11" s="3" t="s">
        <v>36</v>
      </c>
      <c r="D11" s="3">
        <v>45</v>
      </c>
      <c r="E11" s="4"/>
      <c r="F11" s="4">
        <f t="shared" si="1"/>
        <v>0</v>
      </c>
      <c r="G11" s="11" t="s">
        <v>47</v>
      </c>
      <c r="H11" s="6">
        <v>3000</v>
      </c>
      <c r="I11" s="6">
        <v>1000</v>
      </c>
      <c r="J11" s="12">
        <f>150000/45</f>
        <v>3333.3333333333335</v>
      </c>
      <c r="K11" s="6">
        <v>1000</v>
      </c>
      <c r="L11" s="6"/>
      <c r="M11" s="15">
        <v>800</v>
      </c>
      <c r="N11" s="15">
        <v>2000</v>
      </c>
      <c r="O11" s="15">
        <v>4500</v>
      </c>
      <c r="P11" s="16" t="s">
        <v>45</v>
      </c>
      <c r="Q11" s="15">
        <v>45</v>
      </c>
      <c r="R11" s="9">
        <f>15000/45</f>
        <v>333.33333333333331</v>
      </c>
      <c r="S11" s="10">
        <f t="shared" si="0"/>
        <v>15000</v>
      </c>
    </row>
    <row r="12" spans="1:20" ht="21.75" x14ac:dyDescent="0.2">
      <c r="A12" s="1">
        <v>10</v>
      </c>
      <c r="B12" s="2" t="s">
        <v>48</v>
      </c>
      <c r="C12" s="3" t="s">
        <v>49</v>
      </c>
      <c r="D12" s="3">
        <v>33</v>
      </c>
      <c r="E12" s="4"/>
      <c r="F12" s="4">
        <f t="shared" si="1"/>
        <v>0</v>
      </c>
      <c r="G12" s="11" t="s">
        <v>50</v>
      </c>
      <c r="H12" s="6">
        <v>1500</v>
      </c>
      <c r="I12" s="6">
        <v>700</v>
      </c>
      <c r="J12" s="6">
        <v>1600</v>
      </c>
      <c r="K12" s="6">
        <v>700</v>
      </c>
      <c r="L12" s="6"/>
      <c r="M12" s="15">
        <v>2300</v>
      </c>
      <c r="N12" s="15">
        <v>1600</v>
      </c>
      <c r="O12" s="15">
        <v>1700</v>
      </c>
      <c r="P12" s="16" t="s">
        <v>51</v>
      </c>
      <c r="Q12" s="15">
        <v>33</v>
      </c>
      <c r="R12" s="9">
        <v>1700</v>
      </c>
      <c r="S12" s="10">
        <f t="shared" si="0"/>
        <v>56100</v>
      </c>
    </row>
    <row r="13" spans="1:20" ht="21.75" x14ac:dyDescent="0.2">
      <c r="A13" s="1">
        <v>11</v>
      </c>
      <c r="B13" s="2" t="s">
        <v>52</v>
      </c>
      <c r="C13" s="3" t="s">
        <v>49</v>
      </c>
      <c r="D13" s="3">
        <v>7</v>
      </c>
      <c r="E13" s="4"/>
      <c r="F13" s="4">
        <f t="shared" si="1"/>
        <v>0</v>
      </c>
      <c r="G13" s="11" t="s">
        <v>53</v>
      </c>
      <c r="H13" s="6">
        <v>2200</v>
      </c>
      <c r="I13" s="6">
        <v>2500</v>
      </c>
      <c r="J13" s="6">
        <v>2200</v>
      </c>
      <c r="K13" s="6">
        <v>2500</v>
      </c>
      <c r="L13" s="6"/>
      <c r="M13" s="15">
        <v>2500</v>
      </c>
      <c r="N13" s="15">
        <v>3150</v>
      </c>
      <c r="O13" s="15">
        <v>2500</v>
      </c>
      <c r="P13" s="16" t="s">
        <v>51</v>
      </c>
      <c r="Q13" s="15">
        <v>7</v>
      </c>
      <c r="R13" s="9">
        <v>2200</v>
      </c>
      <c r="S13" s="10">
        <f t="shared" si="0"/>
        <v>15400</v>
      </c>
    </row>
    <row r="14" spans="1:20" ht="21.75" x14ac:dyDescent="0.2">
      <c r="A14" s="1">
        <v>13</v>
      </c>
      <c r="B14" s="2" t="s">
        <v>54</v>
      </c>
      <c r="C14" s="3" t="s">
        <v>55</v>
      </c>
      <c r="D14" s="3">
        <v>26</v>
      </c>
      <c r="E14" s="4"/>
      <c r="F14" s="4">
        <f t="shared" si="1"/>
        <v>0</v>
      </c>
      <c r="G14" s="11" t="s">
        <v>56</v>
      </c>
      <c r="H14" s="6">
        <v>3500</v>
      </c>
      <c r="I14" s="6">
        <v>4500</v>
      </c>
      <c r="J14" s="6">
        <v>2000</v>
      </c>
      <c r="K14" s="6">
        <v>4500</v>
      </c>
      <c r="L14" s="6"/>
      <c r="M14" s="15">
        <v>2500</v>
      </c>
      <c r="N14" s="15">
        <v>2000</v>
      </c>
      <c r="O14" s="15">
        <v>2500</v>
      </c>
      <c r="P14" s="16" t="s">
        <v>57</v>
      </c>
      <c r="Q14" s="15">
        <v>26</v>
      </c>
      <c r="R14" s="9">
        <v>2500</v>
      </c>
      <c r="S14" s="10">
        <f t="shared" si="0"/>
        <v>65000</v>
      </c>
    </row>
    <row r="15" spans="1:20" ht="36" customHeight="1" x14ac:dyDescent="0.2">
      <c r="A15" s="1">
        <v>14</v>
      </c>
      <c r="B15" s="2" t="s">
        <v>58</v>
      </c>
      <c r="C15" s="3" t="s">
        <v>59</v>
      </c>
      <c r="D15" s="3">
        <v>3</v>
      </c>
      <c r="E15" s="4"/>
      <c r="F15" s="4">
        <f t="shared" si="1"/>
        <v>0</v>
      </c>
      <c r="G15" s="11" t="s">
        <v>60</v>
      </c>
      <c r="H15" s="6">
        <v>8500</v>
      </c>
      <c r="I15" s="6"/>
      <c r="J15" s="6">
        <v>12500</v>
      </c>
      <c r="K15" s="6">
        <v>21000</v>
      </c>
      <c r="L15" s="6"/>
      <c r="M15" s="15">
        <v>15000</v>
      </c>
      <c r="N15" s="15">
        <f>1450*19</f>
        <v>27550</v>
      </c>
      <c r="O15" s="15">
        <v>13000</v>
      </c>
      <c r="P15" s="16" t="s">
        <v>57</v>
      </c>
      <c r="Q15" s="15">
        <v>3</v>
      </c>
      <c r="R15" s="9">
        <v>13000</v>
      </c>
      <c r="S15" s="10">
        <f t="shared" si="0"/>
        <v>39000</v>
      </c>
    </row>
    <row r="16" spans="1:20" ht="21.75" x14ac:dyDescent="0.2">
      <c r="A16" s="1">
        <v>15</v>
      </c>
      <c r="B16" s="2" t="s">
        <v>61</v>
      </c>
      <c r="C16" s="3" t="s">
        <v>55</v>
      </c>
      <c r="D16" s="3">
        <v>3</v>
      </c>
      <c r="E16" s="4"/>
      <c r="F16" s="4">
        <f t="shared" si="1"/>
        <v>0</v>
      </c>
      <c r="G16" s="11" t="s">
        <v>62</v>
      </c>
      <c r="H16" s="6"/>
      <c r="I16" s="6"/>
      <c r="J16" s="6">
        <v>1200</v>
      </c>
      <c r="K16" s="6">
        <v>1500</v>
      </c>
      <c r="L16" s="6"/>
      <c r="M16" s="15">
        <v>2500</v>
      </c>
      <c r="N16" s="15">
        <v>3750</v>
      </c>
      <c r="O16" s="15">
        <v>2500</v>
      </c>
      <c r="P16" s="15"/>
      <c r="Q16" s="15">
        <v>3</v>
      </c>
      <c r="R16" s="9">
        <v>1200</v>
      </c>
      <c r="S16" s="10">
        <f t="shared" si="0"/>
        <v>3600</v>
      </c>
    </row>
    <row r="17" spans="1:20" ht="21.75" x14ac:dyDescent="0.2">
      <c r="A17" s="1"/>
      <c r="B17" s="2" t="s">
        <v>63</v>
      </c>
      <c r="C17" s="3" t="s">
        <v>64</v>
      </c>
      <c r="D17" s="3">
        <v>1</v>
      </c>
      <c r="E17" s="4"/>
      <c r="F17" s="4">
        <f t="shared" si="1"/>
        <v>0</v>
      </c>
      <c r="G17" s="11" t="s">
        <v>65</v>
      </c>
      <c r="H17" s="6"/>
      <c r="I17" s="6"/>
      <c r="J17" s="6"/>
      <c r="K17" s="6"/>
      <c r="L17" s="6"/>
      <c r="M17" s="15"/>
      <c r="N17" s="15"/>
      <c r="O17" s="15"/>
      <c r="P17" s="15"/>
      <c r="Q17" s="15">
        <v>1</v>
      </c>
      <c r="R17" s="9">
        <v>2000</v>
      </c>
      <c r="S17" s="10">
        <f t="shared" si="0"/>
        <v>2000</v>
      </c>
    </row>
    <row r="18" spans="1:20" ht="21.75" x14ac:dyDescent="0.2">
      <c r="A18" s="1">
        <v>16</v>
      </c>
      <c r="B18" s="2" t="s">
        <v>66</v>
      </c>
      <c r="C18" s="3" t="s">
        <v>55</v>
      </c>
      <c r="D18" s="3">
        <v>72</v>
      </c>
      <c r="E18" s="4"/>
      <c r="F18" s="4">
        <f t="shared" si="1"/>
        <v>0</v>
      </c>
      <c r="G18" s="18" t="s">
        <v>67</v>
      </c>
      <c r="H18" s="6"/>
      <c r="I18" s="6"/>
      <c r="J18" s="6"/>
      <c r="K18" s="6"/>
      <c r="L18" s="6"/>
      <c r="M18" s="15">
        <v>300</v>
      </c>
      <c r="N18" s="15"/>
      <c r="O18" s="15"/>
      <c r="P18" s="15"/>
      <c r="Q18" s="15">
        <v>72</v>
      </c>
      <c r="R18" s="9">
        <v>300</v>
      </c>
      <c r="S18" s="10">
        <f t="shared" si="0"/>
        <v>21600</v>
      </c>
    </row>
    <row r="19" spans="1:20" ht="21.75" x14ac:dyDescent="0.2">
      <c r="A19" s="1"/>
      <c r="B19" s="2" t="s">
        <v>68</v>
      </c>
      <c r="C19" s="3" t="s">
        <v>69</v>
      </c>
      <c r="D19" s="3">
        <v>500</v>
      </c>
      <c r="E19" s="4"/>
      <c r="F19" s="4">
        <f t="shared" si="1"/>
        <v>0</v>
      </c>
      <c r="G19" s="18" t="s">
        <v>70</v>
      </c>
      <c r="H19" s="6"/>
      <c r="I19" s="6">
        <v>100</v>
      </c>
      <c r="J19" s="6"/>
      <c r="K19" s="6">
        <v>75</v>
      </c>
      <c r="L19" s="6"/>
      <c r="M19" s="15"/>
      <c r="N19" s="15"/>
      <c r="O19" s="15"/>
      <c r="P19" s="15"/>
      <c r="Q19" s="15">
        <v>500</v>
      </c>
      <c r="R19" s="9">
        <v>75</v>
      </c>
      <c r="S19" s="10">
        <f t="shared" si="0"/>
        <v>37500</v>
      </c>
    </row>
    <row r="20" spans="1:20" ht="21.75" x14ac:dyDescent="0.2">
      <c r="A20" s="103" t="s">
        <v>71</v>
      </c>
      <c r="B20" s="104"/>
      <c r="C20" s="104"/>
      <c r="D20" s="104"/>
      <c r="E20" s="105"/>
      <c r="F20" s="19">
        <f>SUM(F4:F19)</f>
        <v>0</v>
      </c>
      <c r="G20" s="116" t="s">
        <v>72</v>
      </c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8"/>
      <c r="S20" s="20">
        <f>SUM(S4:S19)</f>
        <v>4560000</v>
      </c>
    </row>
    <row r="21" spans="1:20" ht="21.75" x14ac:dyDescent="0.2">
      <c r="A21" s="100" t="s">
        <v>73</v>
      </c>
      <c r="B21" s="101"/>
      <c r="C21" s="101"/>
      <c r="D21" s="101"/>
      <c r="E21" s="101"/>
      <c r="F21" s="102"/>
      <c r="G21" s="21"/>
      <c r="H21" s="6"/>
      <c r="I21" s="6"/>
      <c r="J21" s="6"/>
      <c r="K21" s="6"/>
      <c r="L21" s="6"/>
      <c r="M21" s="15"/>
      <c r="N21" s="15"/>
      <c r="O21" s="15"/>
      <c r="P21" s="15"/>
      <c r="Q21" s="15"/>
      <c r="R21" s="9"/>
      <c r="S21" s="6"/>
    </row>
    <row r="22" spans="1:20" ht="21.75" x14ac:dyDescent="0.2">
      <c r="A22" s="1">
        <v>17</v>
      </c>
      <c r="B22" s="2" t="s">
        <v>74</v>
      </c>
      <c r="C22" s="3" t="s">
        <v>75</v>
      </c>
      <c r="D22" s="3">
        <v>25</v>
      </c>
      <c r="E22" s="4"/>
      <c r="F22" s="4">
        <f>D22*E22</f>
        <v>0</v>
      </c>
      <c r="G22" s="18" t="s">
        <v>76</v>
      </c>
      <c r="H22" s="6"/>
      <c r="I22" s="6"/>
      <c r="J22" s="6"/>
      <c r="K22" s="6"/>
      <c r="L22" s="6"/>
      <c r="M22" s="15"/>
      <c r="N22" s="15"/>
      <c r="O22" s="15"/>
      <c r="P22" s="15"/>
      <c r="Q22" s="15"/>
      <c r="R22" s="9"/>
      <c r="S22" s="22">
        <v>350000</v>
      </c>
    </row>
    <row r="23" spans="1:20" ht="21.75" x14ac:dyDescent="0.2">
      <c r="A23" s="1">
        <v>18</v>
      </c>
      <c r="B23" s="2" t="s">
        <v>77</v>
      </c>
      <c r="C23" s="3" t="s">
        <v>75</v>
      </c>
      <c r="D23" s="3">
        <v>20</v>
      </c>
      <c r="E23" s="4"/>
      <c r="F23" s="4">
        <f>E23*D23</f>
        <v>0</v>
      </c>
      <c r="G23" s="18" t="s">
        <v>78</v>
      </c>
      <c r="H23" s="6"/>
      <c r="I23" s="6"/>
      <c r="J23" s="6"/>
      <c r="K23" s="6"/>
      <c r="L23" s="6"/>
      <c r="M23" s="15"/>
      <c r="N23" s="15"/>
      <c r="O23" s="15"/>
      <c r="P23" s="15"/>
      <c r="Q23" s="15"/>
      <c r="R23" s="9"/>
      <c r="S23" s="22">
        <v>50000</v>
      </c>
    </row>
    <row r="24" spans="1:20" ht="21.75" x14ac:dyDescent="0.2">
      <c r="A24" s="103"/>
      <c r="B24" s="104"/>
      <c r="C24" s="104"/>
      <c r="D24" s="104"/>
      <c r="E24" s="105"/>
      <c r="F24" s="19">
        <f>SUM(F22:F23)</f>
        <v>0</v>
      </c>
      <c r="G24" s="23"/>
      <c r="H24" s="24">
        <v>230000</v>
      </c>
      <c r="I24" s="24">
        <v>400000</v>
      </c>
      <c r="J24" s="24">
        <v>450000</v>
      </c>
      <c r="K24" s="24">
        <v>400000</v>
      </c>
      <c r="L24" s="24"/>
      <c r="M24" s="25">
        <v>450000</v>
      </c>
      <c r="N24" s="25">
        <v>690000</v>
      </c>
      <c r="O24" s="25">
        <v>720000</v>
      </c>
      <c r="P24" s="106" t="s">
        <v>72</v>
      </c>
      <c r="Q24" s="107"/>
      <c r="R24" s="108"/>
      <c r="S24" s="26">
        <f>SUM(S22:S23)</f>
        <v>400000</v>
      </c>
    </row>
    <row r="25" spans="1:20" ht="21.75" x14ac:dyDescent="0.2">
      <c r="A25" s="100" t="s">
        <v>79</v>
      </c>
      <c r="B25" s="101"/>
      <c r="C25" s="101"/>
      <c r="D25" s="101"/>
      <c r="E25" s="101"/>
      <c r="F25" s="102"/>
      <c r="G25" s="21"/>
      <c r="H25" s="6"/>
      <c r="I25" s="6"/>
      <c r="J25" s="6"/>
      <c r="K25" s="6"/>
      <c r="L25" s="6"/>
      <c r="M25" s="15"/>
      <c r="N25" s="15"/>
      <c r="O25" s="15"/>
      <c r="P25" s="15"/>
      <c r="Q25" s="15"/>
      <c r="R25" s="9"/>
      <c r="S25" s="6"/>
    </row>
    <row r="26" spans="1:20" ht="21.75" x14ac:dyDescent="0.2">
      <c r="A26" s="1">
        <v>19</v>
      </c>
      <c r="B26" s="2" t="s">
        <v>79</v>
      </c>
      <c r="C26" s="3" t="s">
        <v>80</v>
      </c>
      <c r="D26" s="3">
        <v>1</v>
      </c>
      <c r="E26" s="4"/>
      <c r="F26" s="4">
        <f>D26*E26</f>
        <v>0</v>
      </c>
      <c r="G26" s="18" t="s">
        <v>81</v>
      </c>
      <c r="H26" s="6">
        <v>20000</v>
      </c>
      <c r="I26" s="6">
        <v>0</v>
      </c>
      <c r="J26" s="6">
        <v>0</v>
      </c>
      <c r="K26" s="6">
        <v>0</v>
      </c>
      <c r="L26" s="6" t="s">
        <v>82</v>
      </c>
      <c r="M26" s="15"/>
      <c r="N26" s="15">
        <v>400000</v>
      </c>
      <c r="O26" s="15">
        <v>30000</v>
      </c>
      <c r="P26" s="15"/>
      <c r="Q26" s="15"/>
      <c r="R26" s="9"/>
      <c r="S26" s="6">
        <v>0</v>
      </c>
    </row>
    <row r="27" spans="1:20" ht="15" customHeight="1" x14ac:dyDescent="0.2">
      <c r="A27" s="103" t="s">
        <v>71</v>
      </c>
      <c r="B27" s="104"/>
      <c r="C27" s="104"/>
      <c r="D27" s="104"/>
      <c r="E27" s="105"/>
      <c r="F27" s="19">
        <f>F26+0</f>
        <v>0</v>
      </c>
      <c r="G27" s="23"/>
      <c r="H27" s="24"/>
      <c r="I27" s="24"/>
      <c r="J27" s="24"/>
      <c r="K27" s="24"/>
      <c r="L27" s="24"/>
      <c r="M27" s="25"/>
      <c r="N27" s="25"/>
      <c r="O27" s="25"/>
      <c r="P27" s="25"/>
      <c r="Q27" s="25"/>
      <c r="R27" s="27"/>
      <c r="S27" s="28"/>
      <c r="T27" s="29" t="s">
        <v>83</v>
      </c>
    </row>
    <row r="28" spans="1:20" ht="21.75" x14ac:dyDescent="0.2">
      <c r="A28" s="30" t="s">
        <v>84</v>
      </c>
      <c r="B28" s="31"/>
      <c r="C28" s="31"/>
      <c r="D28" s="32"/>
      <c r="E28" s="32"/>
      <c r="F28" s="33">
        <f>F27+F24+F20</f>
        <v>0</v>
      </c>
      <c r="G28" s="109" t="s">
        <v>85</v>
      </c>
      <c r="H28" s="110"/>
      <c r="I28" s="110"/>
      <c r="J28" s="110"/>
      <c r="K28" s="110"/>
      <c r="L28" s="110"/>
      <c r="M28" s="110"/>
      <c r="N28" s="110"/>
      <c r="O28" s="110"/>
      <c r="P28" s="110"/>
      <c r="Q28" s="111"/>
      <c r="R28" s="34" t="s">
        <v>86</v>
      </c>
      <c r="S28" s="35">
        <f>S27+S24+S20</f>
        <v>4960000</v>
      </c>
      <c r="T28" s="36">
        <f>S28/970</f>
        <v>5113.4020618556697</v>
      </c>
    </row>
    <row r="32" spans="1:20" x14ac:dyDescent="0.2">
      <c r="S32" s="39"/>
    </row>
    <row r="33" spans="19:19" x14ac:dyDescent="0.2">
      <c r="S33" s="40"/>
    </row>
  </sheetData>
  <mergeCells count="29">
    <mergeCell ref="A1:F1"/>
    <mergeCell ref="G1:S1"/>
    <mergeCell ref="A2:A3"/>
    <mergeCell ref="B2:B3"/>
    <mergeCell ref="C2:C3"/>
    <mergeCell ref="D2:D3"/>
    <mergeCell ref="E2:E3"/>
    <mergeCell ref="F2:F3"/>
    <mergeCell ref="G2:G3"/>
    <mergeCell ref="H2:H3"/>
    <mergeCell ref="S2:S3"/>
    <mergeCell ref="A20:E20"/>
    <mergeCell ref="G20:R20"/>
    <mergeCell ref="I2:I3"/>
    <mergeCell ref="J2:J3"/>
    <mergeCell ref="K2:K3"/>
    <mergeCell ref="L2:L3"/>
    <mergeCell ref="M2:M3"/>
    <mergeCell ref="N2:N3"/>
    <mergeCell ref="G28:Q28"/>
    <mergeCell ref="O2:O3"/>
    <mergeCell ref="P2:P3"/>
    <mergeCell ref="Q2:Q3"/>
    <mergeCell ref="R2:R3"/>
    <mergeCell ref="A21:F21"/>
    <mergeCell ref="A24:E24"/>
    <mergeCell ref="P24:R24"/>
    <mergeCell ref="A25:F25"/>
    <mergeCell ref="A27:E27"/>
  </mergeCells>
  <pageMargins left="0.33" right="0.24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DM</vt:lpstr>
      <vt:lpstr>TLS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kztun</dc:creator>
  <cp:lastModifiedBy>Nay Win Myint</cp:lastModifiedBy>
  <dcterms:created xsi:type="dcterms:W3CDTF">2014-01-07T03:00:16Z</dcterms:created>
  <dcterms:modified xsi:type="dcterms:W3CDTF">2016-05-23T11:27:21Z</dcterms:modified>
</cp:coreProperties>
</file>